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ate1904="1"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bookViews>
    <workbookView xWindow="0" yWindow="0" windowWidth="28800" windowHeight="10635" tabRatio="873"/>
  </bookViews>
  <sheets>
    <sheet name="Premissas" sheetId="9" r:id="rId1"/>
    <sheet name="Cenário Ref" sheetId="96" r:id="rId2"/>
    <sheet name="Fluxo Ótimo" sheetId="97" state="hidden" r:id="rId3"/>
    <sheet name="Contratos Originais" sheetId="36" state="hidden" r:id="rId4"/>
    <sheet name="FC E-S" sheetId="109" r:id="rId5"/>
    <sheet name="FC ECTL" sheetId="105" r:id="rId6"/>
    <sheet name="FC EM" sheetId="104" r:id="rId7"/>
    <sheet name="FC Total" sheetId="106" r:id="rId8"/>
    <sheet name="Receita Anual Máxima" sheetId="115" r:id="rId9"/>
    <sheet name="Entrada e Saída CWD Zonal (TM)" sheetId="112" r:id="rId10"/>
    <sheet name="Entrada e Saída CWD Zonal (TR)" sheetId="113" r:id="rId11"/>
    <sheet name="TARIFAS (TM)" sheetId="107" r:id="rId12"/>
    <sheet name="TARIFAS (TR)" sheetId="114" r:id="rId13"/>
    <sheet name="Cálculo Tarifa CWD" sheetId="99" state="hidden" r:id="rId14"/>
    <sheet name="C. Capacidade" sheetId="110" state="hidden" r:id="rId15"/>
    <sheet name="C. Demanda" sheetId="111" state="hidden" r:id="rId16"/>
    <sheet name="Gasoduto" sheetId="85" state="hidden" r:id="rId17"/>
  </sheets>
  <externalReferences>
    <externalReference r:id="rId18"/>
    <externalReference r:id="rId19"/>
  </externalReferences>
  <definedNames>
    <definedName name="_tir2">'[1]T-Bill'!$S$45</definedName>
    <definedName name="A1remlife">'[2]Input (Assets)'!$G$7</definedName>
    <definedName name="A1resid" localSheetId="14">'[2]Input (Assets)'!#REF!</definedName>
    <definedName name="A1resid" localSheetId="15">'[2]Input (Assets)'!#REF!</definedName>
    <definedName name="A1resid" localSheetId="13">'[2]Input (Assets)'!#REF!</definedName>
    <definedName name="A1resid" localSheetId="9">'[2]Input (Assets)'!#REF!</definedName>
    <definedName name="A1resid" localSheetId="10">'[2]Input (Assets)'!#REF!</definedName>
    <definedName name="A1resid" localSheetId="5">'[2]Input (Assets)'!#REF!</definedName>
    <definedName name="A1resid" localSheetId="6">'[2]Input (Assets)'!#REF!</definedName>
    <definedName name="A1resid" localSheetId="4">'[2]Input (Assets)'!#REF!</definedName>
    <definedName name="A1resid" localSheetId="7">'[2]Input (Assets)'!#REF!</definedName>
    <definedName name="A1resid" localSheetId="11">'[2]Input (Assets)'!#REF!</definedName>
    <definedName name="A1resid" localSheetId="12">'[2]Input (Assets)'!#REF!</definedName>
    <definedName name="A1resid">'[2]Input (Assets)'!#REF!</definedName>
    <definedName name="A1stdlife">'[2]Input (Assets)'!$H$7</definedName>
    <definedName name="A1taxremlife">'[2]Input (Assets)'!$J$7</definedName>
    <definedName name="A1taxstdlife">'[2]Input (Assets)'!$K$7</definedName>
    <definedName name="A1taxvalue">'[2]Input (Assets)'!$I$7</definedName>
    <definedName name="A1value">'[2]Input (Assets)'!$F$7</definedName>
    <definedName name="A2remlife">'[2]Input (Assets)'!$G$8</definedName>
    <definedName name="A2resid" localSheetId="14">'[2]Input (Assets)'!#REF!</definedName>
    <definedName name="A2resid" localSheetId="15">'[2]Input (Assets)'!#REF!</definedName>
    <definedName name="A2resid" localSheetId="13">'[2]Input (Assets)'!#REF!</definedName>
    <definedName name="A2resid" localSheetId="9">'[2]Input (Assets)'!#REF!</definedName>
    <definedName name="A2resid" localSheetId="10">'[2]Input (Assets)'!#REF!</definedName>
    <definedName name="A2resid" localSheetId="5">'[2]Input (Assets)'!#REF!</definedName>
    <definedName name="A2resid" localSheetId="6">'[2]Input (Assets)'!#REF!</definedName>
    <definedName name="A2resid" localSheetId="4">'[2]Input (Assets)'!#REF!</definedName>
    <definedName name="A2resid" localSheetId="7">'[2]Input (Assets)'!#REF!</definedName>
    <definedName name="A2resid" localSheetId="11">'[2]Input (Assets)'!#REF!</definedName>
    <definedName name="A2resid" localSheetId="12">'[2]Input (Assets)'!#REF!</definedName>
    <definedName name="A2resid">'[2]Input (Assets)'!#REF!</definedName>
    <definedName name="A2stdlife">'[2]Input (Assets)'!$H$8</definedName>
    <definedName name="A2taxremlife">'[2]Input (Assets)'!$J$8</definedName>
    <definedName name="A2taxstdlife">'[2]Input (Assets)'!$K$8</definedName>
    <definedName name="A2taxvalue">'[2]Input (Assets)'!$I$8</definedName>
    <definedName name="A2value">'[2]Input (Assets)'!$F$8</definedName>
    <definedName name="A3remlife">'[2]Input (Assets)'!$G$9</definedName>
    <definedName name="A3resid" localSheetId="14">'[2]Input (Assets)'!#REF!</definedName>
    <definedName name="A3resid" localSheetId="15">'[2]Input (Assets)'!#REF!</definedName>
    <definedName name="A3resid" localSheetId="13">'[2]Input (Assets)'!#REF!</definedName>
    <definedName name="A3resid" localSheetId="9">'[2]Input (Assets)'!#REF!</definedName>
    <definedName name="A3resid" localSheetId="10">'[2]Input (Assets)'!#REF!</definedName>
    <definedName name="A3resid" localSheetId="5">'[2]Input (Assets)'!#REF!</definedName>
    <definedName name="A3resid" localSheetId="6">'[2]Input (Assets)'!#REF!</definedName>
    <definedName name="A3resid" localSheetId="4">'[2]Input (Assets)'!#REF!</definedName>
    <definedName name="A3resid" localSheetId="7">'[2]Input (Assets)'!#REF!</definedName>
    <definedName name="A3resid" localSheetId="11">'[2]Input (Assets)'!#REF!</definedName>
    <definedName name="A3resid" localSheetId="12">'[2]Input (Assets)'!#REF!</definedName>
    <definedName name="A3resid">'[2]Input (Assets)'!#REF!</definedName>
    <definedName name="A3stdlife">'[2]Input (Assets)'!$H$9</definedName>
    <definedName name="A3taxremlife">'[2]Input (Assets)'!$J$9</definedName>
    <definedName name="A3taxstdlife">'[2]Input (Assets)'!$K$9</definedName>
    <definedName name="A3taxvalue">'[2]Input (Assets)'!$I$9</definedName>
    <definedName name="A3value">'[2]Input (Assets)'!$F$9</definedName>
    <definedName name="Asset_Life" localSheetId="14">[2]Input!#REF!</definedName>
    <definedName name="Asset_Life" localSheetId="15">[2]Input!#REF!</definedName>
    <definedName name="Asset_Life" localSheetId="13">[2]Input!#REF!</definedName>
    <definedName name="Asset_Life" localSheetId="9">[2]Input!#REF!</definedName>
    <definedName name="Asset_Life" localSheetId="10">[2]Input!#REF!</definedName>
    <definedName name="Asset_Life" localSheetId="5">[2]Input!#REF!</definedName>
    <definedName name="Asset_Life" localSheetId="6">[2]Input!#REF!</definedName>
    <definedName name="Asset_Life" localSheetId="4">[2]Input!#REF!</definedName>
    <definedName name="Asset_Life" localSheetId="7">[2]Input!#REF!</definedName>
    <definedName name="Asset_Life" localSheetId="11">[2]Input!#REF!</definedName>
    <definedName name="Asset_Life" localSheetId="12">[2]Input!#REF!</definedName>
    <definedName name="Asset_Life">[2]Input!#REF!</definedName>
    <definedName name="Asset1" localSheetId="14">[2]Input!#REF!</definedName>
    <definedName name="Asset1" localSheetId="15">[2]Input!#REF!</definedName>
    <definedName name="Asset1" localSheetId="13">[2]Input!#REF!</definedName>
    <definedName name="Asset1" localSheetId="9">[2]Input!#REF!</definedName>
    <definedName name="Asset1" localSheetId="10">[2]Input!#REF!</definedName>
    <definedName name="Asset1" localSheetId="5">[2]Input!#REF!</definedName>
    <definedName name="Asset1" localSheetId="6">[2]Input!#REF!</definedName>
    <definedName name="Asset1" localSheetId="4">[2]Input!#REF!</definedName>
    <definedName name="Asset1" localSheetId="7">[2]Input!#REF!</definedName>
    <definedName name="Asset1" localSheetId="11">[2]Input!#REF!</definedName>
    <definedName name="Asset1" localSheetId="12">[2]Input!#REF!</definedName>
    <definedName name="Asset1">[2]Input!#REF!</definedName>
    <definedName name="Asset2" localSheetId="14">[2]Input!#REF!</definedName>
    <definedName name="Asset2" localSheetId="15">[2]Input!#REF!</definedName>
    <definedName name="Asset2" localSheetId="13">[2]Input!#REF!</definedName>
    <definedName name="Asset2" localSheetId="9">[2]Input!#REF!</definedName>
    <definedName name="Asset2" localSheetId="10">[2]Input!#REF!</definedName>
    <definedName name="Asset2" localSheetId="5">[2]Input!#REF!</definedName>
    <definedName name="Asset2" localSheetId="6">[2]Input!#REF!</definedName>
    <definedName name="Asset2" localSheetId="4">[2]Input!#REF!</definedName>
    <definedName name="Asset2" localSheetId="7">[2]Input!#REF!</definedName>
    <definedName name="Asset2" localSheetId="11">[2]Input!#REF!</definedName>
    <definedName name="Asset2" localSheetId="12">[2]Input!#REF!</definedName>
    <definedName name="Asset2">[2]Input!#REF!</definedName>
    <definedName name="Ba">[2]Input!$C$15</definedName>
    <definedName name="Bd">[2]Input!$C$14</definedName>
    <definedName name="Be" localSheetId="14">'[2]Input (Assets)'!#REF!</definedName>
    <definedName name="Be" localSheetId="15">'[2]Input (Assets)'!#REF!</definedName>
    <definedName name="Be" localSheetId="13">'[2]Input (Assets)'!#REF!</definedName>
    <definedName name="Be" localSheetId="9">'[2]Input (Assets)'!#REF!</definedName>
    <definedName name="Be" localSheetId="10">'[2]Input (Assets)'!#REF!</definedName>
    <definedName name="Be" localSheetId="5">'[2]Input (Assets)'!#REF!</definedName>
    <definedName name="Be" localSheetId="6">'[2]Input (Assets)'!#REF!</definedName>
    <definedName name="Be" localSheetId="4">'[2]Input (Assets)'!#REF!</definedName>
    <definedName name="Be" localSheetId="7">'[2]Input (Assets)'!#REF!</definedName>
    <definedName name="Be" localSheetId="11">'[2]Input (Assets)'!#REF!</definedName>
    <definedName name="Be" localSheetId="12">'[2]Input (Assets)'!#REF!</definedName>
    <definedName name="Be">'[2]Input (Assets)'!#REF!</definedName>
    <definedName name="Depreciação" localSheetId="14">'[2]Input (Assets)'!#REF!</definedName>
    <definedName name="Depreciação" localSheetId="15">'[2]Input (Assets)'!#REF!</definedName>
    <definedName name="Depreciação" localSheetId="13">'[2]Input (Assets)'!#REF!</definedName>
    <definedName name="Depreciação" localSheetId="10">'[2]Input (Assets)'!#REF!</definedName>
    <definedName name="Depreciação" localSheetId="5">'[2]Input (Assets)'!#REF!</definedName>
    <definedName name="Depreciação" localSheetId="6">'[2]Input (Assets)'!#REF!</definedName>
    <definedName name="Depreciação" localSheetId="4">'[2]Input (Assets)'!#REF!</definedName>
    <definedName name="Depreciação" localSheetId="7">'[2]Input (Assets)'!#REF!</definedName>
    <definedName name="Depreciação" localSheetId="11">'[2]Input (Assets)'!#REF!</definedName>
    <definedName name="Depreciação" localSheetId="12">'[2]Input (Assets)'!#REF!</definedName>
    <definedName name="Depreciação">'[2]Input (Assets)'!#REF!</definedName>
    <definedName name="dm">[2]Input!$C$10</definedName>
    <definedName name="equity">'[1]T-Bill'!$S$45</definedName>
    <definedName name="EV">[2]Input!$C$13</definedName>
    <definedName name="g">[2]Input!$C$12</definedName>
    <definedName name="ICB">[2]Input!$C$4</definedName>
    <definedName name="MRP">[2]Input!$C$11</definedName>
    <definedName name="PERIOD" localSheetId="14">#REF!</definedName>
    <definedName name="PERIOD" localSheetId="15">#REF!</definedName>
    <definedName name="PERIOD" localSheetId="13">#REF!</definedName>
    <definedName name="PERIOD" localSheetId="9">#REF!</definedName>
    <definedName name="PERIOD" localSheetId="10">#REF!</definedName>
    <definedName name="PERIOD" localSheetId="5">#REF!</definedName>
    <definedName name="PERIOD" localSheetId="6">#REF!</definedName>
    <definedName name="PERIOD" localSheetId="4">#REF!</definedName>
    <definedName name="PERIOD" localSheetId="7">#REF!</definedName>
    <definedName name="PERIOD" localSheetId="11">#REF!</definedName>
    <definedName name="PERIOD" localSheetId="12">#REF!</definedName>
    <definedName name="PERIOD">#REF!</definedName>
    <definedName name="Rf">[2]Input!$C$8</definedName>
    <definedName name="RiskCollectDistributionSamples">2</definedName>
    <definedName name="RiskFixedSeed">1</definedName>
    <definedName name="RiskHasSettings">TRUE</definedName>
    <definedName name="RiskMinimizeOnStart">FALSE</definedName>
    <definedName name="RiskMonitorConvergence">FALSE</definedName>
    <definedName name="RiskNumIterations">1000</definedName>
    <definedName name="RiskNumSimulations">1</definedName>
    <definedName name="RiskPauseOnError">FALSE</definedName>
    <definedName name="RiskRealTimeResults">FALSE</definedName>
    <definedName name="RiskResultsUpdateFreq">100</definedName>
    <definedName name="RiskRunAfterRecalcMacro">FALSE</definedName>
    <definedName name="RiskRunAfterSimMacro">FALSE</definedName>
    <definedName name="RiskRunBeforeRecalcMacro">FALSE</definedName>
    <definedName name="RiskRunBeforeSimMacro">FALSE</definedName>
    <definedName name="RiskSamplingType">3</definedName>
    <definedName name="RiskStandardRecalc">1</definedName>
    <definedName name="RiskStatFunctionsUpdateFreq">1</definedName>
    <definedName name="RiskUpdateDisplay">FALSE</definedName>
    <definedName name="RiskUpdateStatFunctions">TRUE</definedName>
    <definedName name="RiskUseDifferentSeedForEachSim">FALSE</definedName>
    <definedName name="RiskUseFixedSeed">FALSE</definedName>
    <definedName name="rrf">[2]Input!$C$9</definedName>
    <definedName name="solver_adj" localSheetId="5" hidden="1">'FC ECTL'!$C$41</definedName>
    <definedName name="solver_adj" localSheetId="6" hidden="1">'FC EM'!$C$41</definedName>
    <definedName name="solver_adj" localSheetId="4" hidden="1">'FC E-S'!$C$41</definedName>
    <definedName name="solver_adj" localSheetId="7" hidden="1">'FC Total'!$C$41</definedName>
    <definedName name="solver_cvg" localSheetId="5" hidden="1">0.0001</definedName>
    <definedName name="solver_cvg" localSheetId="6" hidden="1">0.0001</definedName>
    <definedName name="solver_cvg" localSheetId="4" hidden="1">0.0001</definedName>
    <definedName name="solver_cvg" localSheetId="7" hidden="1">0.0001</definedName>
    <definedName name="solver_drv" localSheetId="5" hidden="1">1</definedName>
    <definedName name="solver_drv" localSheetId="6" hidden="1">1</definedName>
    <definedName name="solver_drv" localSheetId="4" hidden="1">1</definedName>
    <definedName name="solver_drv" localSheetId="7" hidden="1">1</definedName>
    <definedName name="solver_eng" localSheetId="5" hidden="1">1</definedName>
    <definedName name="solver_eng" localSheetId="6" hidden="1">1</definedName>
    <definedName name="solver_eng" localSheetId="4" hidden="1">1</definedName>
    <definedName name="solver_eng" localSheetId="7" hidden="1">1</definedName>
    <definedName name="solver_est" localSheetId="5" hidden="1">1</definedName>
    <definedName name="solver_est" localSheetId="6" hidden="1">1</definedName>
    <definedName name="solver_est" localSheetId="4" hidden="1">1</definedName>
    <definedName name="solver_est" localSheetId="7" hidden="1">1</definedName>
    <definedName name="solver_itr" localSheetId="5" hidden="1">2147483647</definedName>
    <definedName name="solver_itr" localSheetId="6" hidden="1">2147483647</definedName>
    <definedName name="solver_itr" localSheetId="4" hidden="1">2147483647</definedName>
    <definedName name="solver_itr" localSheetId="7" hidden="1">2147483647</definedName>
    <definedName name="solver_mip" localSheetId="5" hidden="1">2147483647</definedName>
    <definedName name="solver_mip" localSheetId="6" hidden="1">2147483647</definedName>
    <definedName name="solver_mip" localSheetId="4" hidden="1">2147483647</definedName>
    <definedName name="solver_mip" localSheetId="7" hidden="1">2147483647</definedName>
    <definedName name="solver_mni" localSheetId="5" hidden="1">30</definedName>
    <definedName name="solver_mni" localSheetId="6" hidden="1">30</definedName>
    <definedName name="solver_mni" localSheetId="4" hidden="1">30</definedName>
    <definedName name="solver_mni" localSheetId="7" hidden="1">30</definedName>
    <definedName name="solver_mrt" localSheetId="5" hidden="1">0.075</definedName>
    <definedName name="solver_mrt" localSheetId="6" hidden="1">0.075</definedName>
    <definedName name="solver_mrt" localSheetId="4" hidden="1">0.075</definedName>
    <definedName name="solver_mrt" localSheetId="7" hidden="1">0.075</definedName>
    <definedName name="solver_msl" localSheetId="5" hidden="1">2</definedName>
    <definedName name="solver_msl" localSheetId="6" hidden="1">2</definedName>
    <definedName name="solver_msl" localSheetId="4" hidden="1">2</definedName>
    <definedName name="solver_msl" localSheetId="7" hidden="1">2</definedName>
    <definedName name="solver_neg" localSheetId="5" hidden="1">1</definedName>
    <definedName name="solver_neg" localSheetId="6" hidden="1">1</definedName>
    <definedName name="solver_neg" localSheetId="4" hidden="1">1</definedName>
    <definedName name="solver_neg" localSheetId="7" hidden="1">1</definedName>
    <definedName name="solver_nod" localSheetId="5" hidden="1">2147483647</definedName>
    <definedName name="solver_nod" localSheetId="6" hidden="1">2147483647</definedName>
    <definedName name="solver_nod" localSheetId="4" hidden="1">2147483647</definedName>
    <definedName name="solver_nod" localSheetId="7" hidden="1">2147483647</definedName>
    <definedName name="solver_num" localSheetId="5" hidden="1">0</definedName>
    <definedName name="solver_num" localSheetId="6" hidden="1">0</definedName>
    <definedName name="solver_num" localSheetId="4" hidden="1">0</definedName>
    <definedName name="solver_num" localSheetId="7" hidden="1">0</definedName>
    <definedName name="solver_nwt" localSheetId="5" hidden="1">1</definedName>
    <definedName name="solver_nwt" localSheetId="6" hidden="1">1</definedName>
    <definedName name="solver_nwt" localSheetId="4" hidden="1">1</definedName>
    <definedName name="solver_nwt" localSheetId="7" hidden="1">1</definedName>
    <definedName name="solver_opt" localSheetId="5" hidden="1">'FC ECTL'!$C$39</definedName>
    <definedName name="solver_opt" localSheetId="6" hidden="1">'FC EM'!$C$39</definedName>
    <definedName name="solver_opt" localSheetId="4" hidden="1">'FC E-S'!$C$39</definedName>
    <definedName name="solver_opt" localSheetId="7" hidden="1">'FC Total'!$C$39</definedName>
    <definedName name="solver_pre" localSheetId="5" hidden="1">0.000001</definedName>
    <definedName name="solver_pre" localSheetId="6" hidden="1">0.000001</definedName>
    <definedName name="solver_pre" localSheetId="4" hidden="1">0.000001</definedName>
    <definedName name="solver_pre" localSheetId="7" hidden="1">0.000001</definedName>
    <definedName name="solver_rbv" localSheetId="5" hidden="1">1</definedName>
    <definedName name="solver_rbv" localSheetId="6" hidden="1">1</definedName>
    <definedName name="solver_rbv" localSheetId="4" hidden="1">1</definedName>
    <definedName name="solver_rbv" localSheetId="7" hidden="1">1</definedName>
    <definedName name="solver_rlx" localSheetId="5" hidden="1">2</definedName>
    <definedName name="solver_rlx" localSheetId="6" hidden="1">2</definedName>
    <definedName name="solver_rlx" localSheetId="4" hidden="1">2</definedName>
    <definedName name="solver_rlx" localSheetId="7" hidden="1">2</definedName>
    <definedName name="solver_rsd" localSheetId="5" hidden="1">0</definedName>
    <definedName name="solver_rsd" localSheetId="6" hidden="1">0</definedName>
    <definedName name="solver_rsd" localSheetId="4" hidden="1">0</definedName>
    <definedName name="solver_rsd" localSheetId="7" hidden="1">0</definedName>
    <definedName name="solver_scl" localSheetId="5" hidden="1">1</definedName>
    <definedName name="solver_scl" localSheetId="6" hidden="1">1</definedName>
    <definedName name="solver_scl" localSheetId="4" hidden="1">1</definedName>
    <definedName name="solver_scl" localSheetId="7" hidden="1">1</definedName>
    <definedName name="solver_sho" localSheetId="5" hidden="1">2</definedName>
    <definedName name="solver_sho" localSheetId="6" hidden="1">2</definedName>
    <definedName name="solver_sho" localSheetId="4" hidden="1">2</definedName>
    <definedName name="solver_sho" localSheetId="7" hidden="1">2</definedName>
    <definedName name="solver_ssz" localSheetId="5" hidden="1">100</definedName>
    <definedName name="solver_ssz" localSheetId="6" hidden="1">100</definedName>
    <definedName name="solver_ssz" localSheetId="4" hidden="1">100</definedName>
    <definedName name="solver_ssz" localSheetId="7" hidden="1">100</definedName>
    <definedName name="solver_tim" localSheetId="5" hidden="1">2147483647</definedName>
    <definedName name="solver_tim" localSheetId="6" hidden="1">2147483647</definedName>
    <definedName name="solver_tim" localSheetId="4" hidden="1">2147483647</definedName>
    <definedName name="solver_tim" localSheetId="7" hidden="1">2147483647</definedName>
    <definedName name="solver_tol" localSheetId="5" hidden="1">0.01</definedName>
    <definedName name="solver_tol" localSheetId="6" hidden="1">0.01</definedName>
    <definedName name="solver_tol" localSheetId="4" hidden="1">0.01</definedName>
    <definedName name="solver_tol" localSheetId="7" hidden="1">0.01</definedName>
    <definedName name="solver_typ" localSheetId="5" hidden="1">3</definedName>
    <definedName name="solver_typ" localSheetId="6" hidden="1">3</definedName>
    <definedName name="solver_typ" localSheetId="4" hidden="1">3</definedName>
    <definedName name="solver_typ" localSheetId="7" hidden="1">3</definedName>
    <definedName name="solver_val" localSheetId="5" hidden="1">0</definedName>
    <definedName name="solver_val" localSheetId="6" hidden="1">0</definedName>
    <definedName name="solver_val" localSheetId="4" hidden="1">0</definedName>
    <definedName name="solver_val" localSheetId="7" hidden="1">0</definedName>
    <definedName name="solver_ver" localSheetId="5" hidden="1">3</definedName>
    <definedName name="solver_ver" localSheetId="6" hidden="1">3</definedName>
    <definedName name="solver_ver" localSheetId="4" hidden="1">3</definedName>
    <definedName name="solver_ver" localSheetId="7" hidden="1">3</definedName>
    <definedName name="spider">[1]TIPS!$D$20</definedName>
    <definedName name="tarifa" localSheetId="14">#REF!</definedName>
    <definedName name="tarifa" localSheetId="15">#REF!</definedName>
    <definedName name="tarifa" localSheetId="13">#REF!</definedName>
    <definedName name="tarifa" localSheetId="9">#REF!</definedName>
    <definedName name="tarifa" localSheetId="10">#REF!</definedName>
    <definedName name="tarifa" localSheetId="5">#REF!</definedName>
    <definedName name="tarifa" localSheetId="6">#REF!</definedName>
    <definedName name="tarifa" localSheetId="4">#REF!</definedName>
    <definedName name="tarifa" localSheetId="7">#REF!</definedName>
    <definedName name="tarifa" localSheetId="11">#REF!</definedName>
    <definedName name="tarifa" localSheetId="12">#REF!</definedName>
    <definedName name="tarifa">#REF!</definedName>
    <definedName name="Tax_Life" localSheetId="14">[2]Input!#REF!</definedName>
    <definedName name="Tax_Life" localSheetId="15">[2]Input!#REF!</definedName>
    <definedName name="Tax_Life" localSheetId="13">[2]Input!#REF!</definedName>
    <definedName name="Tax_Life" localSheetId="9">[2]Input!#REF!</definedName>
    <definedName name="Tax_Life" localSheetId="10">[2]Input!#REF!</definedName>
    <definedName name="Tax_Life" localSheetId="5">[2]Input!#REF!</definedName>
    <definedName name="Tax_Life" localSheetId="6">[2]Input!#REF!</definedName>
    <definedName name="Tax_Life" localSheetId="4">[2]Input!#REF!</definedName>
    <definedName name="Tax_Life" localSheetId="7">[2]Input!#REF!</definedName>
    <definedName name="Tax_Life" localSheetId="11">[2]Input!#REF!</definedName>
    <definedName name="Tax_Life" localSheetId="12">[2]Input!#REF!</definedName>
    <definedName name="Tax_Life">[2]Input!#REF!</definedName>
    <definedName name="teste">'[1]T-Bill'!$R$38</definedName>
    <definedName name="teste2">'[1]T-Bill'!$U$48</definedName>
    <definedName name="Time_Horizon">[2]Input!$C$5</definedName>
    <definedName name="tir">'[1]T-Bill'!$Q$37</definedName>
    <definedName name="tir_equity">'[1]T-Bill'!$S$47</definedName>
    <definedName name="tri_equity">'[1]T-Bill'!$S$47</definedName>
    <definedName name="vanilla">[2]WACC!$E$30</definedName>
    <definedName name="VPL" localSheetId="14">#REF!</definedName>
    <definedName name="VPL" localSheetId="15">#REF!</definedName>
    <definedName name="VPL" localSheetId="13">#REF!</definedName>
    <definedName name="VPL" localSheetId="9">#REF!</definedName>
    <definedName name="VPL" localSheetId="10">#REF!</definedName>
    <definedName name="VPL" localSheetId="5">#REF!</definedName>
    <definedName name="VPL" localSheetId="6">#REF!</definedName>
    <definedName name="VPL" localSheetId="4">#REF!</definedName>
    <definedName name="VPL" localSheetId="7">#REF!</definedName>
    <definedName name="VPL" localSheetId="11">#REF!</definedName>
    <definedName name="VPL" localSheetId="12">#REF!</definedName>
    <definedName name="VPL">#REF!</definedName>
    <definedName name="xxx" localSheetId="14">#REF!</definedName>
    <definedName name="xxx" localSheetId="15">#REF!</definedName>
    <definedName name="xxx" localSheetId="13">#REF!</definedName>
    <definedName name="xxx" localSheetId="9">#REF!</definedName>
    <definedName name="xxx" localSheetId="10">#REF!</definedName>
    <definedName name="xxx" localSheetId="5">#REF!</definedName>
    <definedName name="xxx" localSheetId="6">#REF!</definedName>
    <definedName name="xxx" localSheetId="4">#REF!</definedName>
    <definedName name="xxx" localSheetId="7">#REF!</definedName>
    <definedName name="xxx" localSheetId="11">#REF!</definedName>
    <definedName name="xxx" localSheetId="12">#REF!</definedName>
    <definedName name="xxx">#REF!</definedName>
    <definedName name="yyy" localSheetId="14">#REF!</definedName>
    <definedName name="yyy" localSheetId="15">#REF!</definedName>
    <definedName name="yyy" localSheetId="13">#REF!</definedName>
    <definedName name="yyy" localSheetId="9">#REF!</definedName>
    <definedName name="yyy" localSheetId="10">#REF!</definedName>
    <definedName name="yyy" localSheetId="5">#REF!</definedName>
    <definedName name="yyy" localSheetId="6">#REF!</definedName>
    <definedName name="yyy" localSheetId="4">#REF!</definedName>
    <definedName name="yyy" localSheetId="7">#REF!</definedName>
    <definedName name="yyy" localSheetId="11">#REF!</definedName>
    <definedName name="yyy" localSheetId="12">#REF!</definedName>
    <definedName name="yyy">#REF!</definedName>
    <definedName name="βe" localSheetId="14">'[2]Input (Assets)'!#REF!</definedName>
    <definedName name="βe" localSheetId="15">'[2]Input (Assets)'!#REF!</definedName>
    <definedName name="βe" localSheetId="13">'[2]Input (Assets)'!#REF!</definedName>
    <definedName name="βe" localSheetId="9">'[2]Input (Assets)'!#REF!</definedName>
    <definedName name="βe" localSheetId="10">'[2]Input (Assets)'!#REF!</definedName>
    <definedName name="βe" localSheetId="5">'[2]Input (Assets)'!#REF!</definedName>
    <definedName name="βe" localSheetId="6">'[2]Input (Assets)'!#REF!</definedName>
    <definedName name="βe" localSheetId="4">'[2]Input (Assets)'!#REF!</definedName>
    <definedName name="βe" localSheetId="7">'[2]Input (Assets)'!#REF!</definedName>
    <definedName name="βe" localSheetId="11">'[2]Input (Assets)'!#REF!</definedName>
    <definedName name="βe" localSheetId="12">'[2]Input (Assets)'!#REF!</definedName>
    <definedName name="βe">'[2]Input (Assets)'!#REF!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9" i="115" l="1"/>
  <c r="F9" i="115"/>
  <c r="E9" i="115"/>
  <c r="D9" i="115"/>
  <c r="C9" i="115"/>
  <c r="I37" i="114" l="1"/>
  <c r="I27" i="114"/>
  <c r="E29" i="113"/>
  <c r="I102" i="113"/>
  <c r="B91" i="113"/>
  <c r="C83" i="113"/>
  <c r="C80" i="113"/>
  <c r="B76" i="113"/>
  <c r="B75" i="113"/>
  <c r="B74" i="113"/>
  <c r="B73" i="113"/>
  <c r="B72" i="113"/>
  <c r="B71" i="113"/>
  <c r="B70" i="113"/>
  <c r="B69" i="113"/>
  <c r="B68" i="113"/>
  <c r="B67" i="113"/>
  <c r="B53" i="113"/>
  <c r="B62" i="113" s="1"/>
  <c r="C46" i="113"/>
  <c r="B46" i="113"/>
  <c r="A45" i="113"/>
  <c r="J44" i="113"/>
  <c r="K44" i="113" s="1"/>
  <c r="A44" i="113"/>
  <c r="D43" i="113" a="1"/>
  <c r="E43" i="113" s="1"/>
  <c r="E50" i="113" s="1"/>
  <c r="E88" i="113" s="1"/>
  <c r="L37" i="113"/>
  <c r="K37" i="113"/>
  <c r="J37" i="113"/>
  <c r="I37" i="113"/>
  <c r="H37" i="113"/>
  <c r="G37" i="113"/>
  <c r="F37" i="113"/>
  <c r="E37" i="113"/>
  <c r="D37" i="113"/>
  <c r="B37" i="113"/>
  <c r="L34" i="113"/>
  <c r="J34" i="113"/>
  <c r="D34" i="113" a="1"/>
  <c r="F34" i="113" s="1"/>
  <c r="C28" i="113"/>
  <c r="C27" i="113"/>
  <c r="B36" i="113"/>
  <c r="B35" i="113"/>
  <c r="B51" i="113" s="1"/>
  <c r="B60" i="113" s="1"/>
  <c r="B89" i="113" s="1"/>
  <c r="B14" i="113"/>
  <c r="B15" i="113" s="1"/>
  <c r="B13" i="113"/>
  <c r="B9" i="113" s="1"/>
  <c r="B11" i="113"/>
  <c r="B5" i="113"/>
  <c r="J44" i="112"/>
  <c r="K44" i="112" s="1"/>
  <c r="C28" i="112"/>
  <c r="C27" i="112"/>
  <c r="E27" i="112" s="1"/>
  <c r="B91" i="112"/>
  <c r="C83" i="112"/>
  <c r="C80" i="112"/>
  <c r="B76" i="112"/>
  <c r="B75" i="112"/>
  <c r="B74" i="112"/>
  <c r="B73" i="112"/>
  <c r="B72" i="112"/>
  <c r="B71" i="112"/>
  <c r="B70" i="112"/>
  <c r="B69" i="112"/>
  <c r="B68" i="112"/>
  <c r="B67" i="112"/>
  <c r="B53" i="112"/>
  <c r="B62" i="112" s="1"/>
  <c r="C46" i="112"/>
  <c r="B46" i="112"/>
  <c r="A45" i="112"/>
  <c r="A44" i="112"/>
  <c r="D43" i="112" a="1"/>
  <c r="H43" i="112" s="1"/>
  <c r="H50" i="112" s="1"/>
  <c r="H88" i="112" s="1"/>
  <c r="L37" i="112"/>
  <c r="K37" i="112"/>
  <c r="J37" i="112"/>
  <c r="I37" i="112"/>
  <c r="H37" i="112"/>
  <c r="G37" i="112"/>
  <c r="F37" i="112"/>
  <c r="E37" i="112"/>
  <c r="D37" i="112"/>
  <c r="B37" i="112"/>
  <c r="D34" i="112" a="1"/>
  <c r="K34" i="112" s="1"/>
  <c r="F29" i="112"/>
  <c r="B36" i="112"/>
  <c r="B52" i="112" s="1"/>
  <c r="B61" i="112" s="1"/>
  <c r="B90" i="112" s="1"/>
  <c r="B35" i="112"/>
  <c r="B14" i="112"/>
  <c r="B11" i="112"/>
  <c r="B5" i="112"/>
  <c r="B3" i="112" s="1"/>
  <c r="G34" i="113" l="1"/>
  <c r="F43" i="113"/>
  <c r="F50" i="113" s="1"/>
  <c r="F88" i="113" s="1"/>
  <c r="D34" i="113"/>
  <c r="H34" i="113"/>
  <c r="B102" i="113"/>
  <c r="E34" i="113"/>
  <c r="I34" i="113"/>
  <c r="K34" i="113"/>
  <c r="C37" i="113"/>
  <c r="B12" i="113"/>
  <c r="B44" i="113"/>
  <c r="B3" i="113"/>
  <c r="B45" i="113"/>
  <c r="B52" i="113"/>
  <c r="B61" i="113" s="1"/>
  <c r="B90" i="113" s="1"/>
  <c r="G43" i="113"/>
  <c r="G50" i="113" s="1"/>
  <c r="G88" i="113" s="1"/>
  <c r="H43" i="113"/>
  <c r="H50" i="113" s="1"/>
  <c r="H88" i="113" s="1"/>
  <c r="I43" i="113"/>
  <c r="I50" i="113" s="1"/>
  <c r="I88" i="113" s="1"/>
  <c r="J43" i="113"/>
  <c r="J50" i="113" s="1"/>
  <c r="J88" i="113" s="1"/>
  <c r="K43" i="113"/>
  <c r="K50" i="113" s="1"/>
  <c r="K88" i="113" s="1"/>
  <c r="D43" i="113"/>
  <c r="D50" i="113" s="1"/>
  <c r="D88" i="113" s="1"/>
  <c r="L43" i="113"/>
  <c r="L50" i="113" s="1"/>
  <c r="L88" i="113" s="1"/>
  <c r="J43" i="112"/>
  <c r="J50" i="112" s="1"/>
  <c r="J88" i="112" s="1"/>
  <c r="G34" i="112"/>
  <c r="J34" i="112"/>
  <c r="G43" i="112"/>
  <c r="G50" i="112" s="1"/>
  <c r="G88" i="112" s="1"/>
  <c r="C37" i="112"/>
  <c r="F27" i="112"/>
  <c r="B44" i="112"/>
  <c r="B51" i="112"/>
  <c r="B60" i="112" s="1"/>
  <c r="B89" i="112" s="1"/>
  <c r="B12" i="112"/>
  <c r="B15" i="112"/>
  <c r="L34" i="112"/>
  <c r="D34" i="112"/>
  <c r="I34" i="112"/>
  <c r="H34" i="112"/>
  <c r="E34" i="112"/>
  <c r="F34" i="112"/>
  <c r="B45" i="112"/>
  <c r="I43" i="112"/>
  <c r="I50" i="112" s="1"/>
  <c r="I88" i="112" s="1"/>
  <c r="K43" i="112"/>
  <c r="K50" i="112" s="1"/>
  <c r="K88" i="112" s="1"/>
  <c r="D43" i="112"/>
  <c r="D50" i="112" s="1"/>
  <c r="D88" i="112" s="1"/>
  <c r="L43" i="112"/>
  <c r="L50" i="112" s="1"/>
  <c r="L88" i="112" s="1"/>
  <c r="E43" i="112"/>
  <c r="E50" i="112" s="1"/>
  <c r="E88" i="112" s="1"/>
  <c r="F43" i="112"/>
  <c r="F50" i="112" s="1"/>
  <c r="F88" i="112" s="1"/>
  <c r="F28" i="112" l="1"/>
  <c r="C71" i="96" l="1"/>
  <c r="G6" i="96"/>
  <c r="F6" i="96"/>
  <c r="E6" i="96"/>
  <c r="D6" i="96"/>
  <c r="C6" i="96"/>
  <c r="G33" i="96"/>
  <c r="C49" i="96"/>
  <c r="G17" i="96"/>
  <c r="I6" i="85" l="1"/>
  <c r="I18" i="85"/>
  <c r="I17" i="85"/>
  <c r="R11" i="110" l="1"/>
  <c r="Q11" i="110"/>
  <c r="P11" i="110"/>
  <c r="O11" i="110"/>
  <c r="N11" i="110"/>
  <c r="O5" i="110"/>
  <c r="R5" i="110"/>
  <c r="Q5" i="110"/>
  <c r="P5" i="110"/>
  <c r="N5" i="110"/>
  <c r="D49" i="96"/>
  <c r="E49" i="96"/>
  <c r="F49" i="96"/>
  <c r="G49" i="96"/>
  <c r="F62" i="105" l="1"/>
  <c r="F62" i="106"/>
  <c r="D63" i="106"/>
  <c r="D63" i="105"/>
  <c r="G62" i="106"/>
  <c r="G62" i="105"/>
  <c r="E63" i="106"/>
  <c r="E63" i="105"/>
  <c r="C62" i="106"/>
  <c r="C62" i="105"/>
  <c r="D62" i="106"/>
  <c r="D62" i="105"/>
  <c r="F63" i="106"/>
  <c r="F63" i="105"/>
  <c r="E62" i="106"/>
  <c r="E62" i="105"/>
  <c r="C63" i="106"/>
  <c r="C63" i="105"/>
  <c r="G63" i="106"/>
  <c r="G63" i="105"/>
  <c r="D5" i="99"/>
  <c r="E5" i="99"/>
  <c r="F5" i="99"/>
  <c r="G5" i="99"/>
  <c r="C5" i="99"/>
  <c r="G62" i="111"/>
  <c r="F62" i="111"/>
  <c r="E62" i="111"/>
  <c r="D62" i="111"/>
  <c r="C62" i="111"/>
  <c r="G61" i="111"/>
  <c r="F61" i="111"/>
  <c r="E61" i="111"/>
  <c r="D61" i="111"/>
  <c r="G59" i="111"/>
  <c r="F59" i="111"/>
  <c r="E59" i="111"/>
  <c r="D59" i="111"/>
  <c r="C59" i="111"/>
  <c r="G58" i="111"/>
  <c r="F58" i="111"/>
  <c r="E58" i="111"/>
  <c r="D58" i="111"/>
  <c r="C58" i="111"/>
  <c r="G57" i="111"/>
  <c r="F57" i="111"/>
  <c r="E57" i="111"/>
  <c r="D57" i="111"/>
  <c r="C57" i="111"/>
  <c r="G56" i="111"/>
  <c r="F56" i="111"/>
  <c r="E56" i="111"/>
  <c r="D56" i="111"/>
  <c r="C56" i="111"/>
  <c r="G55" i="111"/>
  <c r="F55" i="111"/>
  <c r="E55" i="111"/>
  <c r="D55" i="111"/>
  <c r="C55" i="111"/>
  <c r="D54" i="111"/>
  <c r="C54" i="111"/>
  <c r="G49" i="111"/>
  <c r="G75" i="111" s="1"/>
  <c r="F49" i="111"/>
  <c r="E49" i="111"/>
  <c r="E75" i="111" s="1"/>
  <c r="D49" i="111"/>
  <c r="C49" i="111"/>
  <c r="G48" i="111"/>
  <c r="F48" i="111"/>
  <c r="E48" i="111"/>
  <c r="E74" i="111" s="1"/>
  <c r="D48" i="111"/>
  <c r="D74" i="111" s="1"/>
  <c r="G46" i="111"/>
  <c r="F46" i="111"/>
  <c r="F72" i="111" s="1"/>
  <c r="E46" i="111"/>
  <c r="D46" i="111"/>
  <c r="C46" i="111"/>
  <c r="G45" i="111"/>
  <c r="F45" i="111"/>
  <c r="F71" i="111" s="1"/>
  <c r="E45" i="111"/>
  <c r="D45" i="111"/>
  <c r="C45" i="111"/>
  <c r="G44" i="111"/>
  <c r="F44" i="111"/>
  <c r="E44" i="111"/>
  <c r="D44" i="111"/>
  <c r="C44" i="111"/>
  <c r="C70" i="111" s="1"/>
  <c r="G43" i="111"/>
  <c r="F43" i="111"/>
  <c r="E43" i="111"/>
  <c r="D43" i="111"/>
  <c r="C43" i="111"/>
  <c r="G42" i="111"/>
  <c r="F42" i="111"/>
  <c r="E42" i="111"/>
  <c r="E68" i="111" s="1"/>
  <c r="D42" i="111"/>
  <c r="D68" i="111" s="1"/>
  <c r="C42" i="111"/>
  <c r="D41" i="111"/>
  <c r="C41" i="111"/>
  <c r="M93" i="111"/>
  <c r="G20" i="111"/>
  <c r="F20" i="111"/>
  <c r="E20" i="111"/>
  <c r="F115" i="113" s="1"/>
  <c r="D20" i="111"/>
  <c r="C20" i="111"/>
  <c r="G19" i="111"/>
  <c r="F19" i="111"/>
  <c r="E19" i="111"/>
  <c r="D19" i="111"/>
  <c r="G17" i="111"/>
  <c r="F17" i="111"/>
  <c r="E17" i="111"/>
  <c r="D17" i="111"/>
  <c r="E112" i="113" s="1"/>
  <c r="C17" i="111"/>
  <c r="G16" i="111"/>
  <c r="F16" i="111"/>
  <c r="E16" i="111"/>
  <c r="F111" i="113" s="1"/>
  <c r="D16" i="111"/>
  <c r="C16" i="111"/>
  <c r="G15" i="111"/>
  <c r="F15" i="111"/>
  <c r="G110" i="113" s="1"/>
  <c r="E15" i="111"/>
  <c r="D15" i="111"/>
  <c r="C15" i="111"/>
  <c r="G14" i="111"/>
  <c r="F14" i="111"/>
  <c r="E14" i="111"/>
  <c r="D14" i="111"/>
  <c r="C14" i="111"/>
  <c r="G13" i="111"/>
  <c r="H108" i="113" s="1"/>
  <c r="F13" i="111"/>
  <c r="E13" i="111"/>
  <c r="D13" i="111"/>
  <c r="E108" i="113" s="1"/>
  <c r="C13" i="111"/>
  <c r="D12" i="111"/>
  <c r="C12" i="111"/>
  <c r="J119" i="111"/>
  <c r="H119" i="111"/>
  <c r="F68" i="111" l="1"/>
  <c r="G71" i="111"/>
  <c r="F74" i="111"/>
  <c r="E70" i="111"/>
  <c r="C72" i="111"/>
  <c r="G74" i="111"/>
  <c r="F70" i="111"/>
  <c r="D72" i="111"/>
  <c r="E90" i="111"/>
  <c r="F110" i="113"/>
  <c r="C92" i="111"/>
  <c r="D112" i="113"/>
  <c r="G94" i="111"/>
  <c r="H114" i="113"/>
  <c r="C89" i="111"/>
  <c r="J89" i="111" s="1"/>
  <c r="D109" i="113"/>
  <c r="C95" i="111"/>
  <c r="D115" i="113"/>
  <c r="G95" i="111"/>
  <c r="H115" i="113"/>
  <c r="C87" i="111"/>
  <c r="D107" i="113"/>
  <c r="E88" i="111"/>
  <c r="F108" i="113"/>
  <c r="D89" i="111"/>
  <c r="E109" i="113"/>
  <c r="C90" i="111"/>
  <c r="D110" i="113"/>
  <c r="G90" i="111"/>
  <c r="H110" i="113"/>
  <c r="F91" i="111"/>
  <c r="G111" i="113"/>
  <c r="E92" i="111"/>
  <c r="F112" i="113"/>
  <c r="E94" i="111"/>
  <c r="F114" i="113"/>
  <c r="D95" i="111"/>
  <c r="E115" i="113"/>
  <c r="C88" i="111"/>
  <c r="D108" i="113"/>
  <c r="F89" i="111"/>
  <c r="G109" i="113"/>
  <c r="D91" i="111"/>
  <c r="E111" i="113"/>
  <c r="G92" i="111"/>
  <c r="H112" i="113"/>
  <c r="F95" i="111"/>
  <c r="G115" i="113"/>
  <c r="G89" i="111"/>
  <c r="H109" i="113"/>
  <c r="D94" i="111"/>
  <c r="E114" i="113"/>
  <c r="D87" i="111"/>
  <c r="E107" i="113"/>
  <c r="F88" i="111"/>
  <c r="G108" i="113"/>
  <c r="E89" i="111"/>
  <c r="F109" i="113"/>
  <c r="D90" i="111"/>
  <c r="E110" i="113"/>
  <c r="C91" i="111"/>
  <c r="D111" i="113"/>
  <c r="G91" i="111"/>
  <c r="H111" i="113"/>
  <c r="F92" i="111"/>
  <c r="G112" i="113"/>
  <c r="F94" i="111"/>
  <c r="G114" i="113"/>
  <c r="D69" i="111"/>
  <c r="G70" i="111"/>
  <c r="E72" i="111"/>
  <c r="D75" i="111"/>
  <c r="D71" i="111"/>
  <c r="G72" i="111"/>
  <c r="F75" i="111"/>
  <c r="C69" i="111"/>
  <c r="J58" i="111"/>
  <c r="J57" i="111"/>
  <c r="J62" i="111"/>
  <c r="J55" i="111"/>
  <c r="E69" i="111"/>
  <c r="D67" i="111"/>
  <c r="C68" i="111"/>
  <c r="G68" i="111"/>
  <c r="F69" i="111"/>
  <c r="J45" i="111"/>
  <c r="H58" i="111"/>
  <c r="H62" i="111"/>
  <c r="J59" i="111"/>
  <c r="H44" i="111"/>
  <c r="H45" i="111"/>
  <c r="H49" i="111"/>
  <c r="J56" i="111"/>
  <c r="H57" i="111"/>
  <c r="G69" i="111"/>
  <c r="E71" i="111"/>
  <c r="H43" i="111"/>
  <c r="J44" i="111"/>
  <c r="H56" i="111"/>
  <c r="J49" i="111"/>
  <c r="H42" i="111"/>
  <c r="J43" i="111"/>
  <c r="H46" i="111"/>
  <c r="H55" i="111"/>
  <c r="H59" i="111"/>
  <c r="C67" i="111"/>
  <c r="D70" i="111"/>
  <c r="C71" i="111"/>
  <c r="C75" i="111"/>
  <c r="J42" i="111"/>
  <c r="J46" i="111"/>
  <c r="D88" i="111"/>
  <c r="D92" i="111"/>
  <c r="E95" i="111"/>
  <c r="F90" i="111"/>
  <c r="H89" i="111"/>
  <c r="E91" i="111"/>
  <c r="G88" i="111"/>
  <c r="H14" i="111"/>
  <c r="H15" i="111"/>
  <c r="J16" i="111"/>
  <c r="J13" i="111"/>
  <c r="J15" i="111"/>
  <c r="J17" i="111"/>
  <c r="J20" i="111"/>
  <c r="J14" i="111"/>
  <c r="H13" i="111"/>
  <c r="H17" i="111"/>
  <c r="H16" i="111"/>
  <c r="H20" i="111"/>
  <c r="G62" i="110"/>
  <c r="C55" i="110"/>
  <c r="D55" i="110"/>
  <c r="E55" i="110"/>
  <c r="F55" i="110"/>
  <c r="G55" i="110"/>
  <c r="C56" i="110"/>
  <c r="D56" i="110"/>
  <c r="E56" i="110"/>
  <c r="F56" i="110"/>
  <c r="G56" i="110"/>
  <c r="C57" i="110"/>
  <c r="D57" i="110"/>
  <c r="E57" i="110"/>
  <c r="F57" i="110"/>
  <c r="G57" i="110"/>
  <c r="C58" i="110"/>
  <c r="D58" i="110"/>
  <c r="E58" i="110"/>
  <c r="F58" i="110"/>
  <c r="G58" i="110"/>
  <c r="C59" i="110"/>
  <c r="D59" i="110"/>
  <c r="E59" i="110"/>
  <c r="F59" i="110"/>
  <c r="G59" i="110"/>
  <c r="C60" i="110"/>
  <c r="D60" i="110"/>
  <c r="E60" i="110"/>
  <c r="F60" i="110"/>
  <c r="G60" i="110"/>
  <c r="C61" i="110"/>
  <c r="D61" i="110"/>
  <c r="E61" i="110"/>
  <c r="F61" i="110"/>
  <c r="G61" i="110"/>
  <c r="C62" i="110"/>
  <c r="D62" i="110"/>
  <c r="E62" i="110"/>
  <c r="F62" i="110"/>
  <c r="C54" i="110"/>
  <c r="D54" i="110"/>
  <c r="E54" i="110"/>
  <c r="G54" i="110"/>
  <c r="F54" i="110"/>
  <c r="C42" i="110"/>
  <c r="D42" i="110"/>
  <c r="E42" i="110"/>
  <c r="F42" i="110"/>
  <c r="G42" i="110"/>
  <c r="C43" i="110"/>
  <c r="D43" i="110"/>
  <c r="E43" i="110"/>
  <c r="F43" i="110"/>
  <c r="G43" i="110"/>
  <c r="C44" i="110"/>
  <c r="D44" i="110"/>
  <c r="E44" i="110"/>
  <c r="F44" i="110"/>
  <c r="G44" i="110"/>
  <c r="C45" i="110"/>
  <c r="D45" i="110"/>
  <c r="E45" i="110"/>
  <c r="F45" i="110"/>
  <c r="G45" i="110"/>
  <c r="C46" i="110"/>
  <c r="D46" i="110"/>
  <c r="E46" i="110"/>
  <c r="F46" i="110"/>
  <c r="G46" i="110"/>
  <c r="C47" i="110"/>
  <c r="D47" i="110"/>
  <c r="E47" i="110"/>
  <c r="F47" i="110"/>
  <c r="G47" i="110"/>
  <c r="C48" i="110"/>
  <c r="D48" i="110"/>
  <c r="E48" i="110"/>
  <c r="F48" i="110"/>
  <c r="G48" i="110"/>
  <c r="C49" i="110"/>
  <c r="D49" i="110"/>
  <c r="E49" i="110"/>
  <c r="F49" i="110"/>
  <c r="G49" i="110"/>
  <c r="G41" i="110"/>
  <c r="F41" i="110"/>
  <c r="E41" i="110"/>
  <c r="D41" i="110"/>
  <c r="C41" i="110"/>
  <c r="M113" i="110"/>
  <c r="J119" i="110"/>
  <c r="H119" i="110"/>
  <c r="G95" i="110"/>
  <c r="F95" i="110"/>
  <c r="E95" i="110"/>
  <c r="D95" i="110"/>
  <c r="C95" i="110"/>
  <c r="G94" i="110"/>
  <c r="F94" i="110"/>
  <c r="E94" i="110"/>
  <c r="D94" i="110"/>
  <c r="C94" i="110"/>
  <c r="G93" i="110"/>
  <c r="F93" i="110"/>
  <c r="E93" i="110"/>
  <c r="D93" i="110"/>
  <c r="C93" i="110"/>
  <c r="G92" i="110"/>
  <c r="F92" i="110"/>
  <c r="E92" i="110"/>
  <c r="D92" i="110"/>
  <c r="C92" i="110"/>
  <c r="G91" i="110"/>
  <c r="F91" i="110"/>
  <c r="E91" i="110"/>
  <c r="D91" i="110"/>
  <c r="C91" i="110"/>
  <c r="G90" i="110"/>
  <c r="F90" i="110"/>
  <c r="E90" i="110"/>
  <c r="D90" i="110"/>
  <c r="C90" i="110"/>
  <c r="G89" i="110"/>
  <c r="F89" i="110"/>
  <c r="E89" i="110"/>
  <c r="D89" i="110"/>
  <c r="C89" i="110"/>
  <c r="G88" i="110"/>
  <c r="F88" i="110"/>
  <c r="E88" i="110"/>
  <c r="D88" i="110"/>
  <c r="C88" i="110"/>
  <c r="G87" i="110"/>
  <c r="F87" i="110"/>
  <c r="E87" i="110"/>
  <c r="D87" i="110"/>
  <c r="C87" i="110"/>
  <c r="J20" i="110"/>
  <c r="H20" i="110"/>
  <c r="J19" i="110"/>
  <c r="H19" i="110"/>
  <c r="J18" i="110"/>
  <c r="H18" i="110"/>
  <c r="J17" i="110"/>
  <c r="H17" i="110"/>
  <c r="J16" i="110"/>
  <c r="H16" i="110"/>
  <c r="J15" i="110"/>
  <c r="H15" i="110"/>
  <c r="J14" i="110"/>
  <c r="H14" i="110"/>
  <c r="J13" i="110"/>
  <c r="H13" i="110"/>
  <c r="J12" i="110"/>
  <c r="H12" i="110"/>
  <c r="G11" i="110"/>
  <c r="F11" i="110"/>
  <c r="E11" i="110"/>
  <c r="D11" i="110"/>
  <c r="C11" i="110"/>
  <c r="H71" i="111" l="1"/>
  <c r="H70" i="111"/>
  <c r="I110" i="113"/>
  <c r="M23" i="113"/>
  <c r="I112" i="113"/>
  <c r="M25" i="113"/>
  <c r="H91" i="111"/>
  <c r="H95" i="111"/>
  <c r="J72" i="111"/>
  <c r="I111" i="113"/>
  <c r="M24" i="113"/>
  <c r="I115" i="113"/>
  <c r="M28" i="113"/>
  <c r="I108" i="113"/>
  <c r="M21" i="113"/>
  <c r="I109" i="113"/>
  <c r="M22" i="113"/>
  <c r="J92" i="111"/>
  <c r="H72" i="111"/>
  <c r="G68" i="110"/>
  <c r="J75" i="111"/>
  <c r="J95" i="111"/>
  <c r="J68" i="111"/>
  <c r="H68" i="111"/>
  <c r="E71" i="110"/>
  <c r="J70" i="111"/>
  <c r="G72" i="110"/>
  <c r="C72" i="110"/>
  <c r="C68" i="110"/>
  <c r="H75" i="111"/>
  <c r="H92" i="111"/>
  <c r="J71" i="111"/>
  <c r="J69" i="111"/>
  <c r="H69" i="111"/>
  <c r="J88" i="111"/>
  <c r="J91" i="111"/>
  <c r="J90" i="111"/>
  <c r="H88" i="111"/>
  <c r="H90" i="111"/>
  <c r="D86" i="110"/>
  <c r="E53" i="110"/>
  <c r="D53" i="110"/>
  <c r="F53" i="110"/>
  <c r="F40" i="110"/>
  <c r="J11" i="110"/>
  <c r="E40" i="110"/>
  <c r="D40" i="110"/>
  <c r="E86" i="110"/>
  <c r="J87" i="110"/>
  <c r="J91" i="110"/>
  <c r="F86" i="110"/>
  <c r="J88" i="110"/>
  <c r="J92" i="110"/>
  <c r="G40" i="110"/>
  <c r="G53" i="110"/>
  <c r="C86" i="110"/>
  <c r="G86" i="110"/>
  <c r="J89" i="110"/>
  <c r="H88" i="110"/>
  <c r="G69" i="110"/>
  <c r="G71" i="110"/>
  <c r="G73" i="110"/>
  <c r="G75" i="110"/>
  <c r="H87" i="110"/>
  <c r="H89" i="110"/>
  <c r="H91" i="110"/>
  <c r="J43" i="110"/>
  <c r="H43" i="110"/>
  <c r="J47" i="110"/>
  <c r="H47" i="110"/>
  <c r="J54" i="110"/>
  <c r="H54" i="110"/>
  <c r="J58" i="110"/>
  <c r="H58" i="110"/>
  <c r="J62" i="110"/>
  <c r="H62" i="110"/>
  <c r="G67" i="110"/>
  <c r="H11" i="110"/>
  <c r="I14" i="110" s="1"/>
  <c r="C40" i="110"/>
  <c r="J44" i="110"/>
  <c r="H44" i="110"/>
  <c r="J48" i="110"/>
  <c r="H48" i="110"/>
  <c r="J55" i="110"/>
  <c r="H55" i="110"/>
  <c r="J59" i="110"/>
  <c r="H59" i="110"/>
  <c r="C70" i="110"/>
  <c r="C74" i="110"/>
  <c r="H90" i="110"/>
  <c r="H92" i="110"/>
  <c r="H94" i="110"/>
  <c r="J90" i="110"/>
  <c r="J93" i="110"/>
  <c r="J94" i="110"/>
  <c r="J95" i="110"/>
  <c r="J41" i="110"/>
  <c r="H41" i="110"/>
  <c r="J45" i="110"/>
  <c r="H45" i="110"/>
  <c r="J49" i="110"/>
  <c r="H49" i="110"/>
  <c r="J56" i="110"/>
  <c r="H56" i="110"/>
  <c r="J60" i="110"/>
  <c r="H60" i="110"/>
  <c r="G70" i="110"/>
  <c r="G74" i="110"/>
  <c r="H93" i="110"/>
  <c r="H95" i="110"/>
  <c r="J42" i="110"/>
  <c r="H42" i="110"/>
  <c r="J46" i="110"/>
  <c r="H46" i="110"/>
  <c r="C53" i="110"/>
  <c r="C7" i="110" s="1"/>
  <c r="J57" i="110"/>
  <c r="H57" i="110"/>
  <c r="J61" i="110"/>
  <c r="H61" i="110"/>
  <c r="C67" i="110"/>
  <c r="C69" i="110"/>
  <c r="C71" i="110"/>
  <c r="C73" i="110"/>
  <c r="C75" i="110"/>
  <c r="D67" i="110"/>
  <c r="D68" i="110"/>
  <c r="D69" i="110"/>
  <c r="D70" i="110"/>
  <c r="D71" i="110"/>
  <c r="D72" i="110"/>
  <c r="D73" i="110"/>
  <c r="D74" i="110"/>
  <c r="D75" i="110"/>
  <c r="E67" i="110"/>
  <c r="E68" i="110"/>
  <c r="E69" i="110"/>
  <c r="E70" i="110"/>
  <c r="E72" i="110"/>
  <c r="E73" i="110"/>
  <c r="E74" i="110"/>
  <c r="E75" i="110"/>
  <c r="F67" i="110"/>
  <c r="F68" i="110"/>
  <c r="F69" i="110"/>
  <c r="F70" i="110"/>
  <c r="F71" i="110"/>
  <c r="F72" i="110"/>
  <c r="F73" i="110"/>
  <c r="F74" i="110"/>
  <c r="F75" i="110"/>
  <c r="C66" i="110" l="1"/>
  <c r="F7" i="110"/>
  <c r="F82" i="110" s="1"/>
  <c r="G7" i="110"/>
  <c r="D7" i="110"/>
  <c r="D82" i="110" s="1"/>
  <c r="C82" i="110"/>
  <c r="E7" i="110"/>
  <c r="E82" i="110" s="1"/>
  <c r="H86" i="110"/>
  <c r="I86" i="110" s="1"/>
  <c r="J86" i="110"/>
  <c r="J72" i="110"/>
  <c r="H68" i="110"/>
  <c r="E66" i="110"/>
  <c r="J71" i="110"/>
  <c r="H71" i="110"/>
  <c r="J53" i="110"/>
  <c r="H53" i="110"/>
  <c r="I53" i="110" s="1"/>
  <c r="J70" i="110"/>
  <c r="H70" i="110"/>
  <c r="G66" i="110"/>
  <c r="J68" i="110"/>
  <c r="I16" i="110"/>
  <c r="J69" i="110"/>
  <c r="H69" i="110"/>
  <c r="H72" i="110"/>
  <c r="F66" i="110"/>
  <c r="D66" i="110"/>
  <c r="J75" i="110"/>
  <c r="H75" i="110"/>
  <c r="J67" i="110"/>
  <c r="H67" i="110"/>
  <c r="J40" i="110"/>
  <c r="H40" i="110"/>
  <c r="I40" i="110" s="1"/>
  <c r="I15" i="110"/>
  <c r="I11" i="110"/>
  <c r="I17" i="110"/>
  <c r="I13" i="110"/>
  <c r="I19" i="110"/>
  <c r="I20" i="110"/>
  <c r="I12" i="110"/>
  <c r="J73" i="110"/>
  <c r="H73" i="110"/>
  <c r="J74" i="110"/>
  <c r="H74" i="110"/>
  <c r="I18" i="110"/>
  <c r="D51" i="99" l="1"/>
  <c r="D37" i="99"/>
  <c r="D31" i="99"/>
  <c r="D58" i="99"/>
  <c r="D45" i="99"/>
  <c r="D34" i="99"/>
  <c r="D44" i="99"/>
  <c r="D59" i="99"/>
  <c r="D50" i="99"/>
  <c r="D57" i="99"/>
  <c r="D47" i="99"/>
  <c r="D62" i="99"/>
  <c r="D32" i="99"/>
  <c r="D60" i="99"/>
  <c r="D39" i="99"/>
  <c r="D35" i="99"/>
  <c r="D52" i="99"/>
  <c r="D33" i="99"/>
  <c r="D46" i="99"/>
  <c r="D38" i="99"/>
  <c r="D36" i="99"/>
  <c r="D65" i="99"/>
  <c r="D61" i="99"/>
  <c r="D48" i="99"/>
  <c r="D63" i="99"/>
  <c r="D64" i="99"/>
  <c r="D49" i="99"/>
  <c r="C61" i="99"/>
  <c r="C60" i="99"/>
  <c r="C51" i="99"/>
  <c r="C63" i="99"/>
  <c r="C65" i="99"/>
  <c r="C44" i="99"/>
  <c r="C36" i="99"/>
  <c r="C35" i="99"/>
  <c r="C38" i="99"/>
  <c r="C47" i="99"/>
  <c r="C39" i="99"/>
  <c r="C57" i="99"/>
  <c r="C49" i="99"/>
  <c r="C64" i="99"/>
  <c r="C33" i="99"/>
  <c r="C50" i="99"/>
  <c r="C48" i="99"/>
  <c r="C31" i="99"/>
  <c r="C58" i="99"/>
  <c r="C45" i="99"/>
  <c r="C34" i="99"/>
  <c r="C52" i="99"/>
  <c r="C37" i="99"/>
  <c r="C59" i="99"/>
  <c r="C46" i="99"/>
  <c r="C62" i="99"/>
  <c r="C32" i="99"/>
  <c r="F35" i="99"/>
  <c r="F49" i="99"/>
  <c r="F31" i="99"/>
  <c r="F38" i="99"/>
  <c r="F51" i="99"/>
  <c r="F46" i="99"/>
  <c r="F65" i="99"/>
  <c r="F47" i="99"/>
  <c r="F37" i="99"/>
  <c r="F33" i="99"/>
  <c r="F39" i="99"/>
  <c r="F52" i="99"/>
  <c r="F44" i="99"/>
  <c r="F45" i="99"/>
  <c r="F60" i="99"/>
  <c r="F36" i="99"/>
  <c r="F32" i="99"/>
  <c r="F63" i="99"/>
  <c r="F59" i="99"/>
  <c r="F61" i="99"/>
  <c r="F48" i="99"/>
  <c r="F57" i="99"/>
  <c r="F64" i="99"/>
  <c r="F34" i="99"/>
  <c r="F62" i="99"/>
  <c r="F58" i="99"/>
  <c r="F50" i="99"/>
  <c r="E57" i="99"/>
  <c r="E58" i="99"/>
  <c r="E35" i="99"/>
  <c r="E48" i="99"/>
  <c r="E38" i="99"/>
  <c r="E34" i="99"/>
  <c r="E36" i="99"/>
  <c r="E39" i="99"/>
  <c r="E61" i="99"/>
  <c r="E50" i="99"/>
  <c r="E63" i="99"/>
  <c r="E59" i="99"/>
  <c r="E46" i="99"/>
  <c r="E62" i="99"/>
  <c r="E49" i="99"/>
  <c r="E65" i="99"/>
  <c r="E44" i="99"/>
  <c r="E51" i="99"/>
  <c r="E37" i="99"/>
  <c r="E33" i="99"/>
  <c r="E31" i="99"/>
  <c r="E32" i="99"/>
  <c r="E45" i="99"/>
  <c r="E52" i="99"/>
  <c r="E64" i="99"/>
  <c r="E60" i="99"/>
  <c r="E47" i="99"/>
  <c r="G65" i="99"/>
  <c r="G64" i="99"/>
  <c r="G47" i="99"/>
  <c r="G61" i="99"/>
  <c r="G33" i="99"/>
  <c r="G31" i="99"/>
  <c r="G62" i="99"/>
  <c r="G32" i="99"/>
  <c r="G49" i="99"/>
  <c r="G39" i="99"/>
  <c r="G48" i="99"/>
  <c r="G34" i="99"/>
  <c r="G44" i="99"/>
  <c r="G35" i="99"/>
  <c r="G37" i="99"/>
  <c r="G59" i="99"/>
  <c r="G50" i="99"/>
  <c r="G36" i="99"/>
  <c r="G45" i="99"/>
  <c r="G60" i="99"/>
  <c r="G63" i="99"/>
  <c r="G46" i="99"/>
  <c r="G38" i="99"/>
  <c r="G51" i="99"/>
  <c r="G52" i="99"/>
  <c r="G57" i="99"/>
  <c r="G58" i="99"/>
  <c r="I94" i="110"/>
  <c r="I93" i="110"/>
  <c r="I91" i="110"/>
  <c r="I88" i="110"/>
  <c r="J7" i="110"/>
  <c r="H7" i="110"/>
  <c r="G82" i="110"/>
  <c r="I95" i="110"/>
  <c r="I89" i="110"/>
  <c r="I87" i="110"/>
  <c r="I90" i="110"/>
  <c r="I92" i="110"/>
  <c r="I56" i="110"/>
  <c r="I60" i="110"/>
  <c r="I62" i="110"/>
  <c r="I55" i="110"/>
  <c r="I59" i="110"/>
  <c r="I57" i="110"/>
  <c r="I54" i="110"/>
  <c r="I61" i="110"/>
  <c r="I58" i="110"/>
  <c r="I48" i="110"/>
  <c r="I45" i="110"/>
  <c r="I49" i="110"/>
  <c r="I41" i="110"/>
  <c r="I43" i="110"/>
  <c r="I46" i="110"/>
  <c r="J66" i="110"/>
  <c r="H66" i="110"/>
  <c r="I44" i="110"/>
  <c r="I42" i="110"/>
  <c r="I47" i="110"/>
  <c r="E43" i="99" l="1"/>
  <c r="C30" i="99"/>
  <c r="E30" i="99"/>
  <c r="C43" i="99"/>
  <c r="J82" i="110"/>
  <c r="F30" i="99"/>
  <c r="G30" i="99"/>
  <c r="F43" i="99"/>
  <c r="D43" i="99"/>
  <c r="D30" i="99"/>
  <c r="I72" i="110"/>
  <c r="H39" i="99"/>
  <c r="H60" i="99"/>
  <c r="H35" i="99"/>
  <c r="H62" i="99"/>
  <c r="H65" i="99"/>
  <c r="H37" i="99"/>
  <c r="H58" i="99"/>
  <c r="H61" i="99"/>
  <c r="H52" i="99"/>
  <c r="H51" i="99"/>
  <c r="H64" i="99"/>
  <c r="H32" i="99"/>
  <c r="H36" i="99"/>
  <c r="H31" i="99"/>
  <c r="H47" i="99"/>
  <c r="H45" i="99"/>
  <c r="H44" i="99"/>
  <c r="H50" i="99"/>
  <c r="H57" i="99"/>
  <c r="H48" i="99"/>
  <c r="H34" i="99"/>
  <c r="H46" i="99"/>
  <c r="H59" i="99"/>
  <c r="H49" i="99"/>
  <c r="H63" i="99"/>
  <c r="H33" i="99"/>
  <c r="H38" i="99"/>
  <c r="J51" i="99"/>
  <c r="J49" i="99"/>
  <c r="J62" i="99"/>
  <c r="J31" i="99"/>
  <c r="J46" i="99"/>
  <c r="J59" i="99"/>
  <c r="J64" i="99"/>
  <c r="J50" i="99"/>
  <c r="J57" i="99"/>
  <c r="J48" i="99"/>
  <c r="J35" i="99"/>
  <c r="J33" i="99"/>
  <c r="J38" i="99"/>
  <c r="J45" i="99"/>
  <c r="J32" i="99"/>
  <c r="J52" i="99"/>
  <c r="J39" i="99"/>
  <c r="J63" i="99"/>
  <c r="J61" i="99"/>
  <c r="J36" i="99"/>
  <c r="J65" i="99"/>
  <c r="J37" i="99"/>
  <c r="J60" i="99"/>
  <c r="J58" i="99"/>
  <c r="J44" i="99"/>
  <c r="J47" i="99"/>
  <c r="J34" i="99"/>
  <c r="G43" i="99"/>
  <c r="H82" i="110"/>
  <c r="I71" i="110"/>
  <c r="I70" i="110"/>
  <c r="I75" i="110"/>
  <c r="I74" i="110"/>
  <c r="I73" i="110"/>
  <c r="I67" i="110"/>
  <c r="I66" i="110"/>
  <c r="I68" i="110"/>
  <c r="I69" i="110"/>
  <c r="J43" i="99" l="1"/>
  <c r="J30" i="99"/>
  <c r="H30" i="99"/>
  <c r="I30" i="99" s="1"/>
  <c r="H43" i="99"/>
  <c r="I43" i="99" s="1"/>
  <c r="I32" i="99" l="1"/>
  <c r="I33" i="99"/>
  <c r="I47" i="99"/>
  <c r="I34" i="99"/>
  <c r="I35" i="99"/>
  <c r="I36" i="99"/>
  <c r="I31" i="99"/>
  <c r="I39" i="99"/>
  <c r="I37" i="99"/>
  <c r="I50" i="99"/>
  <c r="I49" i="99"/>
  <c r="I48" i="99"/>
  <c r="I46" i="99"/>
  <c r="I38" i="99"/>
  <c r="I44" i="99"/>
  <c r="I52" i="99"/>
  <c r="I51" i="99"/>
  <c r="I45" i="99"/>
  <c r="C37" i="105" l="1"/>
  <c r="D37" i="105" l="1"/>
  <c r="E37" i="105" l="1"/>
  <c r="F37" i="105" s="1"/>
  <c r="G37" i="105" l="1"/>
  <c r="I37" i="107" l="1"/>
  <c r="I27" i="107"/>
  <c r="C65" i="106" l="1"/>
  <c r="D65" i="106" s="1"/>
  <c r="C60" i="106"/>
  <c r="G51" i="106"/>
  <c r="F51" i="106"/>
  <c r="E51" i="106"/>
  <c r="D51" i="106"/>
  <c r="C51" i="106"/>
  <c r="G50" i="106"/>
  <c r="F50" i="106"/>
  <c r="E50" i="106"/>
  <c r="D50" i="106"/>
  <c r="C50" i="106"/>
  <c r="C42" i="106"/>
  <c r="C65" i="105"/>
  <c r="D65" i="105" s="1"/>
  <c r="C60" i="105"/>
  <c r="G51" i="105"/>
  <c r="F51" i="105"/>
  <c r="E51" i="105"/>
  <c r="D51" i="105"/>
  <c r="C51" i="105"/>
  <c r="G50" i="105"/>
  <c r="F50" i="105"/>
  <c r="E50" i="105"/>
  <c r="D50" i="105"/>
  <c r="C50" i="105"/>
  <c r="C42" i="105"/>
  <c r="B65" i="9"/>
  <c r="C65" i="9" s="1"/>
  <c r="D65" i="9" s="1"/>
  <c r="E65" i="9" s="1"/>
  <c r="F65" i="9" s="1"/>
  <c r="I135" i="99"/>
  <c r="C66" i="106" l="1"/>
  <c r="D66" i="106" s="1"/>
  <c r="C66" i="105"/>
  <c r="E65" i="106"/>
  <c r="E65" i="105"/>
  <c r="E66" i="106" l="1"/>
  <c r="F66" i="106" s="1"/>
  <c r="G66" i="106" s="1"/>
  <c r="D66" i="105"/>
  <c r="F65" i="106"/>
  <c r="F65" i="105"/>
  <c r="E66" i="105" l="1"/>
  <c r="G65" i="106"/>
  <c r="G65" i="105"/>
  <c r="F66" i="105" l="1"/>
  <c r="G66" i="105" l="1"/>
  <c r="C183" i="99" l="1"/>
  <c r="C177" i="99"/>
  <c r="C19" i="99" l="1"/>
  <c r="C18" i="99"/>
  <c r="C17" i="99"/>
  <c r="C16" i="99"/>
  <c r="C15" i="99"/>
  <c r="C14" i="99"/>
  <c r="C12" i="99"/>
  <c r="C11" i="99"/>
  <c r="J5" i="99"/>
  <c r="H5" i="99"/>
  <c r="C87" i="96"/>
  <c r="C76" i="99" l="1"/>
  <c r="D44" i="113"/>
  <c r="D44" i="112"/>
  <c r="I44" i="112"/>
  <c r="I44" i="113"/>
  <c r="E44" i="113"/>
  <c r="E44" i="112"/>
  <c r="G44" i="113"/>
  <c r="G44" i="112"/>
  <c r="E22" i="112"/>
  <c r="C22" i="112"/>
  <c r="C22" i="113"/>
  <c r="I27" i="113"/>
  <c r="I24" i="113"/>
  <c r="I21" i="112"/>
  <c r="I25" i="112"/>
  <c r="I20" i="112"/>
  <c r="I28" i="113"/>
  <c r="I26" i="113"/>
  <c r="I22" i="113"/>
  <c r="I27" i="112"/>
  <c r="I23" i="113"/>
  <c r="I20" i="113"/>
  <c r="I22" i="112"/>
  <c r="I26" i="112"/>
  <c r="C20" i="113"/>
  <c r="I23" i="112"/>
  <c r="I25" i="113"/>
  <c r="I21" i="113"/>
  <c r="I24" i="112"/>
  <c r="I28" i="112"/>
  <c r="C21" i="112"/>
  <c r="E21" i="112"/>
  <c r="E20" i="112"/>
  <c r="E22" i="113"/>
  <c r="C21" i="113"/>
  <c r="C20" i="112"/>
  <c r="K25" i="113"/>
  <c r="K21" i="113"/>
  <c r="K23" i="113"/>
  <c r="K28" i="113"/>
  <c r="K24" i="113"/>
  <c r="K22" i="113"/>
  <c r="H44" i="112"/>
  <c r="H44" i="113"/>
  <c r="L44" i="112"/>
  <c r="L44" i="113"/>
  <c r="I133" i="99"/>
  <c r="M22" i="112" l="1"/>
  <c r="K22" i="112" s="1"/>
  <c r="N22" i="112"/>
  <c r="C62" i="113"/>
  <c r="I29" i="113"/>
  <c r="J20" i="113" s="1"/>
  <c r="D38" i="113" s="1"/>
  <c r="D35" i="113" s="1"/>
  <c r="M21" i="112"/>
  <c r="K21" i="112" s="1"/>
  <c r="K46" i="112"/>
  <c r="I46" i="112"/>
  <c r="J46" i="112"/>
  <c r="G46" i="112"/>
  <c r="H46" i="112"/>
  <c r="J22" i="113"/>
  <c r="F38" i="113" s="1"/>
  <c r="M25" i="112"/>
  <c r="K25" i="112" s="1"/>
  <c r="N25" i="112"/>
  <c r="M28" i="112"/>
  <c r="K28" i="112" s="1"/>
  <c r="J28" i="112"/>
  <c r="L38" i="112" s="1"/>
  <c r="L35" i="112" s="1"/>
  <c r="M23" i="112"/>
  <c r="K23" i="112" s="1"/>
  <c r="N23" i="112"/>
  <c r="J26" i="113"/>
  <c r="J38" i="113" s="1"/>
  <c r="J35" i="113" s="1"/>
  <c r="E23" i="112"/>
  <c r="E24" i="112" s="1"/>
  <c r="F20" i="112"/>
  <c r="M24" i="112"/>
  <c r="K24" i="112" s="1"/>
  <c r="N24" i="112"/>
  <c r="C23" i="113"/>
  <c r="D21" i="113" s="1"/>
  <c r="J24" i="113"/>
  <c r="H38" i="113" s="1"/>
  <c r="H35" i="113" s="1"/>
  <c r="C62" i="112"/>
  <c r="C23" i="112"/>
  <c r="C24" i="112" s="1"/>
  <c r="J21" i="113"/>
  <c r="E38" i="113" s="1"/>
  <c r="E35" i="113" s="1"/>
  <c r="M26" i="112"/>
  <c r="K26" i="112" s="1"/>
  <c r="N26" i="112"/>
  <c r="M27" i="112"/>
  <c r="K27" i="112" s="1"/>
  <c r="N27" i="112"/>
  <c r="M20" i="112"/>
  <c r="I29" i="112"/>
  <c r="I30" i="112" s="1"/>
  <c r="J20" i="112"/>
  <c r="D38" i="112" s="1"/>
  <c r="G41" i="96"/>
  <c r="F41" i="96"/>
  <c r="E41" i="96"/>
  <c r="D41" i="96"/>
  <c r="C41" i="96"/>
  <c r="J27" i="112" l="1"/>
  <c r="K38" i="112" s="1"/>
  <c r="K35" i="112" s="1"/>
  <c r="J28" i="113"/>
  <c r="L38" i="113" s="1"/>
  <c r="L35" i="113" s="1"/>
  <c r="J23" i="112"/>
  <c r="G38" i="112" s="1"/>
  <c r="G35" i="112" s="1"/>
  <c r="N28" i="112"/>
  <c r="J25" i="112"/>
  <c r="I38" i="112" s="1"/>
  <c r="I35" i="112" s="1"/>
  <c r="J25" i="113"/>
  <c r="I38" i="113" s="1"/>
  <c r="I35" i="113" s="1"/>
  <c r="N21" i="112"/>
  <c r="D20" i="112"/>
  <c r="J24" i="112"/>
  <c r="H38" i="112" s="1"/>
  <c r="H35" i="112" s="1"/>
  <c r="J23" i="113"/>
  <c r="G38" i="113" s="1"/>
  <c r="G35" i="113" s="1"/>
  <c r="D21" i="112"/>
  <c r="H51" i="112"/>
  <c r="J51" i="112"/>
  <c r="D22" i="113"/>
  <c r="C24" i="113"/>
  <c r="E25" i="112"/>
  <c r="E51" i="112"/>
  <c r="N20" i="112"/>
  <c r="K20" i="112"/>
  <c r="J26" i="112"/>
  <c r="J38" i="112" s="1"/>
  <c r="F21" i="112"/>
  <c r="F22" i="112"/>
  <c r="D20" i="113"/>
  <c r="D35" i="112"/>
  <c r="D22" i="112"/>
  <c r="H53" i="112" s="1"/>
  <c r="G53" i="112"/>
  <c r="J21" i="112"/>
  <c r="E38" i="112" s="1"/>
  <c r="E35" i="112" s="1"/>
  <c r="J27" i="113"/>
  <c r="K38" i="113" s="1"/>
  <c r="K35" i="113" s="1"/>
  <c r="I30" i="113"/>
  <c r="J22" i="112"/>
  <c r="F38" i="112" s="1"/>
  <c r="E47" i="111"/>
  <c r="E60" i="111"/>
  <c r="E18" i="111"/>
  <c r="D60" i="111"/>
  <c r="D53" i="111" s="1"/>
  <c r="D18" i="111"/>
  <c r="E113" i="113" s="1"/>
  <c r="E106" i="113" s="1"/>
  <c r="D47" i="111"/>
  <c r="C61" i="111"/>
  <c r="C19" i="111"/>
  <c r="D114" i="113" s="1"/>
  <c r="C48" i="111"/>
  <c r="F60" i="111"/>
  <c r="F18" i="111"/>
  <c r="F47" i="111"/>
  <c r="C60" i="111"/>
  <c r="C18" i="111"/>
  <c r="D113" i="113" s="1"/>
  <c r="C47" i="111"/>
  <c r="G60" i="111"/>
  <c r="G18" i="111"/>
  <c r="G47" i="111"/>
  <c r="I51" i="112" l="1"/>
  <c r="G51" i="112"/>
  <c r="L51" i="112"/>
  <c r="D51" i="112"/>
  <c r="K51" i="112"/>
  <c r="D106" i="113"/>
  <c r="J35" i="112"/>
  <c r="G93" i="111"/>
  <c r="H113" i="113"/>
  <c r="J51" i="113"/>
  <c r="K51" i="113"/>
  <c r="G51" i="113"/>
  <c r="H51" i="113"/>
  <c r="I51" i="113"/>
  <c r="D51" i="113"/>
  <c r="L51" i="113"/>
  <c r="E51" i="113"/>
  <c r="K29" i="112"/>
  <c r="L20" i="112" s="1"/>
  <c r="I114" i="113"/>
  <c r="M27" i="113"/>
  <c r="K27" i="113" s="1"/>
  <c r="L53" i="112"/>
  <c r="D53" i="112"/>
  <c r="F53" i="112"/>
  <c r="E53" i="112"/>
  <c r="I53" i="112"/>
  <c r="H53" i="113"/>
  <c r="D53" i="113"/>
  <c r="K53" i="113"/>
  <c r="E53" i="113"/>
  <c r="G53" i="113"/>
  <c r="L53" i="113"/>
  <c r="J53" i="113"/>
  <c r="I53" i="113"/>
  <c r="F53" i="113"/>
  <c r="F93" i="111"/>
  <c r="G113" i="113"/>
  <c r="M26" i="113" s="1"/>
  <c r="K26" i="113" s="1"/>
  <c r="E93" i="111"/>
  <c r="F113" i="113"/>
  <c r="K53" i="112"/>
  <c r="J53" i="112"/>
  <c r="F73" i="111"/>
  <c r="D7" i="111"/>
  <c r="E73" i="111"/>
  <c r="C94" i="111"/>
  <c r="H19" i="111"/>
  <c r="J19" i="111"/>
  <c r="J47" i="111"/>
  <c r="C40" i="111"/>
  <c r="C73" i="111"/>
  <c r="H47" i="111"/>
  <c r="J61" i="111"/>
  <c r="H61" i="111"/>
  <c r="G73" i="111"/>
  <c r="C93" i="111"/>
  <c r="H18" i="111"/>
  <c r="C11" i="111"/>
  <c r="J18" i="111"/>
  <c r="D73" i="111"/>
  <c r="D66" i="111" s="1"/>
  <c r="D40" i="111"/>
  <c r="J60" i="111"/>
  <c r="H60" i="111"/>
  <c r="C53" i="111"/>
  <c r="C7" i="111" s="1"/>
  <c r="D101" i="113" s="1"/>
  <c r="C74" i="111"/>
  <c r="J48" i="111"/>
  <c r="H48" i="111"/>
  <c r="D93" i="111"/>
  <c r="D11" i="111"/>
  <c r="D82" i="99"/>
  <c r="I113" i="113" l="1"/>
  <c r="D82" i="111"/>
  <c r="E101" i="113"/>
  <c r="L26" i="112"/>
  <c r="K30" i="112"/>
  <c r="K31" i="112" s="1"/>
  <c r="L28" i="112"/>
  <c r="L21" i="112"/>
  <c r="L23" i="112"/>
  <c r="L24" i="112"/>
  <c r="L25" i="112"/>
  <c r="L22" i="112"/>
  <c r="L27" i="112"/>
  <c r="H94" i="111"/>
  <c r="J94" i="111"/>
  <c r="H74" i="111"/>
  <c r="J74" i="111"/>
  <c r="D86" i="111"/>
  <c r="J73" i="111"/>
  <c r="H73" i="111"/>
  <c r="C66" i="111"/>
  <c r="C86" i="111"/>
  <c r="H93" i="111"/>
  <c r="J93" i="111"/>
  <c r="C10" i="9"/>
  <c r="C82" i="99"/>
  <c r="D77" i="99"/>
  <c r="D80" i="99"/>
  <c r="D79" i="99"/>
  <c r="D84" i="99"/>
  <c r="D76" i="99"/>
  <c r="D83" i="99"/>
  <c r="D81" i="99"/>
  <c r="C82" i="111" l="1"/>
  <c r="B10" i="9"/>
  <c r="C83" i="99"/>
  <c r="C77" i="99"/>
  <c r="C79" i="99"/>
  <c r="C84" i="99"/>
  <c r="C81" i="99"/>
  <c r="C80" i="99"/>
  <c r="D56" i="99"/>
  <c r="C56" i="99" l="1"/>
  <c r="D81" i="96"/>
  <c r="D82" i="96"/>
  <c r="E82" i="96"/>
  <c r="F82" i="96"/>
  <c r="G82" i="96"/>
  <c r="D83" i="96"/>
  <c r="E83" i="96"/>
  <c r="F83" i="96"/>
  <c r="G83" i="96"/>
  <c r="D84" i="96"/>
  <c r="E84" i="96"/>
  <c r="F84" i="96"/>
  <c r="G84" i="96"/>
  <c r="D85" i="96"/>
  <c r="E85" i="96"/>
  <c r="F85" i="96"/>
  <c r="G85" i="96"/>
  <c r="D86" i="96"/>
  <c r="E86" i="96"/>
  <c r="F86" i="96"/>
  <c r="G86" i="96"/>
  <c r="D87" i="96"/>
  <c r="E87" i="96"/>
  <c r="F87" i="96"/>
  <c r="G87" i="96"/>
  <c r="C86" i="96"/>
  <c r="C85" i="96"/>
  <c r="C84" i="96"/>
  <c r="C83" i="96"/>
  <c r="C82" i="96"/>
  <c r="C81" i="96"/>
  <c r="D70" i="96" l="1"/>
  <c r="D64" i="96"/>
  <c r="Z58" i="97"/>
  <c r="Y58" i="97"/>
  <c r="Z57" i="97"/>
  <c r="Y57" i="97"/>
  <c r="Z56" i="97"/>
  <c r="Y56" i="97"/>
  <c r="Z55" i="97"/>
  <c r="Y55" i="97"/>
  <c r="Z54" i="97"/>
  <c r="Y54" i="97"/>
  <c r="Z53" i="97"/>
  <c r="Y53" i="97"/>
  <c r="Z52" i="97"/>
  <c r="Y52" i="97"/>
  <c r="Z51" i="97"/>
  <c r="Y51" i="97"/>
  <c r="Z50" i="97"/>
  <c r="Y50" i="97"/>
  <c r="Z49" i="97"/>
  <c r="Y49" i="97"/>
  <c r="Z48" i="97"/>
  <c r="Y48" i="97"/>
  <c r="Z47" i="97"/>
  <c r="Y47" i="97"/>
  <c r="Z46" i="97"/>
  <c r="Y46" i="97"/>
  <c r="Z45" i="97"/>
  <c r="Y45" i="97"/>
  <c r="Z44" i="97"/>
  <c r="Y44" i="97"/>
  <c r="Z43" i="97"/>
  <c r="Y43" i="97"/>
  <c r="Z42" i="97"/>
  <c r="Y42" i="97"/>
  <c r="Z41" i="97"/>
  <c r="Y41" i="97"/>
  <c r="Z40" i="97"/>
  <c r="Y40" i="97"/>
  <c r="Z39" i="97"/>
  <c r="Y39" i="97"/>
  <c r="Z38" i="97"/>
  <c r="Y38" i="97"/>
  <c r="Z37" i="97"/>
  <c r="Y37" i="97"/>
  <c r="Z36" i="97"/>
  <c r="Y36" i="97"/>
  <c r="Z35" i="97"/>
  <c r="Y35" i="97"/>
  <c r="Z34" i="97"/>
  <c r="Y34" i="97"/>
  <c r="Z33" i="97"/>
  <c r="Y33" i="97"/>
  <c r="Z32" i="97"/>
  <c r="Y32" i="97"/>
  <c r="Z31" i="97"/>
  <c r="Y31" i="97"/>
  <c r="Z30" i="97"/>
  <c r="Y30" i="97"/>
  <c r="Z29" i="97"/>
  <c r="Y29" i="97"/>
  <c r="Z28" i="97"/>
  <c r="Y28" i="97"/>
  <c r="Z27" i="97"/>
  <c r="Y27" i="97"/>
  <c r="Z26" i="97"/>
  <c r="Y26" i="97"/>
  <c r="Z24" i="97"/>
  <c r="Y24" i="97"/>
  <c r="Z23" i="97"/>
  <c r="Y23" i="97"/>
  <c r="Z22" i="97"/>
  <c r="Y22" i="97"/>
  <c r="Z21" i="97"/>
  <c r="Y21" i="97"/>
  <c r="Z20" i="97"/>
  <c r="Y20" i="97"/>
  <c r="Z19" i="97"/>
  <c r="Y19" i="97"/>
  <c r="Z18" i="97"/>
  <c r="Y18" i="97"/>
  <c r="Z17" i="97"/>
  <c r="Y17" i="97"/>
  <c r="Z16" i="97"/>
  <c r="Y16" i="97"/>
  <c r="Z15" i="97"/>
  <c r="Y15" i="97"/>
  <c r="Z14" i="97"/>
  <c r="Y14" i="97"/>
  <c r="Z13" i="97"/>
  <c r="Y13" i="97"/>
  <c r="Z12" i="97"/>
  <c r="Y12" i="97"/>
  <c r="Z11" i="97"/>
  <c r="Y11" i="97"/>
  <c r="Z10" i="97"/>
  <c r="Y10" i="97"/>
  <c r="Z9" i="97"/>
  <c r="Y9" i="97"/>
  <c r="W6" i="97"/>
  <c r="U6" i="97"/>
  <c r="S6" i="97"/>
  <c r="Q6" i="97"/>
  <c r="O6" i="97"/>
  <c r="M6" i="97"/>
  <c r="W5" i="97"/>
  <c r="U5" i="97"/>
  <c r="S5" i="97"/>
  <c r="Q5" i="97"/>
  <c r="O5" i="97"/>
  <c r="M5" i="97"/>
  <c r="G59" i="96"/>
  <c r="F59" i="96"/>
  <c r="E59" i="96"/>
  <c r="D59" i="96"/>
  <c r="C59" i="96"/>
  <c r="D57" i="96"/>
  <c r="C57" i="96"/>
  <c r="C61" i="96" l="1"/>
  <c r="C60" i="96"/>
  <c r="G61" i="96"/>
  <c r="F61" i="96"/>
  <c r="D61" i="96"/>
  <c r="E61" i="96"/>
  <c r="E54" i="111"/>
  <c r="E12" i="111"/>
  <c r="F107" i="113" s="1"/>
  <c r="E41" i="111"/>
  <c r="C66" i="96"/>
  <c r="D66" i="96"/>
  <c r="G54" i="105"/>
  <c r="G54" i="106"/>
  <c r="C54" i="105"/>
  <c r="C54" i="106"/>
  <c r="D54" i="106"/>
  <c r="D54" i="105"/>
  <c r="E54" i="105"/>
  <c r="E54" i="106"/>
  <c r="F54" i="105"/>
  <c r="F54" i="106"/>
  <c r="D60" i="105"/>
  <c r="D60" i="106"/>
  <c r="S4" i="97"/>
  <c r="D71" i="96"/>
  <c r="Q4" i="97"/>
  <c r="E57" i="96"/>
  <c r="E81" i="96"/>
  <c r="D60" i="96"/>
  <c r="E64" i="96"/>
  <c r="E70" i="96"/>
  <c r="M4" i="97"/>
  <c r="O4" i="97"/>
  <c r="W4" i="97"/>
  <c r="U4" i="97"/>
  <c r="F106" i="113" l="1"/>
  <c r="E40" i="111"/>
  <c r="E67" i="111"/>
  <c r="F54" i="111"/>
  <c r="F53" i="111" s="1"/>
  <c r="F12" i="111"/>
  <c r="G107" i="113" s="1"/>
  <c r="G106" i="113" s="1"/>
  <c r="F41" i="111"/>
  <c r="E87" i="111"/>
  <c r="E11" i="111"/>
  <c r="E53" i="111"/>
  <c r="E7" i="111" s="1"/>
  <c r="F101" i="113" s="1"/>
  <c r="C65" i="96"/>
  <c r="C72" i="96" s="1"/>
  <c r="D65" i="96"/>
  <c r="D72" i="96" s="1"/>
  <c r="D61" i="106"/>
  <c r="D61" i="105"/>
  <c r="E60" i="105"/>
  <c r="E60" i="106"/>
  <c r="C61" i="105"/>
  <c r="C61" i="106"/>
  <c r="E60" i="96"/>
  <c r="F81" i="96"/>
  <c r="F64" i="96"/>
  <c r="E66" i="96"/>
  <c r="F70" i="96"/>
  <c r="E71" i="96"/>
  <c r="F57" i="96"/>
  <c r="F7" i="111" l="1"/>
  <c r="D67" i="96"/>
  <c r="G41" i="111"/>
  <c r="H41" i="111" s="1"/>
  <c r="G54" i="111"/>
  <c r="G12" i="111"/>
  <c r="H107" i="113" s="1"/>
  <c r="H106" i="113" s="1"/>
  <c r="I106" i="113" s="1"/>
  <c r="F67" i="111"/>
  <c r="F66" i="111" s="1"/>
  <c r="F40" i="111"/>
  <c r="E66" i="111"/>
  <c r="E86" i="111"/>
  <c r="F87" i="111"/>
  <c r="F11" i="111"/>
  <c r="C67" i="96"/>
  <c r="F60" i="106"/>
  <c r="F60" i="105"/>
  <c r="E61" i="105"/>
  <c r="E61" i="106"/>
  <c r="E65" i="96"/>
  <c r="G81" i="96"/>
  <c r="F60" i="96"/>
  <c r="G70" i="96"/>
  <c r="F71" i="96"/>
  <c r="G64" i="96"/>
  <c r="F66" i="96"/>
  <c r="G57" i="96"/>
  <c r="M20" i="113" l="1"/>
  <c r="K20" i="113" s="1"/>
  <c r="K29" i="113" s="1"/>
  <c r="L20" i="113" s="1"/>
  <c r="I107" i="113"/>
  <c r="F82" i="111"/>
  <c r="G101" i="113"/>
  <c r="D68" i="96"/>
  <c r="D6" i="110" s="1"/>
  <c r="D81" i="110" s="1"/>
  <c r="D80" i="96"/>
  <c r="D47" i="105"/>
  <c r="D55" i="105" s="1"/>
  <c r="C47" i="106"/>
  <c r="C48" i="106" s="1"/>
  <c r="G87" i="111"/>
  <c r="G11" i="111"/>
  <c r="H11" i="111" s="1"/>
  <c r="J12" i="111"/>
  <c r="H12" i="111"/>
  <c r="C68" i="96"/>
  <c r="C6" i="110" s="1"/>
  <c r="G53" i="111"/>
  <c r="G7" i="111" s="1"/>
  <c r="H101" i="113" s="1"/>
  <c r="J54" i="111"/>
  <c r="H54" i="111"/>
  <c r="E82" i="111"/>
  <c r="G67" i="111"/>
  <c r="G40" i="111"/>
  <c r="H40" i="111" s="1"/>
  <c r="D121" i="111"/>
  <c r="C80" i="96"/>
  <c r="F86" i="111"/>
  <c r="J87" i="111"/>
  <c r="J41" i="111"/>
  <c r="G60" i="105"/>
  <c r="G60" i="106"/>
  <c r="F61" i="105"/>
  <c r="F61" i="106"/>
  <c r="F65" i="96"/>
  <c r="G60" i="96"/>
  <c r="E67" i="96"/>
  <c r="E72" i="96"/>
  <c r="G66" i="96"/>
  <c r="G71" i="96"/>
  <c r="I101" i="113" l="1"/>
  <c r="E28" i="113"/>
  <c r="E21" i="113" s="1"/>
  <c r="L24" i="113"/>
  <c r="K30" i="113"/>
  <c r="K31" i="113" s="1"/>
  <c r="L23" i="113"/>
  <c r="L21" i="113"/>
  <c r="L25" i="113"/>
  <c r="L22" i="113"/>
  <c r="L28" i="113"/>
  <c r="L26" i="113"/>
  <c r="L27" i="113"/>
  <c r="D6" i="111"/>
  <c r="D48" i="105"/>
  <c r="C55" i="106"/>
  <c r="D47" i="106"/>
  <c r="D55" i="106" s="1"/>
  <c r="C47" i="105"/>
  <c r="J11" i="111"/>
  <c r="D5" i="110"/>
  <c r="I11" i="111"/>
  <c r="I20" i="111"/>
  <c r="I14" i="111"/>
  <c r="I15" i="111"/>
  <c r="I13" i="111"/>
  <c r="I17" i="111"/>
  <c r="I16" i="111"/>
  <c r="I18" i="111"/>
  <c r="I19" i="111"/>
  <c r="I40" i="111"/>
  <c r="I44" i="111"/>
  <c r="I43" i="111"/>
  <c r="I42" i="111"/>
  <c r="I49" i="111"/>
  <c r="I46" i="111"/>
  <c r="I45" i="111"/>
  <c r="I47" i="111"/>
  <c r="I48" i="111"/>
  <c r="J40" i="111"/>
  <c r="G86" i="111"/>
  <c r="H86" i="111" s="1"/>
  <c r="H87" i="111"/>
  <c r="G66" i="111"/>
  <c r="J67" i="111"/>
  <c r="H67" i="111"/>
  <c r="H53" i="111"/>
  <c r="I54" i="111" s="1"/>
  <c r="J53" i="111"/>
  <c r="I12" i="111"/>
  <c r="I41" i="111"/>
  <c r="C121" i="111"/>
  <c r="D80" i="110"/>
  <c r="D26" i="99" s="1"/>
  <c r="G61" i="105"/>
  <c r="G61" i="106"/>
  <c r="D10" i="9"/>
  <c r="E10" i="9"/>
  <c r="E80" i="99"/>
  <c r="E79" i="99"/>
  <c r="F76" i="99"/>
  <c r="E82" i="99"/>
  <c r="E81" i="99"/>
  <c r="F82" i="99"/>
  <c r="F83" i="99"/>
  <c r="E76" i="99"/>
  <c r="E83" i="99"/>
  <c r="E77" i="99"/>
  <c r="F80" i="99"/>
  <c r="F84" i="99"/>
  <c r="F81" i="99"/>
  <c r="E84" i="99"/>
  <c r="F79" i="99"/>
  <c r="F77" i="99"/>
  <c r="E80" i="96"/>
  <c r="E68" i="96"/>
  <c r="F67" i="96"/>
  <c r="F72" i="96"/>
  <c r="G65" i="96"/>
  <c r="D81" i="111" l="1"/>
  <c r="D80" i="111" s="1"/>
  <c r="D96" i="111" s="1"/>
  <c r="E100" i="113"/>
  <c r="E99" i="113" s="1"/>
  <c r="C6" i="111"/>
  <c r="D48" i="106"/>
  <c r="C48" i="105"/>
  <c r="C55" i="105"/>
  <c r="J86" i="111"/>
  <c r="I86" i="111"/>
  <c r="I88" i="111"/>
  <c r="I91" i="111"/>
  <c r="I90" i="111"/>
  <c r="I95" i="111"/>
  <c r="I89" i="111"/>
  <c r="I92" i="111"/>
  <c r="I93" i="111"/>
  <c r="I94" i="111"/>
  <c r="C75" i="96"/>
  <c r="C5" i="111" s="1"/>
  <c r="I60" i="111"/>
  <c r="I55" i="111"/>
  <c r="I53" i="111"/>
  <c r="I62" i="111"/>
  <c r="I58" i="111"/>
  <c r="I57" i="111"/>
  <c r="I56" i="111"/>
  <c r="I59" i="111"/>
  <c r="I61" i="111"/>
  <c r="I87" i="111"/>
  <c r="G82" i="111"/>
  <c r="J7" i="111"/>
  <c r="H7" i="111"/>
  <c r="E6" i="110"/>
  <c r="E81" i="110" s="1"/>
  <c r="E121" i="111"/>
  <c r="D25" i="99"/>
  <c r="D24" i="99" s="1"/>
  <c r="J66" i="111"/>
  <c r="H66" i="111"/>
  <c r="I67" i="111" s="1"/>
  <c r="C81" i="110"/>
  <c r="C5" i="110"/>
  <c r="E47" i="106"/>
  <c r="E47" i="105"/>
  <c r="E56" i="99"/>
  <c r="F56" i="99"/>
  <c r="F80" i="96"/>
  <c r="F68" i="96"/>
  <c r="G67" i="96"/>
  <c r="G72" i="96"/>
  <c r="C81" i="111" l="1"/>
  <c r="D100" i="113"/>
  <c r="E6" i="111"/>
  <c r="E5" i="110"/>
  <c r="J82" i="111"/>
  <c r="H82" i="111"/>
  <c r="I66" i="111"/>
  <c r="I69" i="111"/>
  <c r="I72" i="111"/>
  <c r="I71" i="111"/>
  <c r="I75" i="111"/>
  <c r="I68" i="111"/>
  <c r="I70" i="111"/>
  <c r="I74" i="111"/>
  <c r="I73" i="111"/>
  <c r="F6" i="110"/>
  <c r="F81" i="110" s="1"/>
  <c r="F121" i="111"/>
  <c r="C80" i="111"/>
  <c r="C80" i="110"/>
  <c r="C26" i="99" s="1"/>
  <c r="E80" i="110"/>
  <c r="E26" i="99" s="1"/>
  <c r="F47" i="106"/>
  <c r="E48" i="105"/>
  <c r="E55" i="105"/>
  <c r="F47" i="105"/>
  <c r="E55" i="106"/>
  <c r="E48" i="106"/>
  <c r="F10" i="9"/>
  <c r="G76" i="99"/>
  <c r="G77" i="99"/>
  <c r="G83" i="99"/>
  <c r="G79" i="99"/>
  <c r="G82" i="99"/>
  <c r="G80" i="99"/>
  <c r="G84" i="99"/>
  <c r="G81" i="99"/>
  <c r="G80" i="96"/>
  <c r="G68" i="96"/>
  <c r="E81" i="111" l="1"/>
  <c r="E80" i="111" s="1"/>
  <c r="E96" i="111" s="1"/>
  <c r="F100" i="113"/>
  <c r="F99" i="113" s="1"/>
  <c r="D99" i="113"/>
  <c r="F6" i="111"/>
  <c r="C25" i="99"/>
  <c r="C24" i="99" s="1"/>
  <c r="F5" i="110"/>
  <c r="G6" i="110"/>
  <c r="G5" i="110" s="1"/>
  <c r="G121" i="111"/>
  <c r="C96" i="111"/>
  <c r="E25" i="99"/>
  <c r="E24" i="99" s="1"/>
  <c r="F80" i="110"/>
  <c r="F26" i="99" s="1"/>
  <c r="G47" i="105"/>
  <c r="F48" i="106"/>
  <c r="F55" i="106"/>
  <c r="F55" i="105"/>
  <c r="F48" i="105"/>
  <c r="G47" i="106"/>
  <c r="J77" i="99"/>
  <c r="J84" i="99"/>
  <c r="H82" i="99"/>
  <c r="H79" i="99"/>
  <c r="J76" i="99"/>
  <c r="J79" i="99"/>
  <c r="H83" i="99"/>
  <c r="H84" i="99"/>
  <c r="G56" i="99"/>
  <c r="J82" i="99"/>
  <c r="J80" i="99"/>
  <c r="H76" i="99"/>
  <c r="H77" i="99"/>
  <c r="J81" i="99"/>
  <c r="J83" i="99"/>
  <c r="H80" i="99"/>
  <c r="H81" i="99"/>
  <c r="F81" i="111" l="1"/>
  <c r="F80" i="111" s="1"/>
  <c r="F96" i="111" s="1"/>
  <c r="G100" i="113"/>
  <c r="G6" i="111"/>
  <c r="G81" i="110"/>
  <c r="J81" i="110" s="1"/>
  <c r="J5" i="110"/>
  <c r="H5" i="110"/>
  <c r="H6" i="110"/>
  <c r="J6" i="110"/>
  <c r="F25" i="99"/>
  <c r="G48" i="106"/>
  <c r="G55" i="106"/>
  <c r="G55" i="105"/>
  <c r="G48" i="105"/>
  <c r="H56" i="99"/>
  <c r="I56" i="99" s="1"/>
  <c r="J56" i="99"/>
  <c r="G81" i="111" l="1"/>
  <c r="H100" i="113"/>
  <c r="H99" i="113" s="1"/>
  <c r="G99" i="113"/>
  <c r="I100" i="113"/>
  <c r="H6" i="111"/>
  <c r="H81" i="111"/>
  <c r="G80" i="111"/>
  <c r="G96" i="111" s="1"/>
  <c r="J81" i="111"/>
  <c r="H81" i="110"/>
  <c r="G80" i="110"/>
  <c r="J80" i="110" s="1"/>
  <c r="J6" i="111"/>
  <c r="I6" i="110"/>
  <c r="I5" i="110"/>
  <c r="I7" i="110"/>
  <c r="F24" i="99"/>
  <c r="I59" i="99"/>
  <c r="I61" i="99"/>
  <c r="I62" i="99"/>
  <c r="I63" i="99"/>
  <c r="I64" i="99"/>
  <c r="I65" i="99"/>
  <c r="I58" i="99"/>
  <c r="I60" i="99"/>
  <c r="I57" i="99"/>
  <c r="I99" i="113" l="1"/>
  <c r="J80" i="111"/>
  <c r="H80" i="111"/>
  <c r="I82" i="111" s="1"/>
  <c r="E27" i="113"/>
  <c r="E20" i="113" s="1"/>
  <c r="E23" i="113" s="1"/>
  <c r="F20" i="113" s="1"/>
  <c r="G25" i="99"/>
  <c r="H80" i="110"/>
  <c r="H26" i="99" s="1"/>
  <c r="G26" i="99"/>
  <c r="G24" i="99" s="1"/>
  <c r="J26" i="99"/>
  <c r="J25" i="99"/>
  <c r="I80" i="111" l="1"/>
  <c r="I81" i="111"/>
  <c r="I80" i="110"/>
  <c r="H25" i="99"/>
  <c r="H24" i="99" s="1"/>
  <c r="I81" i="110"/>
  <c r="I82" i="110"/>
  <c r="F21" i="113"/>
  <c r="E24" i="113"/>
  <c r="E25" i="113" s="1"/>
  <c r="F22" i="113"/>
  <c r="J24" i="99"/>
  <c r="I24" i="99" l="1"/>
  <c r="I26" i="99"/>
  <c r="I25" i="99"/>
  <c r="I27" i="85" l="1"/>
  <c r="I25" i="85"/>
  <c r="I54" i="85"/>
  <c r="I47" i="85"/>
  <c r="I38" i="85"/>
  <c r="I34" i="85"/>
  <c r="I30" i="85"/>
  <c r="I20" i="85"/>
  <c r="I15" i="85"/>
  <c r="I10" i="85"/>
  <c r="I7" i="85"/>
  <c r="I8" i="85"/>
  <c r="C56" i="9" l="1"/>
  <c r="D56" i="9" s="1"/>
  <c r="E56" i="9" s="1"/>
  <c r="F56" i="9" s="1"/>
  <c r="I41" i="85" l="1"/>
  <c r="I42" i="85"/>
  <c r="I43" i="85"/>
  <c r="I44" i="85"/>
  <c r="I45" i="85"/>
  <c r="I46" i="85"/>
  <c r="I40" i="85"/>
  <c r="I50" i="85"/>
  <c r="I51" i="85"/>
  <c r="I52" i="85"/>
  <c r="I53" i="85"/>
  <c r="I49" i="85"/>
  <c r="I37" i="85"/>
  <c r="I36" i="85"/>
  <c r="I33" i="85"/>
  <c r="I32" i="85"/>
  <c r="I23" i="85"/>
  <c r="I24" i="85"/>
  <c r="I28" i="85"/>
  <c r="I29" i="85"/>
  <c r="I19" i="85"/>
  <c r="I11" i="85"/>
  <c r="I12" i="85"/>
  <c r="I13" i="85"/>
  <c r="I14" i="85"/>
  <c r="C62" i="9" l="1"/>
  <c r="D62" i="9" s="1"/>
  <c r="E62" i="9" s="1"/>
  <c r="F62" i="9" s="1"/>
  <c r="G26" i="85" l="1"/>
  <c r="G21" i="85"/>
  <c r="H5" i="85" l="1"/>
  <c r="H6" i="85"/>
  <c r="G22" i="85"/>
  <c r="H51" i="85"/>
  <c r="H43" i="85"/>
  <c r="H35" i="85"/>
  <c r="H9" i="85"/>
  <c r="H27" i="85"/>
  <c r="H18" i="85"/>
  <c r="H20" i="85"/>
  <c r="H8" i="85"/>
  <c r="H50" i="85"/>
  <c r="H42" i="85"/>
  <c r="H34" i="85"/>
  <c r="H26" i="85"/>
  <c r="H17" i="85"/>
  <c r="H13" i="85"/>
  <c r="H23" i="85"/>
  <c r="H47" i="85"/>
  <c r="H39" i="85"/>
  <c r="H31" i="85"/>
  <c r="H16" i="85"/>
  <c r="H12" i="85"/>
  <c r="H54" i="85"/>
  <c r="H46" i="85"/>
  <c r="H38" i="85"/>
  <c r="H30" i="85"/>
  <c r="H19" i="85"/>
  <c r="H15" i="85"/>
  <c r="H11" i="85"/>
  <c r="H7" i="85"/>
  <c r="H53" i="85"/>
  <c r="H49" i="85"/>
  <c r="H45" i="85"/>
  <c r="H41" i="85"/>
  <c r="H37" i="85"/>
  <c r="H33" i="85"/>
  <c r="H29" i="85"/>
  <c r="H25" i="85"/>
  <c r="H14" i="85"/>
  <c r="H10" i="85"/>
  <c r="H52" i="85"/>
  <c r="H48" i="85"/>
  <c r="H44" i="85"/>
  <c r="H40" i="85"/>
  <c r="H36" i="85"/>
  <c r="H32" i="85"/>
  <c r="H28" i="85"/>
  <c r="H24" i="85"/>
  <c r="J45" i="112" l="1"/>
  <c r="J45" i="113"/>
  <c r="D17" i="99"/>
  <c r="D18" i="99"/>
  <c r="D13" i="99"/>
  <c r="D16" i="99"/>
  <c r="D12" i="99"/>
  <c r="D15" i="99"/>
  <c r="D11" i="99"/>
  <c r="D14" i="99"/>
  <c r="D95" i="99"/>
  <c r="D108" i="99"/>
  <c r="C95" i="99"/>
  <c r="C108" i="99"/>
  <c r="F95" i="99"/>
  <c r="E95" i="99"/>
  <c r="F108" i="99"/>
  <c r="G95" i="99"/>
  <c r="G108" i="99"/>
  <c r="E108" i="99"/>
  <c r="H108" i="99"/>
  <c r="J108" i="99"/>
  <c r="J95" i="99"/>
  <c r="H95" i="99"/>
  <c r="D19" i="99"/>
  <c r="C13" i="99"/>
  <c r="H45" i="112" l="1"/>
  <c r="H45" i="113"/>
  <c r="E45" i="113"/>
  <c r="E45" i="112"/>
  <c r="F44" i="113"/>
  <c r="F44" i="112"/>
  <c r="G45" i="113"/>
  <c r="G45" i="112"/>
  <c r="I45" i="113"/>
  <c r="I45" i="112"/>
  <c r="K45" i="113"/>
  <c r="J52" i="113"/>
  <c r="J54" i="113" s="1"/>
  <c r="C73" i="113" s="1"/>
  <c r="J36" i="113"/>
  <c r="L45" i="112"/>
  <c r="L45" i="113"/>
  <c r="D45" i="112"/>
  <c r="D45" i="113"/>
  <c r="F45" i="112"/>
  <c r="F45" i="113"/>
  <c r="K45" i="112"/>
  <c r="J52" i="112"/>
  <c r="J54" i="112" s="1"/>
  <c r="C73" i="112" s="1"/>
  <c r="J36" i="112"/>
  <c r="J89" i="99"/>
  <c r="C102" i="99"/>
  <c r="F102" i="99"/>
  <c r="D94" i="99"/>
  <c r="D107" i="99"/>
  <c r="C94" i="99"/>
  <c r="C107" i="99"/>
  <c r="F94" i="99"/>
  <c r="E94" i="99"/>
  <c r="F107" i="99"/>
  <c r="G107" i="99"/>
  <c r="G94" i="99"/>
  <c r="E107" i="99"/>
  <c r="J94" i="99"/>
  <c r="J107" i="99"/>
  <c r="H94" i="99"/>
  <c r="H107" i="99"/>
  <c r="D89" i="99"/>
  <c r="C89" i="99"/>
  <c r="D102" i="99"/>
  <c r="E89" i="99"/>
  <c r="F89" i="99"/>
  <c r="E102" i="99"/>
  <c r="G102" i="99"/>
  <c r="G89" i="99"/>
  <c r="J102" i="99"/>
  <c r="H89" i="99"/>
  <c r="H102" i="99"/>
  <c r="D91" i="99"/>
  <c r="C91" i="99"/>
  <c r="E91" i="99"/>
  <c r="F91" i="99"/>
  <c r="G91" i="99"/>
  <c r="J91" i="99"/>
  <c r="H91" i="99"/>
  <c r="D78" i="99"/>
  <c r="D75" i="99" s="1"/>
  <c r="D70" i="99" s="1"/>
  <c r="D104" i="99"/>
  <c r="C78" i="99"/>
  <c r="C104" i="99"/>
  <c r="F78" i="99"/>
  <c r="F75" i="99" s="1"/>
  <c r="F70" i="99" s="1"/>
  <c r="E78" i="99"/>
  <c r="E75" i="99" s="1"/>
  <c r="E70" i="99" s="1"/>
  <c r="F104" i="99"/>
  <c r="E104" i="99"/>
  <c r="G104" i="99"/>
  <c r="G78" i="99"/>
  <c r="G75" i="99" s="1"/>
  <c r="G70" i="99" s="1"/>
  <c r="J104" i="99"/>
  <c r="J78" i="99"/>
  <c r="J75" i="99" s="1"/>
  <c r="J70" i="99" s="1"/>
  <c r="H78" i="99"/>
  <c r="H104" i="99"/>
  <c r="D92" i="99"/>
  <c r="C92" i="99"/>
  <c r="D105" i="99"/>
  <c r="C105" i="99"/>
  <c r="E92" i="99"/>
  <c r="F92" i="99"/>
  <c r="F105" i="99"/>
  <c r="G92" i="99"/>
  <c r="E105" i="99"/>
  <c r="G105" i="99"/>
  <c r="J92" i="99"/>
  <c r="H92" i="99"/>
  <c r="J105" i="99"/>
  <c r="H105" i="99"/>
  <c r="D93" i="99"/>
  <c r="C93" i="99"/>
  <c r="D106" i="99"/>
  <c r="C106" i="99"/>
  <c r="F93" i="99"/>
  <c r="E93" i="99"/>
  <c r="F106" i="99"/>
  <c r="G93" i="99"/>
  <c r="E106" i="99"/>
  <c r="G106" i="99"/>
  <c r="H106" i="99"/>
  <c r="J93" i="99"/>
  <c r="J106" i="99"/>
  <c r="H93" i="99"/>
  <c r="D96" i="99"/>
  <c r="D109" i="99"/>
  <c r="C96" i="99"/>
  <c r="C109" i="99"/>
  <c r="E96" i="99"/>
  <c r="F96" i="99"/>
  <c r="F109" i="99"/>
  <c r="E109" i="99"/>
  <c r="G96" i="99"/>
  <c r="G109" i="99"/>
  <c r="H109" i="99"/>
  <c r="H96" i="99"/>
  <c r="J96" i="99"/>
  <c r="J109" i="99"/>
  <c r="D97" i="99"/>
  <c r="C97" i="99"/>
  <c r="D110" i="99"/>
  <c r="C110" i="99"/>
  <c r="E97" i="99"/>
  <c r="F97" i="99"/>
  <c r="F110" i="99"/>
  <c r="E110" i="99"/>
  <c r="G97" i="99"/>
  <c r="G110" i="99"/>
  <c r="J97" i="99"/>
  <c r="H97" i="99"/>
  <c r="J110" i="99"/>
  <c r="H110" i="99"/>
  <c r="D90" i="99"/>
  <c r="C90" i="99"/>
  <c r="D103" i="99"/>
  <c r="C103" i="99"/>
  <c r="F90" i="99"/>
  <c r="E90" i="99"/>
  <c r="F103" i="99"/>
  <c r="G90" i="99"/>
  <c r="G103" i="99"/>
  <c r="E103" i="99"/>
  <c r="J90" i="99"/>
  <c r="J103" i="99"/>
  <c r="H90" i="99"/>
  <c r="H103" i="99"/>
  <c r="K36" i="112" l="1"/>
  <c r="K52" i="112"/>
  <c r="K54" i="112" s="1"/>
  <c r="C74" i="112" s="1"/>
  <c r="C45" i="112"/>
  <c r="D52" i="112"/>
  <c r="D54" i="112" s="1"/>
  <c r="C67" i="112" s="1"/>
  <c r="D36" i="112"/>
  <c r="G36" i="112"/>
  <c r="G52" i="112"/>
  <c r="G54" i="112" s="1"/>
  <c r="C70" i="112" s="1"/>
  <c r="E52" i="112"/>
  <c r="E54" i="112" s="1"/>
  <c r="C68" i="112" s="1"/>
  <c r="E36" i="112"/>
  <c r="F36" i="113"/>
  <c r="F52" i="113"/>
  <c r="L36" i="113"/>
  <c r="L52" i="113"/>
  <c r="L54" i="113" s="1"/>
  <c r="C75" i="113" s="1"/>
  <c r="K36" i="113"/>
  <c r="K52" i="113"/>
  <c r="K54" i="113" s="1"/>
  <c r="C74" i="113" s="1"/>
  <c r="G52" i="113"/>
  <c r="G54" i="113" s="1"/>
  <c r="C70" i="113" s="1"/>
  <c r="G36" i="113"/>
  <c r="E36" i="113"/>
  <c r="E52" i="113"/>
  <c r="E54" i="113" s="1"/>
  <c r="C68" i="113" s="1"/>
  <c r="F36" i="112"/>
  <c r="F52" i="112"/>
  <c r="L52" i="112"/>
  <c r="L54" i="112" s="1"/>
  <c r="C75" i="112" s="1"/>
  <c r="L36" i="112"/>
  <c r="I52" i="112"/>
  <c r="I54" i="112" s="1"/>
  <c r="C72" i="112" s="1"/>
  <c r="I36" i="112"/>
  <c r="F35" i="112"/>
  <c r="C35" i="112" s="1"/>
  <c r="C60" i="112" s="1"/>
  <c r="F51" i="112"/>
  <c r="F54" i="112" s="1"/>
  <c r="C69" i="112" s="1"/>
  <c r="C44" i="112"/>
  <c r="H52" i="113"/>
  <c r="H54" i="113" s="1"/>
  <c r="C71" i="113" s="1"/>
  <c r="H36" i="113"/>
  <c r="C45" i="113"/>
  <c r="D52" i="113"/>
  <c r="D54" i="113" s="1"/>
  <c r="C67" i="113" s="1"/>
  <c r="D36" i="113"/>
  <c r="I52" i="113"/>
  <c r="I54" i="113" s="1"/>
  <c r="C72" i="113" s="1"/>
  <c r="I36" i="113"/>
  <c r="F51" i="113"/>
  <c r="F54" i="113" s="1"/>
  <c r="C69" i="113" s="1"/>
  <c r="F35" i="113"/>
  <c r="C35" i="113" s="1"/>
  <c r="C60" i="113" s="1"/>
  <c r="C44" i="113"/>
  <c r="H52" i="112"/>
  <c r="H54" i="112" s="1"/>
  <c r="C71" i="112" s="1"/>
  <c r="H36" i="112"/>
  <c r="C75" i="99"/>
  <c r="C70" i="99" s="1"/>
  <c r="H127" i="99"/>
  <c r="E122" i="99"/>
  <c r="G128" i="99"/>
  <c r="G122" i="99"/>
  <c r="F129" i="99"/>
  <c r="D129" i="99"/>
  <c r="J122" i="99"/>
  <c r="C122" i="99"/>
  <c r="J127" i="99"/>
  <c r="D127" i="99"/>
  <c r="H129" i="99"/>
  <c r="G129" i="99"/>
  <c r="H125" i="99"/>
  <c r="F125" i="99"/>
  <c r="D125" i="99"/>
  <c r="J124" i="99"/>
  <c r="E124" i="99"/>
  <c r="H75" i="99"/>
  <c r="I78" i="99" s="1"/>
  <c r="G123" i="99"/>
  <c r="H101" i="99"/>
  <c r="I110" i="99" s="1"/>
  <c r="H121" i="99"/>
  <c r="G88" i="99"/>
  <c r="G71" i="99" s="1"/>
  <c r="G116" i="99" s="1"/>
  <c r="F88" i="99"/>
  <c r="F71" i="99" s="1"/>
  <c r="F116" i="99" s="1"/>
  <c r="C88" i="99"/>
  <c r="C71" i="99" s="1"/>
  <c r="F127" i="99"/>
  <c r="J129" i="99"/>
  <c r="E128" i="99"/>
  <c r="C128" i="99"/>
  <c r="G125" i="99"/>
  <c r="C124" i="99"/>
  <c r="C127" i="99"/>
  <c r="E123" i="99"/>
  <c r="C123" i="99"/>
  <c r="G101" i="99"/>
  <c r="G121" i="99"/>
  <c r="E88" i="99"/>
  <c r="E71" i="99" s="1"/>
  <c r="E116" i="99" s="1"/>
  <c r="D88" i="99"/>
  <c r="D71" i="99" s="1"/>
  <c r="D116" i="99" s="1"/>
  <c r="J126" i="99"/>
  <c r="G126" i="99"/>
  <c r="C126" i="99"/>
  <c r="J88" i="99"/>
  <c r="J71" i="99" s="1"/>
  <c r="J116" i="99" s="1"/>
  <c r="F122" i="99"/>
  <c r="D122" i="99"/>
  <c r="E129" i="99"/>
  <c r="C129" i="99"/>
  <c r="H128" i="99"/>
  <c r="F128" i="99"/>
  <c r="J125" i="99"/>
  <c r="E125" i="99"/>
  <c r="F124" i="99"/>
  <c r="D124" i="99"/>
  <c r="J123" i="99"/>
  <c r="F123" i="99"/>
  <c r="H88" i="99"/>
  <c r="I97" i="99" s="1"/>
  <c r="E101" i="99"/>
  <c r="E121" i="99"/>
  <c r="C101" i="99"/>
  <c r="C121" i="99"/>
  <c r="G127" i="99"/>
  <c r="F126" i="99"/>
  <c r="E127" i="99"/>
  <c r="H122" i="99"/>
  <c r="J128" i="99"/>
  <c r="D128" i="99"/>
  <c r="C125" i="99"/>
  <c r="H124" i="99"/>
  <c r="G124" i="99"/>
  <c r="H123" i="99"/>
  <c r="D123" i="99"/>
  <c r="J101" i="99"/>
  <c r="J121" i="99"/>
  <c r="F101" i="99"/>
  <c r="F121" i="99"/>
  <c r="D101" i="99"/>
  <c r="D121" i="99"/>
  <c r="H126" i="99"/>
  <c r="E126" i="99"/>
  <c r="D126" i="99"/>
  <c r="C76" i="112" l="1"/>
  <c r="D73" i="112" s="1"/>
  <c r="D75" i="112"/>
  <c r="C36" i="113"/>
  <c r="C61" i="113" s="1"/>
  <c r="C63" i="113" s="1"/>
  <c r="D62" i="113" s="1"/>
  <c r="D74" i="112"/>
  <c r="C76" i="113"/>
  <c r="D68" i="113" s="1"/>
  <c r="D72" i="112"/>
  <c r="D68" i="112"/>
  <c r="C36" i="112"/>
  <c r="C61" i="112" s="1"/>
  <c r="C63" i="112" s="1"/>
  <c r="G115" i="99"/>
  <c r="G114" i="99" s="1"/>
  <c r="G69" i="99"/>
  <c r="C116" i="99"/>
  <c r="C115" i="99"/>
  <c r="I107" i="99"/>
  <c r="C69" i="99"/>
  <c r="E115" i="99"/>
  <c r="E114" i="99" s="1"/>
  <c r="I105" i="99"/>
  <c r="I109" i="99"/>
  <c r="J120" i="99"/>
  <c r="E69" i="99"/>
  <c r="I104" i="99"/>
  <c r="I103" i="99"/>
  <c r="D120" i="99"/>
  <c r="C120" i="99"/>
  <c r="I89" i="99"/>
  <c r="I88" i="99"/>
  <c r="H71" i="99"/>
  <c r="I95" i="99"/>
  <c r="J115" i="99"/>
  <c r="J114" i="99" s="1"/>
  <c r="I92" i="99"/>
  <c r="D115" i="99"/>
  <c r="I90" i="99"/>
  <c r="G120" i="99"/>
  <c r="I91" i="99"/>
  <c r="J69" i="99"/>
  <c r="I96" i="99"/>
  <c r="I94" i="99"/>
  <c r="H120" i="99"/>
  <c r="I121" i="99" s="1"/>
  <c r="F115" i="99"/>
  <c r="I81" i="99"/>
  <c r="I79" i="99"/>
  <c r="I77" i="99"/>
  <c r="H70" i="99"/>
  <c r="I75" i="99"/>
  <c r="I76" i="99"/>
  <c r="I82" i="99"/>
  <c r="I80" i="99"/>
  <c r="I83" i="99"/>
  <c r="I84" i="99"/>
  <c r="F120" i="99"/>
  <c r="E120" i="99"/>
  <c r="I93" i="99"/>
  <c r="I102" i="99"/>
  <c r="I101" i="99"/>
  <c r="I108" i="99"/>
  <c r="F69" i="99"/>
  <c r="I106" i="99"/>
  <c r="D69" i="99"/>
  <c r="D75" i="113" l="1"/>
  <c r="D67" i="113"/>
  <c r="D67" i="112"/>
  <c r="D60" i="113"/>
  <c r="D62" i="112"/>
  <c r="D60" i="112"/>
  <c r="D74" i="113"/>
  <c r="D61" i="112"/>
  <c r="D72" i="113"/>
  <c r="D73" i="113"/>
  <c r="D71" i="113"/>
  <c r="D69" i="112"/>
  <c r="D70" i="113"/>
  <c r="D69" i="113"/>
  <c r="D61" i="113"/>
  <c r="D70" i="112"/>
  <c r="D71" i="112"/>
  <c r="C114" i="99"/>
  <c r="I125" i="99"/>
  <c r="I120" i="99"/>
  <c r="I127" i="99"/>
  <c r="I123" i="99"/>
  <c r="I126" i="99"/>
  <c r="D114" i="99"/>
  <c r="H116" i="99"/>
  <c r="I129" i="99"/>
  <c r="I122" i="99"/>
  <c r="I128" i="99"/>
  <c r="H69" i="99"/>
  <c r="I69" i="99" s="1"/>
  <c r="H115" i="99"/>
  <c r="F114" i="99"/>
  <c r="I124" i="99"/>
  <c r="D76" i="113" l="1"/>
  <c r="D76" i="112"/>
  <c r="D63" i="113"/>
  <c r="D63" i="112"/>
  <c r="I71" i="99"/>
  <c r="I70" i="99"/>
  <c r="H114" i="99"/>
  <c r="I114" i="99" s="1"/>
  <c r="C57" i="9"/>
  <c r="D57" i="9"/>
  <c r="E57" i="9"/>
  <c r="F57" i="9"/>
  <c r="B57" i="9"/>
  <c r="M94" i="111" l="1"/>
  <c r="F62" i="112"/>
  <c r="F62" i="113"/>
  <c r="D107" i="111"/>
  <c r="G112" i="111"/>
  <c r="F108" i="111"/>
  <c r="F109" i="111"/>
  <c r="D115" i="111"/>
  <c r="C109" i="111"/>
  <c r="G111" i="111"/>
  <c r="F111" i="111"/>
  <c r="G114" i="111"/>
  <c r="E109" i="111"/>
  <c r="D114" i="111"/>
  <c r="D111" i="111"/>
  <c r="G110" i="111"/>
  <c r="E110" i="111"/>
  <c r="F112" i="111"/>
  <c r="E114" i="111"/>
  <c r="D109" i="111"/>
  <c r="F114" i="111"/>
  <c r="C107" i="111"/>
  <c r="E108" i="111"/>
  <c r="E112" i="111"/>
  <c r="F115" i="111"/>
  <c r="G108" i="111"/>
  <c r="D110" i="111"/>
  <c r="G115" i="111"/>
  <c r="C108" i="111"/>
  <c r="C111" i="111"/>
  <c r="M95" i="111"/>
  <c r="G109" i="111"/>
  <c r="C112" i="111"/>
  <c r="D112" i="111"/>
  <c r="D108" i="111"/>
  <c r="C115" i="111"/>
  <c r="C110" i="111"/>
  <c r="E115" i="111"/>
  <c r="E111" i="111"/>
  <c r="F110" i="111"/>
  <c r="D102" i="111"/>
  <c r="E113" i="111"/>
  <c r="G113" i="111"/>
  <c r="F113" i="111"/>
  <c r="D113" i="111"/>
  <c r="C113" i="111"/>
  <c r="C114" i="111"/>
  <c r="C102" i="111"/>
  <c r="E107" i="111"/>
  <c r="F102" i="111"/>
  <c r="F107" i="111"/>
  <c r="E102" i="111"/>
  <c r="G107" i="111"/>
  <c r="D101" i="111"/>
  <c r="E101" i="111"/>
  <c r="G102" i="111"/>
  <c r="C101" i="111"/>
  <c r="F101" i="111"/>
  <c r="G101" i="111"/>
  <c r="M114" i="110"/>
  <c r="E52" i="105"/>
  <c r="E49" i="105" s="1"/>
  <c r="E52" i="106"/>
  <c r="E49" i="106" s="1"/>
  <c r="D52" i="105"/>
  <c r="D49" i="105" s="1"/>
  <c r="D52" i="106"/>
  <c r="D49" i="106" s="1"/>
  <c r="G52" i="105"/>
  <c r="G49" i="105" s="1"/>
  <c r="G52" i="106"/>
  <c r="G49" i="106" s="1"/>
  <c r="I116" i="99"/>
  <c r="C52" i="105"/>
  <c r="C52" i="106"/>
  <c r="E41" i="106" s="1"/>
  <c r="F52" i="106"/>
  <c r="F49" i="106" s="1"/>
  <c r="F52" i="105"/>
  <c r="F49" i="105" s="1"/>
  <c r="I115" i="99"/>
  <c r="C91" i="113" l="1"/>
  <c r="G62" i="113"/>
  <c r="C91" i="112"/>
  <c r="G62" i="112"/>
  <c r="D100" i="111"/>
  <c r="G100" i="111"/>
  <c r="E100" i="111"/>
  <c r="D106" i="111"/>
  <c r="H102" i="111"/>
  <c r="H114" i="111"/>
  <c r="J114" i="111"/>
  <c r="E106" i="111"/>
  <c r="F100" i="111"/>
  <c r="J113" i="111"/>
  <c r="H113" i="111"/>
  <c r="J111" i="111"/>
  <c r="H111" i="111"/>
  <c r="J107" i="111"/>
  <c r="H107" i="111"/>
  <c r="C106" i="111"/>
  <c r="H101" i="111"/>
  <c r="J101" i="111"/>
  <c r="C100" i="111"/>
  <c r="G106" i="111"/>
  <c r="J110" i="111"/>
  <c r="H110" i="111"/>
  <c r="J112" i="111"/>
  <c r="H112" i="111"/>
  <c r="J108" i="111"/>
  <c r="H108" i="111"/>
  <c r="H109" i="111"/>
  <c r="J109" i="111"/>
  <c r="J102" i="111"/>
  <c r="F106" i="111"/>
  <c r="J115" i="111"/>
  <c r="H115" i="111"/>
  <c r="D160" i="99"/>
  <c r="M115" i="110"/>
  <c r="E107" i="110"/>
  <c r="F110" i="110"/>
  <c r="F114" i="110"/>
  <c r="E112" i="110"/>
  <c r="C107" i="110"/>
  <c r="D110" i="110"/>
  <c r="E113" i="110"/>
  <c r="G114" i="110"/>
  <c r="G108" i="110"/>
  <c r="G112" i="110"/>
  <c r="D111" i="110"/>
  <c r="E111" i="110"/>
  <c r="E115" i="110"/>
  <c r="F107" i="110"/>
  <c r="C114" i="110"/>
  <c r="G107" i="110"/>
  <c r="C111" i="110"/>
  <c r="D114" i="110"/>
  <c r="C110" i="110"/>
  <c r="F109" i="110"/>
  <c r="F113" i="110"/>
  <c r="D107" i="110"/>
  <c r="G110" i="110"/>
  <c r="C109" i="110"/>
  <c r="C113" i="110"/>
  <c r="E108" i="110"/>
  <c r="F115" i="110"/>
  <c r="F108" i="110"/>
  <c r="G111" i="110"/>
  <c r="C115" i="110"/>
  <c r="F111" i="110"/>
  <c r="E110" i="110"/>
  <c r="E114" i="110"/>
  <c r="D109" i="110"/>
  <c r="D112" i="110"/>
  <c r="D108" i="110"/>
  <c r="G109" i="110"/>
  <c r="G113" i="110"/>
  <c r="E109" i="110"/>
  <c r="F112" i="110"/>
  <c r="G115" i="110"/>
  <c r="D113" i="110"/>
  <c r="C108" i="110"/>
  <c r="C112" i="110"/>
  <c r="D115" i="110"/>
  <c r="E102" i="110"/>
  <c r="D102" i="110"/>
  <c r="F102" i="110"/>
  <c r="C102" i="110"/>
  <c r="G102" i="110"/>
  <c r="D101" i="110"/>
  <c r="D100" i="110" s="1"/>
  <c r="C101" i="110"/>
  <c r="E101" i="110"/>
  <c r="F101" i="110"/>
  <c r="G101" i="110"/>
  <c r="C3" i="113"/>
  <c r="F3" i="113"/>
  <c r="G3" i="113"/>
  <c r="F41" i="106"/>
  <c r="C49" i="106"/>
  <c r="E41" i="105"/>
  <c r="F41" i="105" s="1"/>
  <c r="C49" i="105"/>
  <c r="C160" i="99"/>
  <c r="H91" i="112" l="1"/>
  <c r="D91" i="112"/>
  <c r="G91" i="112"/>
  <c r="F91" i="112"/>
  <c r="K91" i="112"/>
  <c r="E91" i="112"/>
  <c r="L91" i="112"/>
  <c r="I91" i="112"/>
  <c r="J91" i="112"/>
  <c r="I91" i="113"/>
  <c r="E91" i="113"/>
  <c r="H91" i="113"/>
  <c r="K91" i="113"/>
  <c r="G91" i="113"/>
  <c r="J91" i="113"/>
  <c r="D91" i="113"/>
  <c r="F91" i="113"/>
  <c r="L91" i="113"/>
  <c r="C4" i="113"/>
  <c r="C10" i="113"/>
  <c r="C5" i="113"/>
  <c r="C13" i="113"/>
  <c r="E3" i="112"/>
  <c r="E4" i="112" s="1"/>
  <c r="E3" i="113"/>
  <c r="G5" i="113"/>
  <c r="G13" i="113"/>
  <c r="G4" i="113"/>
  <c r="G10" i="113"/>
  <c r="F5" i="113"/>
  <c r="F13" i="113"/>
  <c r="F10" i="113"/>
  <c r="F4" i="113"/>
  <c r="D3" i="112"/>
  <c r="D4" i="112" s="1"/>
  <c r="D3" i="113"/>
  <c r="G133" i="99"/>
  <c r="G3" i="112"/>
  <c r="F133" i="99"/>
  <c r="F3" i="112"/>
  <c r="C133" i="99"/>
  <c r="C3" i="112"/>
  <c r="J115" i="110"/>
  <c r="G100" i="110"/>
  <c r="E100" i="110"/>
  <c r="D133" i="99"/>
  <c r="E133" i="99"/>
  <c r="J106" i="111"/>
  <c r="H106" i="111"/>
  <c r="I106" i="111" s="1"/>
  <c r="H100" i="111"/>
  <c r="J100" i="111"/>
  <c r="F100" i="110"/>
  <c r="H102" i="110"/>
  <c r="G106" i="110"/>
  <c r="C100" i="110"/>
  <c r="H101" i="110"/>
  <c r="J101" i="110"/>
  <c r="H109" i="110"/>
  <c r="J109" i="110"/>
  <c r="J110" i="110"/>
  <c r="H110" i="110"/>
  <c r="J114" i="110"/>
  <c r="H114" i="110"/>
  <c r="E42" i="106"/>
  <c r="J113" i="110"/>
  <c r="H113" i="110"/>
  <c r="J107" i="110"/>
  <c r="D106" i="110"/>
  <c r="J112" i="110"/>
  <c r="H112" i="110"/>
  <c r="F106" i="110"/>
  <c r="J102" i="110"/>
  <c r="J108" i="110"/>
  <c r="H108" i="110"/>
  <c r="E106" i="110"/>
  <c r="H115" i="110"/>
  <c r="H111" i="110"/>
  <c r="J111" i="110"/>
  <c r="C106" i="110"/>
  <c r="H107" i="110"/>
  <c r="E12" i="106"/>
  <c r="E6" i="106" s="1"/>
  <c r="D12" i="106"/>
  <c r="D6" i="106" s="1"/>
  <c r="D27" i="114"/>
  <c r="D32" i="114" s="1"/>
  <c r="F37" i="114"/>
  <c r="F42" i="114" s="1"/>
  <c r="F12" i="106"/>
  <c r="F6" i="106" s="1"/>
  <c r="E37" i="114"/>
  <c r="E42" i="114" s="1"/>
  <c r="G12" i="106"/>
  <c r="G6" i="106" s="1"/>
  <c r="F27" i="114"/>
  <c r="F32" i="114" s="1"/>
  <c r="G27" i="114"/>
  <c r="G32" i="114" s="1"/>
  <c r="C12" i="106"/>
  <c r="C6" i="106" s="1"/>
  <c r="D11" i="112" l="1"/>
  <c r="D14" i="112" s="1"/>
  <c r="E11" i="112"/>
  <c r="E14" i="112" s="1"/>
  <c r="C37" i="107"/>
  <c r="C37" i="114"/>
  <c r="G42" i="107"/>
  <c r="G42" i="114"/>
  <c r="D37" i="107"/>
  <c r="D42" i="107" s="1"/>
  <c r="D37" i="114"/>
  <c r="D42" i="114" s="1"/>
  <c r="C27" i="114"/>
  <c r="E27" i="114"/>
  <c r="E32" i="114" s="1"/>
  <c r="D5" i="112"/>
  <c r="E5" i="112"/>
  <c r="E10" i="113"/>
  <c r="E4" i="113"/>
  <c r="E13" i="113"/>
  <c r="E5" i="113"/>
  <c r="F9" i="113"/>
  <c r="F11" i="113"/>
  <c r="F12" i="113"/>
  <c r="F15" i="113"/>
  <c r="F14" i="113"/>
  <c r="C15" i="113"/>
  <c r="C14" i="113"/>
  <c r="G12" i="113"/>
  <c r="G9" i="113"/>
  <c r="G11" i="113"/>
  <c r="C11" i="113"/>
  <c r="C9" i="113"/>
  <c r="C12" i="113"/>
  <c r="I3" i="113"/>
  <c r="D5" i="113"/>
  <c r="D4" i="113"/>
  <c r="D10" i="113"/>
  <c r="D13" i="113"/>
  <c r="G14" i="113"/>
  <c r="G15" i="113"/>
  <c r="H3" i="113"/>
  <c r="G5" i="112"/>
  <c r="G4" i="112"/>
  <c r="F4" i="112"/>
  <c r="F5" i="112"/>
  <c r="I3" i="112"/>
  <c r="C5" i="112"/>
  <c r="C4" i="112"/>
  <c r="H3" i="112"/>
  <c r="I114" i="111"/>
  <c r="I107" i="111"/>
  <c r="I110" i="111"/>
  <c r="I111" i="111"/>
  <c r="I108" i="111"/>
  <c r="I101" i="111"/>
  <c r="I100" i="111"/>
  <c r="I102" i="111"/>
  <c r="I112" i="111"/>
  <c r="I115" i="111"/>
  <c r="I113" i="111"/>
  <c r="I109" i="111"/>
  <c r="C27" i="107"/>
  <c r="C32" i="107" s="1"/>
  <c r="C6" i="105"/>
  <c r="J106" i="110"/>
  <c r="H100" i="110"/>
  <c r="J100" i="110"/>
  <c r="H106" i="110"/>
  <c r="I106" i="110" s="1"/>
  <c r="E27" i="107"/>
  <c r="E32" i="107" s="1"/>
  <c r="E6" i="105"/>
  <c r="G27" i="107"/>
  <c r="G32" i="107" s="1"/>
  <c r="G6" i="105"/>
  <c r="E37" i="107"/>
  <c r="E42" i="107" s="1"/>
  <c r="F37" i="107"/>
  <c r="F42" i="107" s="1"/>
  <c r="F27" i="107"/>
  <c r="F32" i="107" s="1"/>
  <c r="F6" i="105"/>
  <c r="D27" i="107"/>
  <c r="D32" i="107" s="1"/>
  <c r="D6" i="105"/>
  <c r="C42" i="107" l="1"/>
  <c r="J37" i="107"/>
  <c r="I5" i="113"/>
  <c r="C12" i="112"/>
  <c r="C15" i="112" s="1"/>
  <c r="D12" i="112"/>
  <c r="D10" i="112" s="1"/>
  <c r="D15" i="112"/>
  <c r="F12" i="112"/>
  <c r="F15" i="112" s="1"/>
  <c r="G12" i="112"/>
  <c r="G15" i="112" s="1"/>
  <c r="F11" i="112"/>
  <c r="F14" i="112" s="1"/>
  <c r="G11" i="112"/>
  <c r="G14" i="112" s="1"/>
  <c r="C11" i="112"/>
  <c r="C10" i="112" s="1"/>
  <c r="C13" i="112" s="1"/>
  <c r="E12" i="112"/>
  <c r="E10" i="112" s="1"/>
  <c r="C42" i="114"/>
  <c r="J37" i="114"/>
  <c r="H37" i="114"/>
  <c r="H42" i="114" s="1"/>
  <c r="C32" i="114"/>
  <c r="J27" i="114"/>
  <c r="H27" i="114"/>
  <c r="H32" i="114" s="1"/>
  <c r="H10" i="113"/>
  <c r="I4" i="113"/>
  <c r="H5" i="113"/>
  <c r="D14" i="113"/>
  <c r="D15" i="113"/>
  <c r="D11" i="113"/>
  <c r="D9" i="113"/>
  <c r="D12" i="113"/>
  <c r="H13" i="113"/>
  <c r="I13" i="113"/>
  <c r="E15" i="113"/>
  <c r="E14" i="113"/>
  <c r="H4" i="113"/>
  <c r="E11" i="113"/>
  <c r="E9" i="113"/>
  <c r="E12" i="113"/>
  <c r="I10" i="113"/>
  <c r="H4" i="112"/>
  <c r="I4" i="112"/>
  <c r="H5" i="112"/>
  <c r="I5" i="112"/>
  <c r="I110" i="110"/>
  <c r="I109" i="110"/>
  <c r="I115" i="110"/>
  <c r="I100" i="110"/>
  <c r="I102" i="110"/>
  <c r="I113" i="110"/>
  <c r="I108" i="110"/>
  <c r="I112" i="110"/>
  <c r="I107" i="110"/>
  <c r="I111" i="110"/>
  <c r="I101" i="110"/>
  <c r="I114" i="110"/>
  <c r="H27" i="107"/>
  <c r="H32" i="107" s="1"/>
  <c r="H37" i="107"/>
  <c r="H42" i="107" s="1"/>
  <c r="J27" i="107"/>
  <c r="C14" i="112" l="1"/>
  <c r="I14" i="113"/>
  <c r="E13" i="112"/>
  <c r="E9" i="112" s="1"/>
  <c r="D13" i="112"/>
  <c r="D9" i="112" s="1"/>
  <c r="G10" i="112"/>
  <c r="F10" i="112"/>
  <c r="E15" i="112"/>
  <c r="G18" i="114"/>
  <c r="G16" i="114"/>
  <c r="G14" i="114"/>
  <c r="G12" i="114"/>
  <c r="G5" i="114"/>
  <c r="G6" i="114"/>
  <c r="G15" i="114"/>
  <c r="G17" i="114"/>
  <c r="G13" i="114"/>
  <c r="G19" i="114"/>
  <c r="G11" i="114"/>
  <c r="F15" i="114"/>
  <c r="F16" i="114"/>
  <c r="F12" i="114"/>
  <c r="F13" i="114"/>
  <c r="F5" i="114"/>
  <c r="F19" i="114"/>
  <c r="F11" i="114"/>
  <c r="F18" i="114"/>
  <c r="F14" i="114"/>
  <c r="F6" i="114"/>
  <c r="F17" i="114"/>
  <c r="H14" i="113"/>
  <c r="H9" i="113"/>
  <c r="I12" i="113"/>
  <c r="I9" i="113"/>
  <c r="H11" i="113"/>
  <c r="I15" i="113"/>
  <c r="I11" i="113"/>
  <c r="H12" i="113"/>
  <c r="H15" i="113"/>
  <c r="I12" i="112"/>
  <c r="E71" i="112" s="1"/>
  <c r="F71" i="112" s="1"/>
  <c r="E15" i="107" s="1"/>
  <c r="H12" i="112"/>
  <c r="I11" i="112"/>
  <c r="H11" i="112"/>
  <c r="G12" i="107"/>
  <c r="G18" i="107"/>
  <c r="F12" i="107"/>
  <c r="G6" i="107"/>
  <c r="F18" i="107"/>
  <c r="E38" i="105"/>
  <c r="E72" i="105" s="1"/>
  <c r="G13" i="107"/>
  <c r="G16" i="107"/>
  <c r="G11" i="107"/>
  <c r="G17" i="107"/>
  <c r="G14" i="107"/>
  <c r="F14" i="107"/>
  <c r="G5" i="107"/>
  <c r="G15" i="107"/>
  <c r="G19" i="107"/>
  <c r="C38" i="105"/>
  <c r="C72" i="105" s="1"/>
  <c r="F19" i="107"/>
  <c r="F6" i="107"/>
  <c r="F11" i="107"/>
  <c r="F15" i="107"/>
  <c r="F17" i="107"/>
  <c r="F16" i="107"/>
  <c r="F13" i="107"/>
  <c r="F5" i="107"/>
  <c r="G13" i="112" l="1"/>
  <c r="G9" i="112"/>
  <c r="F13" i="112"/>
  <c r="F9" i="112" s="1"/>
  <c r="H10" i="112"/>
  <c r="B10" i="112" s="1"/>
  <c r="I10" i="112"/>
  <c r="E60" i="112"/>
  <c r="F60" i="112" s="1"/>
  <c r="C5" i="107" s="1"/>
  <c r="E68" i="113"/>
  <c r="E73" i="113"/>
  <c r="E74" i="113"/>
  <c r="E69" i="113"/>
  <c r="E75" i="113"/>
  <c r="E71" i="113"/>
  <c r="E72" i="113"/>
  <c r="E73" i="112"/>
  <c r="F73" i="112" s="1"/>
  <c r="E17" i="107" s="1"/>
  <c r="E67" i="113"/>
  <c r="D83" i="113"/>
  <c r="D84" i="113" s="1"/>
  <c r="E70" i="113"/>
  <c r="D83" i="112"/>
  <c r="D84" i="112" s="1"/>
  <c r="E74" i="112"/>
  <c r="F74" i="112" s="1"/>
  <c r="E18" i="107" s="1"/>
  <c r="E72" i="112"/>
  <c r="F72" i="112" s="1"/>
  <c r="E16" i="107" s="1"/>
  <c r="E68" i="112"/>
  <c r="F68" i="112" s="1"/>
  <c r="E12" i="107" s="1"/>
  <c r="E61" i="112"/>
  <c r="F61" i="112" s="1"/>
  <c r="C6" i="107" s="1"/>
  <c r="E62" i="112"/>
  <c r="E70" i="112"/>
  <c r="F70" i="112" s="1"/>
  <c r="E14" i="107" s="1"/>
  <c r="D80" i="112"/>
  <c r="D81" i="112" s="1"/>
  <c r="E67" i="112"/>
  <c r="F67" i="112" s="1"/>
  <c r="E11" i="107" s="1"/>
  <c r="D80" i="113"/>
  <c r="D81" i="113" s="1"/>
  <c r="E62" i="113"/>
  <c r="E61" i="113"/>
  <c r="E60" i="113"/>
  <c r="F60" i="113" s="1"/>
  <c r="E75" i="112"/>
  <c r="F75" i="112" s="1"/>
  <c r="E19" i="107" s="1"/>
  <c r="E69" i="112"/>
  <c r="F69" i="112" s="1"/>
  <c r="E13" i="107" s="1"/>
  <c r="D38" i="105"/>
  <c r="D72" i="105" s="1"/>
  <c r="G38" i="105"/>
  <c r="G72" i="105" s="1"/>
  <c r="F38" i="105"/>
  <c r="F61" i="113" l="1"/>
  <c r="C6" i="114" s="1"/>
  <c r="F71" i="113"/>
  <c r="G71" i="113" s="1"/>
  <c r="F75" i="113"/>
  <c r="E19" i="114" s="1"/>
  <c r="F70" i="113"/>
  <c r="E14" i="114" s="1"/>
  <c r="F74" i="113"/>
  <c r="E18" i="114" s="1"/>
  <c r="F67" i="113"/>
  <c r="E11" i="114" s="1"/>
  <c r="F68" i="113"/>
  <c r="E12" i="114" s="1"/>
  <c r="F72" i="113"/>
  <c r="G72" i="113" s="1"/>
  <c r="F69" i="113"/>
  <c r="E13" i="114" s="1"/>
  <c r="F73" i="113"/>
  <c r="E17" i="114" s="1"/>
  <c r="D19" i="107"/>
  <c r="D17" i="107"/>
  <c r="D12" i="107"/>
  <c r="D11" i="107"/>
  <c r="D14" i="107"/>
  <c r="D15" i="107"/>
  <c r="D13" i="107"/>
  <c r="D16" i="107"/>
  <c r="D18" i="107"/>
  <c r="D6" i="107"/>
  <c r="D5" i="107"/>
  <c r="D6" i="114"/>
  <c r="D5" i="114"/>
  <c r="D13" i="114"/>
  <c r="D11" i="114"/>
  <c r="D14" i="114"/>
  <c r="D15" i="114"/>
  <c r="D16" i="114"/>
  <c r="D17" i="114"/>
  <c r="D12" i="114"/>
  <c r="D18" i="114"/>
  <c r="D19" i="114"/>
  <c r="B13" i="112"/>
  <c r="B9" i="112" s="1"/>
  <c r="G73" i="112"/>
  <c r="G72" i="112"/>
  <c r="G74" i="112"/>
  <c r="G75" i="112"/>
  <c r="G68" i="112"/>
  <c r="E76" i="113"/>
  <c r="F76" i="113" s="1"/>
  <c r="G70" i="112"/>
  <c r="G69" i="112"/>
  <c r="G61" i="112"/>
  <c r="C90" i="112" s="1"/>
  <c r="G71" i="112"/>
  <c r="G60" i="112"/>
  <c r="E76" i="112"/>
  <c r="G67" i="112"/>
  <c r="E63" i="112"/>
  <c r="F63" i="112" s="1"/>
  <c r="E63" i="113"/>
  <c r="F63" i="113" s="1"/>
  <c r="G61" i="113"/>
  <c r="F72" i="105"/>
  <c r="C43" i="105" s="1"/>
  <c r="C39" i="105"/>
  <c r="G73" i="113" l="1"/>
  <c r="G74" i="113"/>
  <c r="G75" i="113"/>
  <c r="G67" i="113"/>
  <c r="G68" i="113"/>
  <c r="E16" i="114"/>
  <c r="H11" i="114"/>
  <c r="E15" i="114"/>
  <c r="H15" i="114" s="1"/>
  <c r="G70" i="113"/>
  <c r="G69" i="113"/>
  <c r="H17" i="114"/>
  <c r="H12" i="114"/>
  <c r="G60" i="113"/>
  <c r="C5" i="114"/>
  <c r="H5" i="114" s="1"/>
  <c r="H14" i="114"/>
  <c r="E64" i="112"/>
  <c r="D92" i="112" a="1"/>
  <c r="K92" i="112" s="1"/>
  <c r="K90" i="112" s="1"/>
  <c r="C89" i="112"/>
  <c r="E77" i="112"/>
  <c r="H19" i="114"/>
  <c r="H18" i="114"/>
  <c r="E77" i="113"/>
  <c r="H13" i="114"/>
  <c r="H16" i="114"/>
  <c r="C90" i="113"/>
  <c r="H6" i="114"/>
  <c r="E64" i="113"/>
  <c r="D92" i="113" l="1" a="1"/>
  <c r="K92" i="113" s="1"/>
  <c r="K90" i="113" s="1"/>
  <c r="C89" i="113"/>
  <c r="D92" i="112"/>
  <c r="D90" i="112" s="1"/>
  <c r="L92" i="112"/>
  <c r="L90" i="112" s="1"/>
  <c r="E92" i="112"/>
  <c r="E90" i="112" s="1"/>
  <c r="G92" i="112"/>
  <c r="G90" i="112" s="1"/>
  <c r="I92" i="112"/>
  <c r="I90" i="112" s="1"/>
  <c r="F92" i="112"/>
  <c r="F90" i="112" s="1"/>
  <c r="H92" i="112"/>
  <c r="H90" i="112" s="1"/>
  <c r="J92" i="112"/>
  <c r="J90" i="112" s="1"/>
  <c r="K89" i="112"/>
  <c r="J92" i="113" l="1"/>
  <c r="D92" i="113"/>
  <c r="D89" i="113" s="1"/>
  <c r="K89" i="113"/>
  <c r="I92" i="113"/>
  <c r="I90" i="113" s="1"/>
  <c r="J89" i="113"/>
  <c r="G92" i="113"/>
  <c r="G90" i="113" s="1"/>
  <c r="E92" i="113"/>
  <c r="E89" i="113" s="1"/>
  <c r="H92" i="113"/>
  <c r="H89" i="113" s="1"/>
  <c r="F92" i="113"/>
  <c r="F90" i="113" s="1"/>
  <c r="L92" i="113"/>
  <c r="L90" i="113" s="1"/>
  <c r="H89" i="112"/>
  <c r="L89" i="112"/>
  <c r="J90" i="113"/>
  <c r="J89" i="112"/>
  <c r="E89" i="112"/>
  <c r="F89" i="112"/>
  <c r="D89" i="112"/>
  <c r="G89" i="112"/>
  <c r="I89" i="112"/>
  <c r="I89" i="113"/>
  <c r="F89" i="113"/>
  <c r="C45" i="9"/>
  <c r="G89" i="113" l="1"/>
  <c r="E90" i="113"/>
  <c r="D90" i="113"/>
  <c r="H90" i="113"/>
  <c r="L89" i="113"/>
  <c r="B44" i="9" l="1"/>
  <c r="B82" i="9" l="1"/>
  <c r="C82" i="9" l="1"/>
  <c r="D82" i="9"/>
  <c r="E82" i="9"/>
  <c r="F82" i="9"/>
  <c r="B21" i="9" l="1"/>
  <c r="B22" i="9"/>
  <c r="B24" i="9"/>
  <c r="B25" i="9"/>
  <c r="B26" i="9"/>
  <c r="B27" i="9"/>
  <c r="B28" i="9"/>
  <c r="B30" i="9"/>
  <c r="B31" i="9"/>
  <c r="B32" i="9"/>
  <c r="B33" i="9"/>
  <c r="B34" i="9"/>
  <c r="B35" i="9"/>
  <c r="B36" i="9"/>
  <c r="B39" i="9"/>
  <c r="B40" i="9"/>
  <c r="B41" i="9"/>
  <c r="B42" i="9"/>
  <c r="B43" i="9"/>
  <c r="F134" i="99" l="1"/>
  <c r="C135" i="99"/>
  <c r="D134" i="99"/>
  <c r="D180" i="99" s="1"/>
  <c r="E135" i="99"/>
  <c r="E186" i="99" s="1"/>
  <c r="G134" i="99"/>
  <c r="G180" i="99" s="1"/>
  <c r="F180" i="99" l="1"/>
  <c r="F140" i="99"/>
  <c r="C134" i="99"/>
  <c r="C140" i="99" s="1"/>
  <c r="C159" i="99" s="1"/>
  <c r="G135" i="99"/>
  <c r="G186" i="99" s="1"/>
  <c r="D135" i="99"/>
  <c r="D186" i="99" s="1"/>
  <c r="E134" i="99"/>
  <c r="E180" i="99" s="1"/>
  <c r="J133" i="99"/>
  <c r="H133" i="99"/>
  <c r="F135" i="99"/>
  <c r="F186" i="99" s="1"/>
  <c r="D192" i="99"/>
  <c r="C186" i="99"/>
  <c r="C147" i="99"/>
  <c r="C166" i="99" s="1"/>
  <c r="C150" i="99"/>
  <c r="C151" i="99"/>
  <c r="C152" i="99"/>
  <c r="C149" i="99"/>
  <c r="C146" i="99"/>
  <c r="C154" i="99"/>
  <c r="C173" i="99" s="1"/>
  <c r="C153" i="99"/>
  <c r="C148" i="99"/>
  <c r="F141" i="99"/>
  <c r="F160" i="99" s="1"/>
  <c r="D141" i="99"/>
  <c r="D140" i="99"/>
  <c r="D159" i="99" s="1"/>
  <c r="D191" i="99" s="1"/>
  <c r="G141" i="99"/>
  <c r="G160" i="99" s="1"/>
  <c r="G192" i="99" s="1"/>
  <c r="G140" i="99"/>
  <c r="G159" i="99" s="1"/>
  <c r="G191" i="99" s="1"/>
  <c r="G210" i="99" s="1"/>
  <c r="E154" i="99"/>
  <c r="E173" i="99" s="1"/>
  <c r="E205" i="99" s="1"/>
  <c r="E153" i="99"/>
  <c r="E172" i="99" s="1"/>
  <c r="E204" i="99" s="1"/>
  <c r="E152" i="99"/>
  <c r="E171" i="99" s="1"/>
  <c r="E203" i="99" s="1"/>
  <c r="E151" i="99"/>
  <c r="E170" i="99" s="1"/>
  <c r="E202" i="99" s="1"/>
  <c r="E150" i="99"/>
  <c r="E169" i="99" s="1"/>
  <c r="E201" i="99" s="1"/>
  <c r="E149" i="99"/>
  <c r="E168" i="99" s="1"/>
  <c r="E200" i="99" s="1"/>
  <c r="E148" i="99"/>
  <c r="E167" i="99" s="1"/>
  <c r="E199" i="99" s="1"/>
  <c r="E147" i="99"/>
  <c r="E166" i="99" s="1"/>
  <c r="E198" i="99" s="1"/>
  <c r="E146" i="99"/>
  <c r="F192" i="99" l="1"/>
  <c r="D150" i="99"/>
  <c r="D169" i="99" s="1"/>
  <c r="D201" i="99" s="1"/>
  <c r="D154" i="99"/>
  <c r="D173" i="99" s="1"/>
  <c r="D205" i="99" s="1"/>
  <c r="D146" i="99"/>
  <c r="D165" i="99" s="1"/>
  <c r="D197" i="99" s="1"/>
  <c r="D216" i="99" s="1"/>
  <c r="D153" i="99"/>
  <c r="D172" i="99" s="1"/>
  <c r="D204" i="99" s="1"/>
  <c r="D223" i="99" s="1"/>
  <c r="D147" i="99"/>
  <c r="D166" i="99" s="1"/>
  <c r="D198" i="99" s="1"/>
  <c r="D217" i="99" s="1"/>
  <c r="D149" i="99"/>
  <c r="D168" i="99" s="1"/>
  <c r="D200" i="99" s="1"/>
  <c r="D219" i="99" s="1"/>
  <c r="D148" i="99"/>
  <c r="D167" i="99" s="1"/>
  <c r="D199" i="99" s="1"/>
  <c r="D218" i="99" s="1"/>
  <c r="D151" i="99"/>
  <c r="D170" i="99" s="1"/>
  <c r="D202" i="99" s="1"/>
  <c r="D221" i="99" s="1"/>
  <c r="D152" i="99"/>
  <c r="D171" i="99" s="1"/>
  <c r="D203" i="99" s="1"/>
  <c r="D222" i="99" s="1"/>
  <c r="F148" i="99"/>
  <c r="F167" i="99" s="1"/>
  <c r="F199" i="99" s="1"/>
  <c r="F218" i="99" s="1"/>
  <c r="F154" i="99"/>
  <c r="F173" i="99" s="1"/>
  <c r="F205" i="99" s="1"/>
  <c r="F224" i="99" s="1"/>
  <c r="F146" i="99"/>
  <c r="F165" i="99" s="1"/>
  <c r="F197" i="99" s="1"/>
  <c r="F216" i="99" s="1"/>
  <c r="F150" i="99"/>
  <c r="F169" i="99" s="1"/>
  <c r="F201" i="99" s="1"/>
  <c r="F220" i="99" s="1"/>
  <c r="F147" i="99"/>
  <c r="F166" i="99" s="1"/>
  <c r="F198" i="99" s="1"/>
  <c r="F217" i="99" s="1"/>
  <c r="F151" i="99"/>
  <c r="F170" i="99" s="1"/>
  <c r="F202" i="99" s="1"/>
  <c r="F221" i="99" s="1"/>
  <c r="F149" i="99"/>
  <c r="F168" i="99" s="1"/>
  <c r="F200" i="99" s="1"/>
  <c r="F219" i="99" s="1"/>
  <c r="C180" i="99"/>
  <c r="C192" i="99" s="1"/>
  <c r="C211" i="99" s="1"/>
  <c r="C141" i="99"/>
  <c r="C139" i="99" s="1"/>
  <c r="F152" i="99"/>
  <c r="F171" i="99" s="1"/>
  <c r="F203" i="99" s="1"/>
  <c r="F222" i="99" s="1"/>
  <c r="J135" i="99"/>
  <c r="J186" i="99" s="1"/>
  <c r="G147" i="99"/>
  <c r="G166" i="99" s="1"/>
  <c r="G198" i="99" s="1"/>
  <c r="G217" i="99" s="1"/>
  <c r="G151" i="99"/>
  <c r="G170" i="99" s="1"/>
  <c r="G202" i="99" s="1"/>
  <c r="G221" i="99" s="1"/>
  <c r="G148" i="99"/>
  <c r="G167" i="99" s="1"/>
  <c r="G199" i="99" s="1"/>
  <c r="G218" i="99" s="1"/>
  <c r="G152" i="99"/>
  <c r="G171" i="99" s="1"/>
  <c r="G203" i="99" s="1"/>
  <c r="G222" i="99" s="1"/>
  <c r="G149" i="99"/>
  <c r="G168" i="99" s="1"/>
  <c r="G200" i="99" s="1"/>
  <c r="G219" i="99" s="1"/>
  <c r="G153" i="99"/>
  <c r="G172" i="99" s="1"/>
  <c r="G204" i="99" s="1"/>
  <c r="G223" i="99" s="1"/>
  <c r="G146" i="99"/>
  <c r="G150" i="99"/>
  <c r="G169" i="99" s="1"/>
  <c r="G201" i="99" s="1"/>
  <c r="G220" i="99" s="1"/>
  <c r="G154" i="99"/>
  <c r="G173" i="99" s="1"/>
  <c r="G205" i="99" s="1"/>
  <c r="G224" i="99" s="1"/>
  <c r="H135" i="99"/>
  <c r="H186" i="99" s="1"/>
  <c r="F153" i="99"/>
  <c r="F172" i="99" s="1"/>
  <c r="F204" i="99" s="1"/>
  <c r="F223" i="99" s="1"/>
  <c r="J134" i="99"/>
  <c r="J180" i="99" s="1"/>
  <c r="H134" i="99"/>
  <c r="H180" i="99" s="1"/>
  <c r="E141" i="99"/>
  <c r="E160" i="99" s="1"/>
  <c r="E192" i="99" s="1"/>
  <c r="E211" i="99" s="1"/>
  <c r="E140" i="99"/>
  <c r="E159" i="99" s="1"/>
  <c r="E191" i="99" s="1"/>
  <c r="E210" i="99" s="1"/>
  <c r="C167" i="99"/>
  <c r="C199" i="99" s="1"/>
  <c r="C218" i="99" s="1"/>
  <c r="C168" i="99"/>
  <c r="C200" i="99" s="1"/>
  <c r="C219" i="99" s="1"/>
  <c r="F159" i="99"/>
  <c r="F191" i="99" s="1"/>
  <c r="F210" i="99" s="1"/>
  <c r="C172" i="99"/>
  <c r="C204" i="99" s="1"/>
  <c r="C223" i="99" s="1"/>
  <c r="E165" i="99"/>
  <c r="E197" i="99" s="1"/>
  <c r="E216" i="99" s="1"/>
  <c r="C171" i="99"/>
  <c r="C203" i="99" s="1"/>
  <c r="C222" i="99" s="1"/>
  <c r="C165" i="99"/>
  <c r="C197" i="99" s="1"/>
  <c r="C216" i="99" s="1"/>
  <c r="C170" i="99"/>
  <c r="C202" i="99" s="1"/>
  <c r="C221" i="99" s="1"/>
  <c r="C169" i="99"/>
  <c r="C201" i="99" s="1"/>
  <c r="C220" i="99" s="1"/>
  <c r="C205" i="99"/>
  <c r="C224" i="99" s="1"/>
  <c r="C198" i="99"/>
  <c r="C217" i="99" s="1"/>
  <c r="C145" i="99"/>
  <c r="D210" i="99"/>
  <c r="D211" i="99"/>
  <c r="D224" i="99"/>
  <c r="E219" i="99"/>
  <c r="E223" i="99"/>
  <c r="E220" i="99"/>
  <c r="E224" i="99"/>
  <c r="D220" i="99"/>
  <c r="F211" i="99"/>
  <c r="E218" i="99"/>
  <c r="E222" i="99"/>
  <c r="E217" i="99"/>
  <c r="E221" i="99"/>
  <c r="G211" i="99"/>
  <c r="F139" i="99"/>
  <c r="E145" i="99"/>
  <c r="G139" i="99"/>
  <c r="D139" i="99"/>
  <c r="H151" i="99" l="1"/>
  <c r="D145" i="99"/>
  <c r="J146" i="99"/>
  <c r="J165" i="99" s="1"/>
  <c r="C191" i="99"/>
  <c r="C210" i="99" s="1"/>
  <c r="C209" i="99" s="1"/>
  <c r="G165" i="99"/>
  <c r="G197" i="99" s="1"/>
  <c r="G216" i="99" s="1"/>
  <c r="G215" i="99" s="1"/>
  <c r="J148" i="99"/>
  <c r="J167" i="99" s="1"/>
  <c r="H147" i="99"/>
  <c r="H166" i="99" s="1"/>
  <c r="H198" i="99" s="1"/>
  <c r="J147" i="99"/>
  <c r="J166" i="99" s="1"/>
  <c r="J151" i="99"/>
  <c r="J170" i="99" s="1"/>
  <c r="H148" i="99"/>
  <c r="H167" i="99" s="1"/>
  <c r="H199" i="99" s="1"/>
  <c r="F145" i="99"/>
  <c r="H146" i="99"/>
  <c r="H165" i="99" s="1"/>
  <c r="H197" i="99" s="1"/>
  <c r="H150" i="99"/>
  <c r="H169" i="99" s="1"/>
  <c r="H201" i="99" s="1"/>
  <c r="G145" i="99"/>
  <c r="J149" i="99"/>
  <c r="J168" i="99" s="1"/>
  <c r="H149" i="99"/>
  <c r="H168" i="99" s="1"/>
  <c r="H200" i="99" s="1"/>
  <c r="H154" i="99"/>
  <c r="H173" i="99" s="1"/>
  <c r="H205" i="99" s="1"/>
  <c r="J154" i="99"/>
  <c r="J173" i="99" s="1"/>
  <c r="H152" i="99"/>
  <c r="H171" i="99" s="1"/>
  <c r="H203" i="99" s="1"/>
  <c r="J152" i="99"/>
  <c r="J171" i="99" s="1"/>
  <c r="J150" i="99"/>
  <c r="J169" i="99" s="1"/>
  <c r="H153" i="99"/>
  <c r="H172" i="99" s="1"/>
  <c r="H204" i="99" s="1"/>
  <c r="J153" i="99"/>
  <c r="J172" i="99" s="1"/>
  <c r="H141" i="99"/>
  <c r="H160" i="99" s="1"/>
  <c r="H192" i="99" s="1"/>
  <c r="J141" i="99"/>
  <c r="J160" i="99" s="1"/>
  <c r="J140" i="99"/>
  <c r="J159" i="99" s="1"/>
  <c r="E139" i="99"/>
  <c r="H139" i="99" s="1"/>
  <c r="H140" i="99"/>
  <c r="H159" i="99" s="1"/>
  <c r="H191" i="99" s="1"/>
  <c r="C215" i="99"/>
  <c r="H170" i="99"/>
  <c r="H202" i="99" s="1"/>
  <c r="J222" i="99"/>
  <c r="J219" i="99"/>
  <c r="E209" i="99"/>
  <c r="J224" i="99"/>
  <c r="J220" i="99"/>
  <c r="J217" i="99"/>
  <c r="J221" i="99"/>
  <c r="D215" i="99"/>
  <c r="J218" i="99"/>
  <c r="J223" i="99"/>
  <c r="D209" i="99"/>
  <c r="F209" i="99"/>
  <c r="J211" i="99"/>
  <c r="F215" i="99"/>
  <c r="E215" i="99"/>
  <c r="G209" i="99"/>
  <c r="J210" i="99"/>
  <c r="J216" i="99" l="1"/>
  <c r="J145" i="99"/>
  <c r="J164" i="99" s="1"/>
  <c r="H210" i="99"/>
  <c r="H211" i="99"/>
  <c r="H217" i="99"/>
  <c r="H223" i="99"/>
  <c r="H219" i="99"/>
  <c r="H216" i="99"/>
  <c r="H221" i="99"/>
  <c r="H218" i="99"/>
  <c r="H222" i="99"/>
  <c r="H220" i="99"/>
  <c r="H224" i="99"/>
  <c r="H145" i="99"/>
  <c r="H164" i="99" s="1"/>
  <c r="J139" i="99"/>
  <c r="J158" i="99" s="1"/>
  <c r="I141" i="99"/>
  <c r="H158" i="99"/>
  <c r="I140" i="99"/>
  <c r="J209" i="99"/>
  <c r="J215" i="99"/>
  <c r="I139" i="99"/>
  <c r="H209" i="99" l="1"/>
  <c r="K209" i="99" s="1"/>
  <c r="I151" i="99"/>
  <c r="H215" i="99"/>
  <c r="K215" i="99" s="1"/>
  <c r="I149" i="99"/>
  <c r="I152" i="99"/>
  <c r="I145" i="99"/>
  <c r="I150" i="99"/>
  <c r="I148" i="99"/>
  <c r="I154" i="99"/>
  <c r="I147" i="99"/>
  <c r="I153" i="99"/>
  <c r="I146" i="99"/>
  <c r="C28" i="106" l="1"/>
  <c r="E28" i="106" l="1"/>
  <c r="D28" i="106" l="1"/>
  <c r="C33" i="106"/>
  <c r="C38" i="106" s="1"/>
  <c r="C72" i="106" l="1"/>
  <c r="D33" i="106" l="1"/>
  <c r="D38" i="106" s="1"/>
  <c r="D72" i="106" s="1"/>
  <c r="G28" i="106"/>
  <c r="F28" i="106"/>
  <c r="E33" i="106" l="1"/>
  <c r="E38" i="106" s="1"/>
  <c r="E72" i="106" s="1"/>
  <c r="F33" i="106" l="1"/>
  <c r="F38" i="106" s="1"/>
  <c r="F72" i="106" s="1"/>
  <c r="G33" i="106" l="1"/>
  <c r="G38" i="106" s="1"/>
  <c r="G72" i="106" s="1"/>
  <c r="C43" i="106" s="1"/>
  <c r="D75" i="96" l="1"/>
  <c r="D5" i="111" s="1"/>
  <c r="F75" i="96" l="1"/>
  <c r="F5" i="111" s="1"/>
  <c r="G75" i="96"/>
  <c r="G5" i="111" s="1"/>
  <c r="E75" i="96"/>
  <c r="E5" i="111" s="1"/>
  <c r="J5" i="111" l="1"/>
  <c r="H5" i="111"/>
  <c r="I5" i="111" l="1"/>
  <c r="I6" i="111"/>
  <c r="I7" i="111"/>
  <c r="H5" i="107" l="1"/>
  <c r="H6" i="107" l="1"/>
  <c r="H17" i="107"/>
  <c r="H14" i="107"/>
  <c r="H19" i="107"/>
  <c r="H13" i="107"/>
  <c r="H12" i="107"/>
  <c r="H18" i="107"/>
  <c r="H15" i="107"/>
  <c r="H11" i="107"/>
  <c r="H16" i="107"/>
  <c r="I13" i="112" l="1"/>
  <c r="H13" i="112"/>
  <c r="I14" i="112"/>
  <c r="H14" i="112"/>
  <c r="C9" i="112"/>
  <c r="I9" i="112" s="1"/>
  <c r="H15" i="112"/>
  <c r="I15" i="112"/>
  <c r="H9" i="112" l="1"/>
</calcChain>
</file>

<file path=xl/sharedStrings.xml><?xml version="1.0" encoding="utf-8"?>
<sst xmlns="http://schemas.openxmlformats.org/spreadsheetml/2006/main" count="1703" uniqueCount="433">
  <si>
    <t>Outras premissas relevantes</t>
  </si>
  <si>
    <t>TOTAL</t>
  </si>
  <si>
    <t>2. Depreciação dos Ativos</t>
  </si>
  <si>
    <t>%</t>
  </si>
  <si>
    <t>Total da Dívida/Capital Total [D/(D+E)]</t>
  </si>
  <si>
    <t>Capital Próprio/Capital Total [E/(D+E)]</t>
  </si>
  <si>
    <t>1. Tubulações</t>
  </si>
  <si>
    <t>1.1 Linha Tronco</t>
  </si>
  <si>
    <t>2.2 Válvulas</t>
  </si>
  <si>
    <t>2.3 Sistema de Proteção Catódica e Demais Equipamentos de Controle de Corrosão</t>
  </si>
  <si>
    <t>2.4 Sistemas de Comunicação e de Supervisão e Controle</t>
  </si>
  <si>
    <t>2.5 Outros Componentes</t>
  </si>
  <si>
    <t>3.3 Estação(ões) de Interconexão</t>
  </si>
  <si>
    <t>3.4 Estação(ões) de Compressão</t>
  </si>
  <si>
    <t>3.5 Estação(ões) de Medição</t>
  </si>
  <si>
    <t>3.6 Estação(ões) de Regulagem de Pressão</t>
  </si>
  <si>
    <t>3.7 Sistema Elétrico</t>
  </si>
  <si>
    <t>3.8 Sistemas Auxiliares</t>
  </si>
  <si>
    <t>6.1 Imóveis/Edificações/Terrenos e Benfeitorias</t>
  </si>
  <si>
    <t>6.2 Móveis, Equipamentos e Instalações de Escritório</t>
  </si>
  <si>
    <t>6.3 Equipamentos e Instalações de Processamento de Dados e de Comunicação</t>
  </si>
  <si>
    <t>6.4 Veículos</t>
  </si>
  <si>
    <t>6.5 Outros Bens Imobilizados</t>
  </si>
  <si>
    <t>3. Custo de Capital Próprio, Custo de Capital de Terceiros e Custo Médio Ponderado de Capital</t>
  </si>
  <si>
    <t>4. Outros</t>
  </si>
  <si>
    <t>(-) Deduções e Abatimentos</t>
  </si>
  <si>
    <t>Receita Operacional Líquida</t>
  </si>
  <si>
    <t>Receita Bruta da Prestação de Serviço de Transporte</t>
  </si>
  <si>
    <t>(-) ICMS</t>
  </si>
  <si>
    <t>(-) Demais Impostos e Contribuições sobre a Prestação de Serviço de Transporte</t>
  </si>
  <si>
    <t>Investimentos (2)</t>
  </si>
  <si>
    <t>Valor Residual (4)</t>
  </si>
  <si>
    <t>Lucro (Prejuízo) após IRPJ/CSLL (1)</t>
  </si>
  <si>
    <t>Extensão Total (km)</t>
  </si>
  <si>
    <t>1.2 Trecho(s)/Ramal(is)</t>
  </si>
  <si>
    <t>Custo Médio Ponderado de Capital, em termos reais (% a.a.)</t>
  </si>
  <si>
    <t>1. Alíquotas de Tributos (%)</t>
  </si>
  <si>
    <t>ICMS</t>
  </si>
  <si>
    <t>Outros Tributos Aplicáveis</t>
  </si>
  <si>
    <t>Duração do Ano (dias)</t>
  </si>
  <si>
    <t/>
  </si>
  <si>
    <t>Total</t>
  </si>
  <si>
    <t>Dias Operacionais (dias)</t>
  </si>
  <si>
    <t>Fluxo de Caixa Livre da Firma = (1) - (2) + (3) + (4) - (5)</t>
  </si>
  <si>
    <t>(-) Salários e Benefícios</t>
  </si>
  <si>
    <t>(-) Manutenção e Operação de Compressores</t>
  </si>
  <si>
    <t>(-) Manutenção do Sistema de Proteção Catódica</t>
  </si>
  <si>
    <t>(-) Outras Manutenções</t>
  </si>
  <si>
    <t>(-) Conservação e Manutenção da Faixa de Servidão do Duto</t>
  </si>
  <si>
    <t>(-) Combustíveis e Lubrificantes</t>
  </si>
  <si>
    <t>(-) Gás de Uso no Sistema / Energia Elétrica para Acionamento dos Compressores</t>
  </si>
  <si>
    <t>(-) Serviços de Utilidade Pública (Energia Elétrica, Água e Esgoto etc.) e Comunicação</t>
  </si>
  <si>
    <t>(-) Aluguéis e Seguros</t>
  </si>
  <si>
    <t>(-) Aquisição e Passagem de Pigs de Limpeza e Instrumentados</t>
  </si>
  <si>
    <t>(-) Outros Custos e Despesas</t>
  </si>
  <si>
    <t>(-) Despesas Gerais e Administrativas (G&amp;A) Atribuíveis ao Empreendimento</t>
  </si>
  <si>
    <t>Depreciação ou Amortização Contábil (3)</t>
  </si>
  <si>
    <t>Valor Presente Líquido do Fluxo de Caixa Livre da Firma</t>
  </si>
  <si>
    <t>R$/MMBtu</t>
  </si>
  <si>
    <t>Benefício fiscal para Prejuízo Acumulado</t>
  </si>
  <si>
    <t>US$/MMBtu</t>
  </si>
  <si>
    <t>Tarifa de Transporte Máxima</t>
  </si>
  <si>
    <t>Prejuízos Acumulados</t>
  </si>
  <si>
    <t>Benefício Fiscal decorrente de Prejuízos Acumulados</t>
  </si>
  <si>
    <t>Variação da Necessidade Líquida de Capital de Giro (5)</t>
  </si>
  <si>
    <t>CSLL</t>
  </si>
  <si>
    <t>IRPJ</t>
  </si>
  <si>
    <t>(-) IRPJ</t>
  </si>
  <si>
    <t>(-) CSLL</t>
  </si>
  <si>
    <t xml:space="preserve">(-) PIS </t>
  </si>
  <si>
    <t>(-) COFINS</t>
  </si>
  <si>
    <t xml:space="preserve">PIS </t>
  </si>
  <si>
    <t>COFINS</t>
  </si>
  <si>
    <t>TJLP (a.a.)</t>
  </si>
  <si>
    <t>Taxa de Inflação EUA (a.a.)</t>
  </si>
  <si>
    <t>Taxa de Inflação Brasil (a.a.)</t>
  </si>
  <si>
    <t>Taxa de Desconto do Fluxo de Caixa Livre da Firma</t>
  </si>
  <si>
    <t xml:space="preserve">3.1 Estação(ões) de Recebimento </t>
  </si>
  <si>
    <t>3.2 Estação(ões) de Entrega</t>
  </si>
  <si>
    <t>Lucro Antes de IRPJ e CSLL</t>
  </si>
  <si>
    <t>(-) Depreciação e Amortização Fiscal</t>
  </si>
  <si>
    <t>(+) Crédito PIS/COFINS (O&amp;M e Conservação e Manutenção da Faixa de Servidão)</t>
  </si>
  <si>
    <t xml:space="preserve"> PREMISSAS</t>
  </si>
  <si>
    <t>CPMF</t>
  </si>
  <si>
    <t>Capacidade Contratada de Transporte Total (mil m3/ano)</t>
  </si>
  <si>
    <t>Duração Ano (dias)</t>
  </si>
  <si>
    <t xml:space="preserve">Contrato 1 </t>
  </si>
  <si>
    <t>Capacidade Contratada</t>
  </si>
  <si>
    <t>Contrato 2</t>
  </si>
  <si>
    <t>Contrato 4</t>
  </si>
  <si>
    <t>% O&amp;M Variável</t>
  </si>
  <si>
    <t>Fator de conversão (MMBtu/m³)</t>
  </si>
  <si>
    <t>Capacidade Contratada de Transporte Total (MMBtu/ano)</t>
  </si>
  <si>
    <t>Capacidade Contratada de Transporte Total ( mil m3/dia)</t>
  </si>
  <si>
    <t>Volume em m3 / dia</t>
  </si>
  <si>
    <t>Dados Contrato 1 (01/01/2020 à 31/12/2049):</t>
  </si>
  <si>
    <t>Dados Contrato 2 (01/01/2022 à 31/12/2049):</t>
  </si>
  <si>
    <t>Dados Contrato 3 (01/10/2030 à 30/09/2049):</t>
  </si>
  <si>
    <t>Dados Contrato 4 (05/09/2041 à 04/09/2049):</t>
  </si>
  <si>
    <t>Dados :</t>
  </si>
  <si>
    <t>Taxa de câmbio  R$/US$</t>
  </si>
  <si>
    <t>5. Custos de O&amp;M e Despesas G&amp;A</t>
  </si>
  <si>
    <t>Salários e Benefícios</t>
  </si>
  <si>
    <t>Manutenção e Operação de Compressores</t>
  </si>
  <si>
    <t>Manutenção do Sistema de Proteção Catódica</t>
  </si>
  <si>
    <t>Outras Manutenções</t>
  </si>
  <si>
    <t>Conservação e Manutenção da Faixa de Servidão do Duto</t>
  </si>
  <si>
    <t>Combustíveis e Lubrificantes</t>
  </si>
  <si>
    <t>Gás de Uso no Sistema / Energia Elétrica para Acionamento dos Compressores</t>
  </si>
  <si>
    <t>Serviços de Utilidade Pública (Energia Elétrica, Água e Esgoto etc.) e Comunicação</t>
  </si>
  <si>
    <t>Aluguéis e Seguros</t>
  </si>
  <si>
    <t>Aquisição e Passagem de Pigs de Limpeza e Instrumentados</t>
  </si>
  <si>
    <t>Outros Custos e Despesas</t>
  </si>
  <si>
    <t>Despesas Gerais e Administrativas (G&amp;A) Atribuíveis ao Empreendimento</t>
  </si>
  <si>
    <t>Volume Total Disponível (mil m3/dia)</t>
  </si>
  <si>
    <t>Volume Total Disponível (mil m3/ano)</t>
  </si>
  <si>
    <t>Volume Total Disponível (MMBtu/ano)</t>
  </si>
  <si>
    <t>Capacidade Contratada de Transporte Total (mil m3/dia)</t>
  </si>
  <si>
    <t xml:space="preserve"> </t>
  </si>
  <si>
    <t xml:space="preserve">RECEITA ANUAL MÁXIMA </t>
  </si>
  <si>
    <t>WACC 1</t>
  </si>
  <si>
    <t>2. Componentes</t>
  </si>
  <si>
    <t>3. Complementos</t>
  </si>
  <si>
    <t>6. Outros Bens e Instalações Diretamente Vinculados</t>
  </si>
  <si>
    <t>Método de Depreciação Contábil - Depreciação Linear</t>
  </si>
  <si>
    <t xml:space="preserve">Taxa de Depreciação </t>
  </si>
  <si>
    <t>Taxa Interna de Retorno (a.a.) - WACC 1</t>
  </si>
  <si>
    <t>8 Overhaul</t>
  </si>
  <si>
    <t>R$/Mil m3/km</t>
  </si>
  <si>
    <t>Corumbá</t>
  </si>
  <si>
    <t>Campo Grande</t>
  </si>
  <si>
    <t>Bilac</t>
  </si>
  <si>
    <t>Guaiçara</t>
  </si>
  <si>
    <t>Iacanga</t>
  </si>
  <si>
    <t>Ibitinga</t>
  </si>
  <si>
    <t>Boa Esperança do Sul</t>
  </si>
  <si>
    <t>São Carlos</t>
  </si>
  <si>
    <t>Rio Claro</t>
  </si>
  <si>
    <t>Limeira</t>
  </si>
  <si>
    <t>Americana</t>
  </si>
  <si>
    <t>Itatiba</t>
  </si>
  <si>
    <t>Sumaré</t>
  </si>
  <si>
    <t>Campinas</t>
  </si>
  <si>
    <t>Indaiatuba</t>
  </si>
  <si>
    <t>Porto Feliz</t>
  </si>
  <si>
    <t>Araçoiaba da Serra</t>
  </si>
  <si>
    <t>Campo Largo</t>
  </si>
  <si>
    <t>REPAR</t>
  </si>
  <si>
    <t>Brusque</t>
  </si>
  <si>
    <t>Tijucas</t>
  </si>
  <si>
    <t>São Pedro de Alcântara</t>
  </si>
  <si>
    <t>Tubarão</t>
  </si>
  <si>
    <t>Urussanga</t>
  </si>
  <si>
    <t>Nova Veneza</t>
  </si>
  <si>
    <t>Várzea do Cedro</t>
  </si>
  <si>
    <t>Igrejinha</t>
  </si>
  <si>
    <t>Araricá</t>
  </si>
  <si>
    <t>Cachoeirinha</t>
  </si>
  <si>
    <t>Canoas</t>
  </si>
  <si>
    <t>REFAP</t>
  </si>
  <si>
    <t>Três Lagoas (UFN III)</t>
  </si>
  <si>
    <t>Três Lagoas (UTE)</t>
  </si>
  <si>
    <t>Valparaíso</t>
  </si>
  <si>
    <t>Itirapima</t>
  </si>
  <si>
    <t>Replan</t>
  </si>
  <si>
    <t>Jaguaríuna</t>
  </si>
  <si>
    <t xml:space="preserve">Guararema </t>
  </si>
  <si>
    <t>Gemini</t>
  </si>
  <si>
    <t>Itu</t>
  </si>
  <si>
    <t>Itapetininga</t>
  </si>
  <si>
    <t>Araucária CIC</t>
  </si>
  <si>
    <t>Joinville</t>
  </si>
  <si>
    <t xml:space="preserve">Guararmirim </t>
  </si>
  <si>
    <t>GASPAR</t>
  </si>
  <si>
    <t>Araucária UTE</t>
  </si>
  <si>
    <t>Canoas UTE</t>
  </si>
  <si>
    <t>MSgás</t>
  </si>
  <si>
    <t>Gás Brasiliano</t>
  </si>
  <si>
    <t>Comgás</t>
  </si>
  <si>
    <t>Gás Natural São Paulo</t>
  </si>
  <si>
    <t>Compagás</t>
  </si>
  <si>
    <t>SCGás</t>
  </si>
  <si>
    <t>Sulgás</t>
  </si>
  <si>
    <t>Zona</t>
  </si>
  <si>
    <t>UP</t>
  </si>
  <si>
    <t>Gascar</t>
  </si>
  <si>
    <t>EMED CORUMBÁ</t>
  </si>
  <si>
    <t>EMED GASCAR</t>
  </si>
  <si>
    <t>Total Saídas</t>
  </si>
  <si>
    <t>GUS</t>
  </si>
  <si>
    <t>Total Entradas</t>
  </si>
  <si>
    <t>Saldo</t>
  </si>
  <si>
    <t>VOLUME - CENÁRIO BASE</t>
  </si>
  <si>
    <t>Fonte -&gt;</t>
  </si>
  <si>
    <t>Gás Bolívia</t>
  </si>
  <si>
    <t>Gás Brasil</t>
  </si>
  <si>
    <t>--</t>
  </si>
  <si>
    <t>EMED GASPAJ</t>
  </si>
  <si>
    <t>Fluxo Ótimo</t>
  </si>
  <si>
    <t>Entrada</t>
  </si>
  <si>
    <t>CORUMBÁ</t>
  </si>
  <si>
    <t>Distribuidoras</t>
  </si>
  <si>
    <t>UF</t>
  </si>
  <si>
    <t>CATEGORIA</t>
  </si>
  <si>
    <t>PONTOS DE CONEXÃO</t>
  </si>
  <si>
    <t>MS</t>
  </si>
  <si>
    <t>ENTRADA</t>
  </si>
  <si>
    <t>SAÍDA</t>
  </si>
  <si>
    <t>FAFEN</t>
  </si>
  <si>
    <t>UTE</t>
  </si>
  <si>
    <t>SP</t>
  </si>
  <si>
    <t>REFINARIA</t>
  </si>
  <si>
    <t>Entrada a partir de 2021</t>
  </si>
  <si>
    <t>Sai (-)/Entra(+) Gascar</t>
  </si>
  <si>
    <t>Sai(-)/Entra(+) Gaspaj</t>
  </si>
  <si>
    <t>SALDO</t>
  </si>
  <si>
    <t>Sai (-)/Entra(+) GASPAL</t>
  </si>
  <si>
    <t>PR</t>
  </si>
  <si>
    <t>SC</t>
  </si>
  <si>
    <t>RS</t>
  </si>
  <si>
    <t>Distância até Corumbá</t>
  </si>
  <si>
    <t>Distância Gascar</t>
  </si>
  <si>
    <t>Contrato 3 (Equivalente ao Cpac techo sul)</t>
  </si>
  <si>
    <t xml:space="preserve"> Investimento</t>
  </si>
  <si>
    <t>Distância dentro da Zona</t>
  </si>
  <si>
    <t>EMED Guararema</t>
  </si>
  <si>
    <t>Volume total Cenário Logístico</t>
  </si>
  <si>
    <t xml:space="preserve"> % dos contratos novos</t>
  </si>
  <si>
    <t>Alocação PB - Entrada</t>
  </si>
  <si>
    <t>Alocação PB - Saída</t>
  </si>
  <si>
    <t>Demanda novos Contratos - Entrada</t>
  </si>
  <si>
    <t>Demanda novos Contratos - Saída</t>
  </si>
  <si>
    <t>Capacidade Existente</t>
  </si>
  <si>
    <t>Capacidade novos Contratos - Entrada</t>
  </si>
  <si>
    <t>Capacidade novos Contratos - Saída</t>
  </si>
  <si>
    <t>% Entrada</t>
  </si>
  <si>
    <t>% Saída</t>
  </si>
  <si>
    <t>Fluxo de Caixa Livre da Chamada Pública (em R$ mil)</t>
  </si>
  <si>
    <t>Média</t>
  </si>
  <si>
    <t>BRA + FC</t>
  </si>
  <si>
    <t>Receita Anual Máxima 2020</t>
  </si>
  <si>
    <t xml:space="preserve"> (R$ mil)</t>
  </si>
  <si>
    <t>Receita Anual Máxima 2021</t>
  </si>
  <si>
    <t>Receita Anual Máxima 2022</t>
  </si>
  <si>
    <t>Receita Anual Máxima 2023</t>
  </si>
  <si>
    <t>Receita Anual Máxima 2024</t>
  </si>
  <si>
    <t>EMED Corumbá</t>
  </si>
  <si>
    <t>EMED Gascar</t>
  </si>
  <si>
    <t>MS1</t>
  </si>
  <si>
    <t>SP1</t>
  </si>
  <si>
    <t>SP2</t>
  </si>
  <si>
    <t>SP3</t>
  </si>
  <si>
    <t>SP4</t>
  </si>
  <si>
    <t>PR1</t>
  </si>
  <si>
    <t>SC1</t>
  </si>
  <si>
    <t>SC2</t>
  </si>
  <si>
    <t>RS1</t>
  </si>
  <si>
    <t>Matriz de Distância</t>
  </si>
  <si>
    <t>Distâncias médias em Km</t>
  </si>
  <si>
    <t>Volume em mil m3</t>
  </si>
  <si>
    <t>Bolívia</t>
  </si>
  <si>
    <t>Entrada por Corumbá</t>
  </si>
  <si>
    <t>Entrada por Gascar</t>
  </si>
  <si>
    <r>
      <t>DISTÂNCIAS (D</t>
    </r>
    <r>
      <rPr>
        <b/>
        <vertAlign val="subscript"/>
        <sz val="10"/>
        <color theme="1"/>
        <rFont val="Calibri"/>
        <family val="2"/>
        <scheme val="minor"/>
      </rPr>
      <t>EX</t>
    </r>
    <r>
      <rPr>
        <b/>
        <sz val="10"/>
        <color theme="1"/>
        <rFont val="Calibri"/>
        <family val="2"/>
        <scheme val="minor"/>
      </rPr>
      <t>)</t>
    </r>
  </si>
  <si>
    <t>VOLUME x FLUXO ÓTIMO - CORUMBÁ (BC - fluxo ótimo)</t>
  </si>
  <si>
    <t>VOLUME x FLUXO ÓTIMO - GASCAR (BC - fluxo ótimo)</t>
  </si>
  <si>
    <t>VOLUME x FLUXO ÓTIMO - TOTAL (BC)</t>
  </si>
  <si>
    <r>
      <t>Distância média ponderada pela capacidade - PROPORÇÃO VOLUME x DISTÂNCIA - TOTAL (AD</t>
    </r>
    <r>
      <rPr>
        <b/>
        <vertAlign val="subscript"/>
        <sz val="10"/>
        <color theme="1"/>
        <rFont val="Calibri"/>
        <family val="2"/>
        <scheme val="minor"/>
      </rPr>
      <t>E</t>
    </r>
    <r>
      <rPr>
        <b/>
        <sz val="10"/>
        <color theme="1"/>
        <rFont val="Calibri"/>
        <family val="2"/>
        <scheme val="minor"/>
      </rPr>
      <t>)</t>
    </r>
  </si>
  <si>
    <r>
      <t>Distância média ponderada pela capacidade - PROPORÇÃO VOLUME x DISTÂNCIA - TOTAL (AD</t>
    </r>
    <r>
      <rPr>
        <b/>
        <vertAlign val="subscript"/>
        <sz val="10"/>
        <color theme="1"/>
        <rFont val="Calibri"/>
        <family val="2"/>
        <scheme val="minor"/>
      </rPr>
      <t>X</t>
    </r>
    <r>
      <rPr>
        <b/>
        <sz val="10"/>
        <color theme="1"/>
        <rFont val="Calibri"/>
        <family val="2"/>
        <scheme val="minor"/>
      </rPr>
      <t>)</t>
    </r>
  </si>
  <si>
    <r>
      <t>RESERVA DE CAPACIDADE x Distância média ponderada pela capacidade - ENTRADA (W</t>
    </r>
    <r>
      <rPr>
        <b/>
        <vertAlign val="subscript"/>
        <sz val="10"/>
        <color theme="1"/>
        <rFont val="Calibri"/>
        <family val="2"/>
        <scheme val="minor"/>
      </rPr>
      <t>E</t>
    </r>
    <r>
      <rPr>
        <b/>
        <sz val="10"/>
        <color theme="1"/>
        <rFont val="Calibri"/>
        <family val="2"/>
        <scheme val="minor"/>
      </rPr>
      <t xml:space="preserve"> = BC</t>
    </r>
    <r>
      <rPr>
        <b/>
        <vertAlign val="subscript"/>
        <sz val="10"/>
        <color theme="1"/>
        <rFont val="Calibri"/>
        <family val="2"/>
        <scheme val="minor"/>
      </rPr>
      <t>E</t>
    </r>
    <r>
      <rPr>
        <b/>
        <sz val="10"/>
        <color theme="1"/>
        <rFont val="Calibri"/>
        <family val="2"/>
        <scheme val="minor"/>
      </rPr>
      <t xml:space="preserve"> x AD</t>
    </r>
    <r>
      <rPr>
        <b/>
        <vertAlign val="subscript"/>
        <sz val="10"/>
        <color theme="1"/>
        <rFont val="Calibri"/>
        <family val="2"/>
        <scheme val="minor"/>
      </rPr>
      <t>E</t>
    </r>
    <r>
      <rPr>
        <b/>
        <sz val="10"/>
        <color theme="1"/>
        <rFont val="Calibri"/>
        <family val="2"/>
        <scheme val="minor"/>
      </rPr>
      <t>)</t>
    </r>
  </si>
  <si>
    <r>
      <t>RESERVA DE CAPACIDADE x Distância média ponderada pela capacidade - SAÍDA (W</t>
    </r>
    <r>
      <rPr>
        <b/>
        <vertAlign val="subscript"/>
        <sz val="10"/>
        <color theme="1"/>
        <rFont val="Calibri"/>
        <family val="2"/>
        <scheme val="minor"/>
      </rPr>
      <t>X</t>
    </r>
    <r>
      <rPr>
        <b/>
        <sz val="10"/>
        <color theme="1"/>
        <rFont val="Calibri"/>
        <family val="2"/>
        <scheme val="minor"/>
      </rPr>
      <t xml:space="preserve"> = BC</t>
    </r>
    <r>
      <rPr>
        <b/>
        <vertAlign val="subscript"/>
        <sz val="10"/>
        <color theme="1"/>
        <rFont val="Calibri"/>
        <family val="2"/>
        <scheme val="minor"/>
      </rPr>
      <t>X</t>
    </r>
    <r>
      <rPr>
        <b/>
        <sz val="10"/>
        <color theme="1"/>
        <rFont val="Calibri"/>
        <family val="2"/>
        <scheme val="minor"/>
      </rPr>
      <t xml:space="preserve"> x AD</t>
    </r>
    <r>
      <rPr>
        <b/>
        <vertAlign val="subscript"/>
        <sz val="10"/>
        <color theme="1"/>
        <rFont val="Calibri"/>
        <family val="2"/>
        <scheme val="minor"/>
      </rPr>
      <t>X</t>
    </r>
    <r>
      <rPr>
        <b/>
        <sz val="10"/>
        <color theme="1"/>
        <rFont val="Calibri"/>
        <family val="2"/>
        <scheme val="minor"/>
      </rPr>
      <t>)</t>
    </r>
  </si>
  <si>
    <t>DIAS/ANO</t>
  </si>
  <si>
    <t>Dias/Ano</t>
  </si>
  <si>
    <r>
      <t>ALOCAÇÃO DA RECEITA ENTRADA (R$ mil) - (R</t>
    </r>
    <r>
      <rPr>
        <b/>
        <vertAlign val="subscript"/>
        <sz val="10"/>
        <color theme="1"/>
        <rFont val="Calibri"/>
        <family val="2"/>
        <scheme val="minor"/>
      </rPr>
      <t>E</t>
    </r>
    <r>
      <rPr>
        <b/>
        <sz val="10"/>
        <color theme="1"/>
        <rFont val="Calibri"/>
        <family val="2"/>
        <scheme val="minor"/>
      </rPr>
      <t xml:space="preserve"> = W x R)</t>
    </r>
  </si>
  <si>
    <r>
      <t>ALOCAÇÃO DA RECEITA SAÍDA (R$ mil) - (R</t>
    </r>
    <r>
      <rPr>
        <b/>
        <vertAlign val="subscript"/>
        <sz val="10"/>
        <color theme="1"/>
        <rFont val="Calibri"/>
        <family val="2"/>
        <scheme val="minor"/>
      </rPr>
      <t>X</t>
    </r>
    <r>
      <rPr>
        <b/>
        <sz val="10"/>
        <color theme="1"/>
        <rFont val="Calibri"/>
        <family val="2"/>
        <scheme val="minor"/>
      </rPr>
      <t xml:space="preserve"> = W x R)</t>
    </r>
  </si>
  <si>
    <t>Demanda em mil m3/ano - Entrada</t>
  </si>
  <si>
    <t>Demanda em mil m3/ano - Saída</t>
  </si>
  <si>
    <t>Demanda em mil m3/dia - Saída</t>
  </si>
  <si>
    <t>Demanda em mil m3/dia - Entrada</t>
  </si>
  <si>
    <r>
      <t>ENTRADA (R</t>
    </r>
    <r>
      <rPr>
        <vertAlign val="subscript"/>
        <sz val="10"/>
        <color theme="1"/>
        <rFont val="Calibri"/>
        <family val="2"/>
        <scheme val="minor"/>
      </rPr>
      <t>E</t>
    </r>
    <r>
      <rPr>
        <sz val="10"/>
        <color theme="1"/>
        <rFont val="Calibri"/>
        <family val="2"/>
        <scheme val="minor"/>
      </rPr>
      <t>)</t>
    </r>
  </si>
  <si>
    <r>
      <t>SAÍDA (R</t>
    </r>
    <r>
      <rPr>
        <vertAlign val="subscript"/>
        <sz val="10"/>
        <color theme="1"/>
        <rFont val="Calibri"/>
        <family val="2"/>
        <scheme val="minor"/>
      </rPr>
      <t>X</t>
    </r>
    <r>
      <rPr>
        <sz val="10"/>
        <color theme="1"/>
        <rFont val="Calibri"/>
        <family val="2"/>
        <scheme val="minor"/>
      </rPr>
      <t>)</t>
    </r>
  </si>
  <si>
    <t>DIFERENÇA ALOCAÇÃO CPAC</t>
  </si>
  <si>
    <t>Alocação Entrada &gt; Saída</t>
  </si>
  <si>
    <r>
      <t>PROPORÇÃO DE ENTRADA (P</t>
    </r>
    <r>
      <rPr>
        <b/>
        <vertAlign val="subscript"/>
        <sz val="10"/>
        <color theme="1"/>
        <rFont val="Calibri"/>
        <family val="2"/>
        <scheme val="minor"/>
      </rPr>
      <t>E</t>
    </r>
    <r>
      <rPr>
        <b/>
        <sz val="10"/>
        <color theme="1"/>
        <rFont val="Calibri"/>
        <family val="2"/>
        <scheme val="minor"/>
      </rPr>
      <t>)</t>
    </r>
  </si>
  <si>
    <r>
      <t>PROPORÇÃO (por entrada) - CORUMBÁ (P</t>
    </r>
    <r>
      <rPr>
        <b/>
        <vertAlign val="subscript"/>
        <sz val="10"/>
        <color theme="1"/>
        <rFont val="Calibri"/>
        <family val="2"/>
        <scheme val="minor"/>
      </rPr>
      <t>X</t>
    </r>
    <r>
      <rPr>
        <b/>
        <sz val="10"/>
        <color theme="1"/>
        <rFont val="Calibri"/>
        <family val="2"/>
        <scheme val="minor"/>
      </rPr>
      <t xml:space="preserve"> - Corumbá)</t>
    </r>
  </si>
  <si>
    <r>
      <t>PROPORÇÃO (por entrada) - GASCAR (P</t>
    </r>
    <r>
      <rPr>
        <b/>
        <vertAlign val="subscript"/>
        <sz val="10"/>
        <color theme="1"/>
        <rFont val="Calibri"/>
        <family val="2"/>
        <scheme val="minor"/>
      </rPr>
      <t>X</t>
    </r>
    <r>
      <rPr>
        <b/>
        <sz val="10"/>
        <color theme="1"/>
        <rFont val="Calibri"/>
        <family val="2"/>
        <scheme val="minor"/>
      </rPr>
      <t xml:space="preserve"> - Gascar)</t>
    </r>
  </si>
  <si>
    <r>
      <t>PROPORÇÃO TOTAL (P</t>
    </r>
    <r>
      <rPr>
        <b/>
        <vertAlign val="subscript"/>
        <sz val="10"/>
        <color theme="1"/>
        <rFont val="Calibri"/>
        <family val="2"/>
        <scheme val="minor"/>
      </rPr>
      <t>X</t>
    </r>
    <r>
      <rPr>
        <b/>
        <sz val="10"/>
        <color theme="1"/>
        <rFont val="Calibri"/>
        <family val="2"/>
        <scheme val="minor"/>
      </rPr>
      <t>)</t>
    </r>
  </si>
  <si>
    <r>
      <t>PROPORÇÃO VOLUME x DISTÂNCIA - CORUMBÁ (AD</t>
    </r>
    <r>
      <rPr>
        <b/>
        <vertAlign val="subscript"/>
        <sz val="10"/>
        <color theme="1"/>
        <rFont val="Calibri"/>
        <family val="2"/>
        <scheme val="minor"/>
      </rPr>
      <t>E</t>
    </r>
    <r>
      <rPr>
        <b/>
        <sz val="10"/>
        <color theme="1"/>
        <rFont val="Calibri"/>
        <family val="2"/>
        <scheme val="minor"/>
      </rPr>
      <t xml:space="preserve"> - Corumbá)</t>
    </r>
  </si>
  <si>
    <r>
      <t>PROPORÇÃO VOLUME x DISTÂNCIA - GASCAR (AD</t>
    </r>
    <r>
      <rPr>
        <b/>
        <vertAlign val="subscript"/>
        <sz val="10"/>
        <color theme="1"/>
        <rFont val="Calibri"/>
        <family val="2"/>
        <scheme val="minor"/>
      </rPr>
      <t>E</t>
    </r>
    <r>
      <rPr>
        <b/>
        <sz val="10"/>
        <color theme="1"/>
        <rFont val="Calibri"/>
        <family val="2"/>
        <scheme val="minor"/>
      </rPr>
      <t xml:space="preserve"> - Gascar)</t>
    </r>
  </si>
  <si>
    <t>em R$/mil m3</t>
  </si>
  <si>
    <t>em R$/MMBtu</t>
  </si>
  <si>
    <r>
      <t>TARIFA (em R$/MMBtu) - (T</t>
    </r>
    <r>
      <rPr>
        <b/>
        <vertAlign val="subscript"/>
        <sz val="10"/>
        <color theme="1"/>
        <rFont val="Calibri"/>
        <family val="2"/>
        <scheme val="minor"/>
      </rPr>
      <t>E</t>
    </r>
    <r>
      <rPr>
        <b/>
        <sz val="10"/>
        <color theme="1"/>
        <rFont val="Calibri"/>
        <family val="2"/>
        <scheme val="minor"/>
      </rPr>
      <t>)</t>
    </r>
  </si>
  <si>
    <r>
      <t>TARIFA (em R$/MMBtu) - (T</t>
    </r>
    <r>
      <rPr>
        <b/>
        <vertAlign val="subscript"/>
        <sz val="10"/>
        <color theme="1"/>
        <rFont val="Calibri"/>
        <family val="2"/>
        <scheme val="minor"/>
      </rPr>
      <t>X</t>
    </r>
    <r>
      <rPr>
        <b/>
        <sz val="10"/>
        <color theme="1"/>
        <rFont val="Calibri"/>
        <family val="2"/>
        <scheme val="minor"/>
      </rPr>
      <t>)</t>
    </r>
  </si>
  <si>
    <t>TESTE RECUPERAÇÃO DA RECEITA - ENTRADA</t>
  </si>
  <si>
    <t>TESTE RECUPERAÇÃO DA RECEITA - SAÍDA</t>
  </si>
  <si>
    <r>
      <t>TARIFA ENTRADA (em R$/MMBtu) - (T</t>
    </r>
    <r>
      <rPr>
        <b/>
        <vertAlign val="subscript"/>
        <sz val="10"/>
        <color theme="1"/>
        <rFont val="Calibri"/>
        <family val="2"/>
        <scheme val="minor"/>
      </rPr>
      <t>E</t>
    </r>
    <r>
      <rPr>
        <b/>
        <sz val="10"/>
        <color theme="1"/>
        <rFont val="Calibri"/>
        <family val="2"/>
        <scheme val="minor"/>
      </rPr>
      <t>)</t>
    </r>
  </si>
  <si>
    <t>2020 - 2024</t>
  </si>
  <si>
    <r>
      <t>TARIFA SAÍDA (em R$/MMBtu) - (T</t>
    </r>
    <r>
      <rPr>
        <b/>
        <vertAlign val="subscript"/>
        <sz val="10"/>
        <color theme="1"/>
        <rFont val="Calibri"/>
        <family val="2"/>
        <scheme val="minor"/>
      </rPr>
      <t>X</t>
    </r>
    <r>
      <rPr>
        <b/>
        <sz val="10"/>
        <color theme="1"/>
        <rFont val="Calibri"/>
        <family val="2"/>
        <scheme val="minor"/>
      </rPr>
      <t>)</t>
    </r>
  </si>
  <si>
    <t>em R$ mil</t>
  </si>
  <si>
    <t>% Postal Entrada</t>
  </si>
  <si>
    <t>% Postal Saída</t>
  </si>
  <si>
    <t>1 MMBtu = 26,8 m3</t>
  </si>
  <si>
    <t>1 m3 = 1/26,8 MMBtu</t>
  </si>
  <si>
    <t>1 m3 =</t>
  </si>
  <si>
    <t>1000 m3 =</t>
  </si>
  <si>
    <t>1 MM m3 =</t>
  </si>
  <si>
    <t>Demanda em MMBtu/ano - Entrada</t>
  </si>
  <si>
    <t>Demanda em MMBtu/ano - Saída</t>
  </si>
  <si>
    <r>
      <t xml:space="preserve">2.1 Lançadores e Recebedores de </t>
    </r>
    <r>
      <rPr>
        <i/>
        <sz val="10"/>
        <rFont val="Calibri"/>
        <family val="2"/>
        <scheme val="minor"/>
      </rPr>
      <t>Pigs</t>
    </r>
    <r>
      <rPr>
        <sz val="10"/>
        <rFont val="Calibri"/>
        <family val="2"/>
        <scheme val="minor"/>
      </rPr>
      <t xml:space="preserve"> e Esferas </t>
    </r>
  </si>
  <si>
    <r>
      <t>EBITDA</t>
    </r>
    <r>
      <rPr>
        <b/>
        <vertAlign val="superscript"/>
        <sz val="10"/>
        <rFont val="Calibri"/>
        <family val="2"/>
        <scheme val="minor"/>
      </rPr>
      <t>a</t>
    </r>
  </si>
  <si>
    <r>
      <t>R$/Mil m</t>
    </r>
    <r>
      <rPr>
        <vertAlign val="superscript"/>
        <sz val="10"/>
        <rFont val="Calibri"/>
        <family val="2"/>
        <scheme val="minor"/>
      </rPr>
      <t>3</t>
    </r>
  </si>
  <si>
    <r>
      <rPr>
        <b/>
        <sz val="8"/>
        <rFont val="Calibri"/>
        <family val="2"/>
        <scheme val="minor"/>
      </rPr>
      <t xml:space="preserve">Nota: </t>
    </r>
    <r>
      <rPr>
        <sz val="8"/>
        <rFont val="Calibri"/>
        <family val="2"/>
        <scheme val="minor"/>
      </rPr>
      <t>a) EBITDA = Earnings before interest, taxes, depreciation, and amortization.</t>
    </r>
  </si>
  <si>
    <t>DEMANDA - Cenário de Referência (BC)</t>
  </si>
  <si>
    <r>
      <t>Estimativa de Reserva de Capacidade de Entrada  (BC</t>
    </r>
    <r>
      <rPr>
        <vertAlign val="subscript"/>
        <sz val="10"/>
        <rFont val="Calibri"/>
        <family val="2"/>
        <scheme val="minor"/>
      </rPr>
      <t>E</t>
    </r>
    <r>
      <rPr>
        <sz val="10"/>
        <rFont val="Calibri"/>
        <family val="2"/>
        <scheme val="minor"/>
      </rPr>
      <t>)</t>
    </r>
  </si>
  <si>
    <r>
      <t>Estimativa de Reserva de Capacidade de Saída (BC</t>
    </r>
    <r>
      <rPr>
        <vertAlign val="subscript"/>
        <sz val="10"/>
        <rFont val="Calibri"/>
        <family val="2"/>
        <scheme val="minor"/>
      </rPr>
      <t>X</t>
    </r>
    <r>
      <rPr>
        <sz val="10"/>
        <rFont val="Calibri"/>
        <family val="2"/>
        <scheme val="minor"/>
      </rPr>
      <t>)</t>
    </r>
  </si>
  <si>
    <t>CÁLCULO TARIFÁRIO - Encargo de Capacidade de Transporte</t>
  </si>
  <si>
    <t>CÁLCULO TARIFÁRIO - Encargo de Movimentação</t>
  </si>
  <si>
    <t>CÁLCULO TARIFÁRIO - Encargo de Capacidade de Transporte - Linepack</t>
  </si>
  <si>
    <t>Estimativa de Reserva de Capacidade de Saída (BCX)</t>
  </si>
  <si>
    <t>Estimativa de Reserva de Capacidade de Entrada  (BCE)</t>
  </si>
  <si>
    <t>EMED Bolívia</t>
  </si>
  <si>
    <t xml:space="preserve">RECEITA ANUAL CAPACIDADE DE TRANSPORTE - LINEPACK (R$ mil) </t>
  </si>
  <si>
    <t>ECT - LINEPACK</t>
  </si>
  <si>
    <t xml:space="preserve">RECEITA ANUAL CUSTO VARIÁVEL (R$ mil) </t>
  </si>
  <si>
    <t>ENCARGO DE MOVIMENTAÇÃO</t>
  </si>
  <si>
    <r>
      <t>TARIFA (em R$/MMBtu) - (T</t>
    </r>
    <r>
      <rPr>
        <b/>
        <vertAlign val="subscript"/>
        <sz val="10"/>
        <color theme="1"/>
        <rFont val="Calibri"/>
        <family val="2"/>
        <scheme val="minor"/>
      </rPr>
      <t>E</t>
    </r>
    <r>
      <rPr>
        <b/>
        <sz val="10"/>
        <color theme="1"/>
        <rFont val="Calibri"/>
        <family val="2"/>
        <scheme val="minor"/>
      </rPr>
      <t xml:space="preserve"> = R</t>
    </r>
    <r>
      <rPr>
        <b/>
        <vertAlign val="subscript"/>
        <sz val="10"/>
        <color theme="1"/>
        <rFont val="Calibri"/>
        <family val="2"/>
        <scheme val="minor"/>
      </rPr>
      <t>E</t>
    </r>
    <r>
      <rPr>
        <b/>
        <sz val="10"/>
        <color theme="1"/>
        <rFont val="Calibri"/>
        <family val="2"/>
        <scheme val="minor"/>
      </rPr>
      <t xml:space="preserve"> / BC</t>
    </r>
    <r>
      <rPr>
        <b/>
        <vertAlign val="subscript"/>
        <sz val="10"/>
        <color theme="1"/>
        <rFont val="Calibri"/>
        <family val="2"/>
        <scheme val="minor"/>
      </rPr>
      <t>E</t>
    </r>
    <r>
      <rPr>
        <b/>
        <sz val="10"/>
        <color theme="1"/>
        <rFont val="Calibri"/>
        <family val="2"/>
        <scheme val="minor"/>
      </rPr>
      <t>)</t>
    </r>
  </si>
  <si>
    <r>
      <t>TARIFA (em R$/MMBtu) - (T</t>
    </r>
    <r>
      <rPr>
        <b/>
        <vertAlign val="subscript"/>
        <sz val="10"/>
        <color theme="1"/>
        <rFont val="Calibri"/>
        <family val="2"/>
        <scheme val="minor"/>
      </rPr>
      <t>X</t>
    </r>
    <r>
      <rPr>
        <b/>
        <sz val="10"/>
        <color theme="1"/>
        <rFont val="Calibri"/>
        <family val="2"/>
        <scheme val="minor"/>
      </rPr>
      <t xml:space="preserve"> = R</t>
    </r>
    <r>
      <rPr>
        <b/>
        <vertAlign val="subscript"/>
        <sz val="10"/>
        <color theme="1"/>
        <rFont val="Calibri"/>
        <family val="2"/>
        <scheme val="minor"/>
      </rPr>
      <t>X</t>
    </r>
    <r>
      <rPr>
        <b/>
        <sz val="10"/>
        <color theme="1"/>
        <rFont val="Calibri"/>
        <family val="2"/>
        <scheme val="minor"/>
      </rPr>
      <t xml:space="preserve"> / BC</t>
    </r>
    <r>
      <rPr>
        <b/>
        <vertAlign val="subscript"/>
        <sz val="10"/>
        <color theme="1"/>
        <rFont val="Calibri"/>
        <family val="2"/>
        <scheme val="minor"/>
      </rPr>
      <t>X</t>
    </r>
    <r>
      <rPr>
        <b/>
        <sz val="10"/>
        <color theme="1"/>
        <rFont val="Calibri"/>
        <family val="2"/>
        <scheme val="minor"/>
      </rPr>
      <t>)</t>
    </r>
  </si>
  <si>
    <t>Capacidade de Saída (CX)</t>
  </si>
  <si>
    <t>Capacidade de Entrada  (CE)</t>
  </si>
  <si>
    <t>CAPACIDADE - Cenário de Capacidade  (C)</t>
  </si>
  <si>
    <t>Capacidade em mil m3/dia - Entrada</t>
  </si>
  <si>
    <t>Capacidade em mil m3/dia - Saída</t>
  </si>
  <si>
    <t>Capacidade em mil m3/ano - Entrada</t>
  </si>
  <si>
    <t>Capacidade em mil m3/ano - Saída</t>
  </si>
  <si>
    <t>Capacidade em MMBtu/ano - Entrada</t>
  </si>
  <si>
    <t>Capacidade em MMBtu/ano - Saída</t>
  </si>
  <si>
    <t>BRA</t>
  </si>
  <si>
    <t>Coluna1</t>
  </si>
  <si>
    <t xml:space="preserve">2020 </t>
  </si>
  <si>
    <t xml:space="preserve">2021 </t>
  </si>
  <si>
    <t xml:space="preserve">2022 </t>
  </si>
  <si>
    <t xml:space="preserve">2023 </t>
  </si>
  <si>
    <t xml:space="preserve">2024 </t>
  </si>
  <si>
    <t>2020</t>
  </si>
  <si>
    <t>2021</t>
  </si>
  <si>
    <t>2022</t>
  </si>
  <si>
    <t>2023</t>
  </si>
  <si>
    <t>2024</t>
  </si>
  <si>
    <t>2025</t>
  </si>
  <si>
    <t>2026</t>
  </si>
  <si>
    <t>2027</t>
  </si>
  <si>
    <t>2028</t>
  </si>
  <si>
    <t>2029</t>
  </si>
  <si>
    <t>2030</t>
  </si>
  <si>
    <t>2031</t>
  </si>
  <si>
    <t>2032</t>
  </si>
  <si>
    <t>2033</t>
  </si>
  <si>
    <t>2034</t>
  </si>
  <si>
    <t>2035</t>
  </si>
  <si>
    <t>2036</t>
  </si>
  <si>
    <t>2037</t>
  </si>
  <si>
    <t>2038</t>
  </si>
  <si>
    <t>2039</t>
  </si>
  <si>
    <t>2040</t>
  </si>
  <si>
    <t>2041</t>
  </si>
  <si>
    <t>2042</t>
  </si>
  <si>
    <t>2043</t>
  </si>
  <si>
    <t>2044</t>
  </si>
  <si>
    <t>2045</t>
  </si>
  <si>
    <t>2046</t>
  </si>
  <si>
    <t>2047</t>
  </si>
  <si>
    <t>2048</t>
  </si>
  <si>
    <t>2049</t>
  </si>
  <si>
    <r>
      <t>EBITDA</t>
    </r>
    <r>
      <rPr>
        <b/>
        <vertAlign val="superscript"/>
        <sz val="10"/>
        <color theme="1"/>
        <rFont val="Calibri"/>
        <family val="2"/>
        <scheme val="minor"/>
      </rPr>
      <t>a</t>
    </r>
  </si>
  <si>
    <r>
      <t>Poder Calorífico de Referência (kcal/m</t>
    </r>
    <r>
      <rPr>
        <vertAlign val="superscript"/>
        <sz val="10"/>
        <color theme="1"/>
        <rFont val="Calibri"/>
        <family val="2"/>
        <scheme val="minor"/>
      </rPr>
      <t>3</t>
    </r>
    <r>
      <rPr>
        <sz val="10"/>
        <color theme="1"/>
        <rFont val="Calibri"/>
        <family val="2"/>
        <scheme val="minor"/>
      </rPr>
      <t>)</t>
    </r>
  </si>
  <si>
    <t>FLUXO ÓTIMO CAPACIDADE</t>
  </si>
  <si>
    <t>CÁLCULO TARIFÁRIO - Tarifas de Entrada e Saída</t>
  </si>
  <si>
    <t>VOLUME x FLUXO ÓTIMO - CORUMBÁ (C - fluxo ótimo)</t>
  </si>
  <si>
    <t>VOLUME x FLUXO ÓTIMO - GASCAR (C - fluxo ótimo)</t>
  </si>
  <si>
    <t>VOLUME x FLUXO ÓTIMO - TOTAL (C)</t>
  </si>
  <si>
    <t>FLUXO ÓTIMO ESTIMATIVA DE DEMANDA</t>
  </si>
  <si>
    <t>RECEITA ANUAL (R$ mil) - R (FC E-S)</t>
  </si>
  <si>
    <t>TCE</t>
  </si>
  <si>
    <t>TCT</t>
  </si>
  <si>
    <t>TCS</t>
  </si>
  <si>
    <t>TCEmp</t>
  </si>
  <si>
    <t>TM</t>
  </si>
  <si>
    <t>ENCARGO DE CAPACIDADE DE TRANSPORTE LINEPACK - TCEmp</t>
  </si>
  <si>
    <t>ENCARGO DE MOVIMENTAÇÃO - TM</t>
  </si>
  <si>
    <t>CAPACIDADE - Cenário de Capacidade  (C) - pelo resultado do Fluxo Ótimo</t>
  </si>
  <si>
    <t>Receita relativa aos Novos Contratos para a capacidade que se fará disponível em função do término do TCQ:</t>
  </si>
  <si>
    <t>Longo Prazo</t>
  </si>
  <si>
    <t>Curto Prazo</t>
  </si>
  <si>
    <t>Cálculo da Tarifa de Entrada-Saída (Capacity-Weighted Distance Aproach)</t>
  </si>
  <si>
    <t>mil m3 ano</t>
  </si>
  <si>
    <t>Estimativa de Reserva de Capacidade de Entrada por Ponto</t>
  </si>
  <si>
    <r>
      <t>C</t>
    </r>
    <r>
      <rPr>
        <b/>
        <i/>
        <vertAlign val="subscript"/>
        <sz val="11"/>
        <color theme="1"/>
        <rFont val="Calibri"/>
        <family val="2"/>
      </rPr>
      <t>Ei</t>
    </r>
  </si>
  <si>
    <r>
      <t>P</t>
    </r>
    <r>
      <rPr>
        <b/>
        <i/>
        <vertAlign val="subscript"/>
        <sz val="11"/>
        <color theme="1"/>
        <rFont val="Calibri"/>
        <family val="2"/>
      </rPr>
      <t>Ei</t>
    </r>
  </si>
  <si>
    <r>
      <t>BC</t>
    </r>
    <r>
      <rPr>
        <b/>
        <i/>
        <vertAlign val="subscript"/>
        <sz val="11"/>
        <color theme="1"/>
        <rFont val="Calibri"/>
        <family val="2"/>
      </rPr>
      <t>Ei</t>
    </r>
  </si>
  <si>
    <r>
      <t>P'</t>
    </r>
    <r>
      <rPr>
        <b/>
        <i/>
        <vertAlign val="subscript"/>
        <sz val="11"/>
        <color theme="1"/>
        <rFont val="Calibri"/>
        <family val="2"/>
      </rPr>
      <t>Ei</t>
    </r>
  </si>
  <si>
    <t>Estimativa de Reserva de Capacidade de Saída por Zona</t>
  </si>
  <si>
    <r>
      <t>C</t>
    </r>
    <r>
      <rPr>
        <b/>
        <i/>
        <vertAlign val="subscript"/>
        <sz val="11"/>
        <color theme="1"/>
        <rFont val="Calibri"/>
        <family val="2"/>
      </rPr>
      <t>Xj</t>
    </r>
  </si>
  <si>
    <r>
      <t>P</t>
    </r>
    <r>
      <rPr>
        <b/>
        <i/>
        <vertAlign val="subscript"/>
        <sz val="11"/>
        <color theme="1"/>
        <rFont val="Calibri"/>
        <family val="2"/>
      </rPr>
      <t>Xj</t>
    </r>
  </si>
  <si>
    <r>
      <t>BC</t>
    </r>
    <r>
      <rPr>
        <b/>
        <i/>
        <vertAlign val="subscript"/>
        <sz val="11"/>
        <color theme="1"/>
        <rFont val="Calibri"/>
        <family val="2"/>
      </rPr>
      <t>Xj</t>
    </r>
  </si>
  <si>
    <r>
      <t>P'</t>
    </r>
    <r>
      <rPr>
        <b/>
        <i/>
        <vertAlign val="subscript"/>
        <sz val="11"/>
        <color theme="1"/>
        <rFont val="Calibri"/>
        <family val="2"/>
      </rPr>
      <t>Xj</t>
    </r>
  </si>
  <si>
    <t>[NOVO PTR]</t>
  </si>
  <si>
    <t>Comgás (Trecho Norte)</t>
  </si>
  <si>
    <t>Comgás (Trecho Sul)</t>
  </si>
  <si>
    <t>SCGás 1</t>
  </si>
  <si>
    <t>SCGás 2</t>
  </si>
  <si>
    <r>
      <t>AD</t>
    </r>
    <r>
      <rPr>
        <b/>
        <i/>
        <vertAlign val="subscript"/>
        <sz val="11"/>
        <color theme="1"/>
        <rFont val="Calibri"/>
        <family val="2"/>
      </rPr>
      <t>Ei</t>
    </r>
  </si>
  <si>
    <t>Distância Mínima entre Pontos (km)</t>
  </si>
  <si>
    <t>Saídas</t>
  </si>
  <si>
    <r>
      <t>AD</t>
    </r>
    <r>
      <rPr>
        <b/>
        <i/>
        <vertAlign val="subscript"/>
        <sz val="11"/>
        <color theme="1"/>
        <rFont val="Calibri"/>
        <family val="2"/>
      </rPr>
      <t>Xj</t>
    </r>
  </si>
  <si>
    <t>Entradas:</t>
  </si>
  <si>
    <r>
      <t>BC</t>
    </r>
    <r>
      <rPr>
        <b/>
        <i/>
        <vertAlign val="subscript"/>
        <sz val="11"/>
        <color theme="1"/>
        <rFont val="Calibri"/>
        <family val="2"/>
      </rPr>
      <t>Ei</t>
    </r>
    <r>
      <rPr>
        <b/>
        <i/>
        <sz val="11"/>
        <color theme="1"/>
        <rFont val="Calibri"/>
        <family val="2"/>
      </rPr>
      <t xml:space="preserve"> x AD</t>
    </r>
    <r>
      <rPr>
        <b/>
        <i/>
        <vertAlign val="subscript"/>
        <sz val="11"/>
        <color theme="1"/>
        <rFont val="Calibri"/>
        <family val="2"/>
      </rPr>
      <t>Ei</t>
    </r>
  </si>
  <si>
    <r>
      <t>W</t>
    </r>
    <r>
      <rPr>
        <b/>
        <i/>
        <vertAlign val="subscript"/>
        <sz val="11"/>
        <color theme="1"/>
        <rFont val="Calibri"/>
        <family val="2"/>
      </rPr>
      <t>Ei</t>
    </r>
  </si>
  <si>
    <t xml:space="preserve">R1 </t>
  </si>
  <si>
    <r>
      <t>R</t>
    </r>
    <r>
      <rPr>
        <b/>
        <i/>
        <vertAlign val="subscript"/>
        <sz val="11"/>
        <color theme="1"/>
        <rFont val="Calibri"/>
        <family val="2"/>
      </rPr>
      <t xml:space="preserve">ei </t>
    </r>
  </si>
  <si>
    <r>
      <t>T</t>
    </r>
    <r>
      <rPr>
        <b/>
        <i/>
        <vertAlign val="subscript"/>
        <sz val="11"/>
        <color theme="1"/>
        <rFont val="Calibri"/>
        <family val="2"/>
      </rPr>
      <t>ei   (R$/MMBtu)</t>
    </r>
  </si>
  <si>
    <t>Saídas:</t>
  </si>
  <si>
    <r>
      <t>BC</t>
    </r>
    <r>
      <rPr>
        <b/>
        <i/>
        <vertAlign val="subscript"/>
        <sz val="11"/>
        <color theme="1"/>
        <rFont val="Calibri"/>
        <family val="2"/>
      </rPr>
      <t>xj</t>
    </r>
    <r>
      <rPr>
        <b/>
        <i/>
        <sz val="11"/>
        <color theme="1"/>
        <rFont val="Calibri"/>
        <family val="2"/>
      </rPr>
      <t xml:space="preserve"> x AD</t>
    </r>
    <r>
      <rPr>
        <b/>
        <i/>
        <vertAlign val="subscript"/>
        <sz val="11"/>
        <color theme="1"/>
        <rFont val="Calibri"/>
        <family val="2"/>
      </rPr>
      <t>Xj</t>
    </r>
  </si>
  <si>
    <r>
      <t>W</t>
    </r>
    <r>
      <rPr>
        <b/>
        <i/>
        <vertAlign val="subscript"/>
        <sz val="11"/>
        <color theme="1"/>
        <rFont val="Calibri"/>
        <family val="2"/>
      </rPr>
      <t>Xj</t>
    </r>
  </si>
  <si>
    <r>
      <t xml:space="preserve"> R</t>
    </r>
    <r>
      <rPr>
        <b/>
        <i/>
        <vertAlign val="subscript"/>
        <sz val="11"/>
        <color theme="1"/>
        <rFont val="Calibri"/>
        <family val="2"/>
      </rPr>
      <t>Xj</t>
    </r>
  </si>
  <si>
    <r>
      <t>T</t>
    </r>
    <r>
      <rPr>
        <b/>
        <i/>
        <vertAlign val="subscript"/>
        <sz val="11"/>
        <color theme="1"/>
        <rFont val="Calibri"/>
        <family val="2"/>
      </rPr>
      <t>Xj (R$/MMBtu)</t>
    </r>
  </si>
  <si>
    <t xml:space="preserve">% Postal </t>
  </si>
  <si>
    <t>Tarifa do Percurso (R$/ MMBTU)</t>
  </si>
  <si>
    <t xml:space="preserve"> R1 </t>
  </si>
  <si>
    <r>
      <t>T</t>
    </r>
    <r>
      <rPr>
        <b/>
        <i/>
        <vertAlign val="subscript"/>
        <sz val="11"/>
        <color theme="1"/>
        <rFont val="Calibri"/>
        <family val="2"/>
      </rPr>
      <t>Ei</t>
    </r>
    <r>
      <rPr>
        <b/>
        <vertAlign val="subscript"/>
        <sz val="11"/>
        <color theme="1"/>
        <rFont val="Calibri"/>
        <family val="2"/>
      </rPr>
      <t>↓</t>
    </r>
  </si>
  <si>
    <r>
      <t>T</t>
    </r>
    <r>
      <rPr>
        <b/>
        <i/>
        <vertAlign val="subscript"/>
        <sz val="11"/>
        <color theme="1"/>
        <rFont val="Calibri"/>
        <family val="2"/>
      </rPr>
      <t>Xj</t>
    </r>
    <r>
      <rPr>
        <b/>
        <vertAlign val="subscript"/>
        <sz val="11"/>
        <color theme="1"/>
        <rFont val="Calibri"/>
        <family val="2"/>
      </rPr>
      <t>→</t>
    </r>
  </si>
  <si>
    <t>ENCARGO DE MOVIMENTAÇÃO - EM</t>
  </si>
  <si>
    <t>ENCARGO DE CAPACIDADE DE TRANSPORTE LINEPACK - ECEmp</t>
  </si>
  <si>
    <t>R$/Mil m3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</si>
</sst>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1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&quot;R$ &quot;* #,##0.00_);_(&quot;R$ &quot;* \(#,##0.00\);_(&quot;R$ &quot;* &quot;-&quot;??_);_(@_)"/>
    <numFmt numFmtId="165" formatCode="_(* #,##0.00_);_(* \(#,##0.00\);_(* &quot;-&quot;??_);_(@_)"/>
    <numFmt numFmtId="166" formatCode="0_);[Red]\(0\)"/>
    <numFmt numFmtId="167" formatCode="_(* #,##0_);_(* \(#,##0\);_(* &quot;-&quot;??_);_(@_)"/>
    <numFmt numFmtId="168" formatCode="_(* #,##0.0000_);_(* \(#,##0.0000\);_(* &quot;-&quot;??_);_(@_)"/>
    <numFmt numFmtId="169" formatCode="0.0000"/>
    <numFmt numFmtId="170" formatCode="#,##0.0000"/>
    <numFmt numFmtId="171" formatCode="0.0000_);[Red]\(0.0000\)"/>
    <numFmt numFmtId="172" formatCode="0.0%"/>
    <numFmt numFmtId="173" formatCode="0.0"/>
    <numFmt numFmtId="174" formatCode="#,##0.00000"/>
    <numFmt numFmtId="175" formatCode="#,##0_ ;\-#,##0\ "/>
    <numFmt numFmtId="176" formatCode="_(* #,##0.000_);_(* \(#,##0.000\);_(* &quot;-&quot;??_);_(@_)"/>
    <numFmt numFmtId="177" formatCode="_(* #,##0.0_);_(* \(#,##0.0\);_(* &quot;-&quot;??_);_(@_)"/>
    <numFmt numFmtId="178" formatCode="_-* #,##0_-;\-* #,##0_-;_-* &quot;-&quot;???_-;_-@_-"/>
    <numFmt numFmtId="179" formatCode="_-* #,##0_-;\-* #,##0_-;_-* &quot;-&quot;??_-;_-@_-"/>
    <numFmt numFmtId="180" formatCode="#,##0.00_ ;\-#,##0.00\ "/>
    <numFmt numFmtId="181" formatCode="_(* #,##0.00000_);_(* \(#,##0.00000\);_(* &quot;-&quot;??_);_(@_)"/>
  </numFmts>
  <fonts count="6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1"/>
      <color indexed="8"/>
      <name val="Calibri"/>
      <family val="2"/>
    </font>
    <font>
      <u/>
      <sz val="8.5"/>
      <color indexed="12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Arial"/>
      <family val="2"/>
    </font>
    <font>
      <u/>
      <sz val="12"/>
      <color theme="10"/>
      <name val="Calibri"/>
      <family val="2"/>
    </font>
    <font>
      <sz val="12"/>
      <name val="Arial"/>
      <family val="2"/>
    </font>
    <font>
      <b/>
      <sz val="11"/>
      <name val="Calibri"/>
      <family val="2"/>
      <scheme val="minor"/>
    </font>
    <font>
      <b/>
      <sz val="9"/>
      <color theme="0"/>
      <name val="Arial"/>
      <family val="2"/>
    </font>
    <font>
      <b/>
      <sz val="9"/>
      <color theme="1"/>
      <name val="Arial"/>
      <family val="2"/>
    </font>
    <font>
      <b/>
      <sz val="9"/>
      <name val="Arial"/>
      <family val="2"/>
    </font>
    <font>
      <sz val="10"/>
      <name val="Calibri"/>
      <family val="2"/>
      <scheme val="minor"/>
    </font>
    <font>
      <sz val="10"/>
      <color rgb="FF7030A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theme="3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vertAlign val="subscript"/>
      <sz val="10"/>
      <color theme="1"/>
      <name val="Calibri"/>
      <family val="2"/>
      <scheme val="minor"/>
    </font>
    <font>
      <vertAlign val="subscript"/>
      <sz val="10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theme="0"/>
      <name val="Calibri"/>
      <family val="2"/>
      <scheme val="minor"/>
    </font>
    <font>
      <vertAlign val="subscript"/>
      <sz val="10"/>
      <name val="Calibri"/>
      <family val="2"/>
      <scheme val="minor"/>
    </font>
    <font>
      <vertAlign val="superscript"/>
      <sz val="10"/>
      <name val="Calibri"/>
      <family val="2"/>
      <scheme val="minor"/>
    </font>
    <font>
      <i/>
      <sz val="10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indexed="9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rgb="FFFF0000"/>
      <name val="Calibri"/>
      <family val="2"/>
      <scheme val="minor"/>
    </font>
    <font>
      <u/>
      <sz val="10"/>
      <name val="Calibri"/>
      <family val="2"/>
      <scheme val="minor"/>
    </font>
    <font>
      <sz val="10"/>
      <color theme="0" tint="-0.34998626667073579"/>
      <name val="Calibri"/>
      <family val="2"/>
      <scheme val="minor"/>
    </font>
    <font>
      <b/>
      <vertAlign val="superscript"/>
      <sz val="10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color theme="3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theme="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b/>
      <vertAlign val="superscript"/>
      <sz val="10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vertAlign val="subscript"/>
      <sz val="11"/>
      <color theme="1"/>
      <name val="Calibri"/>
      <family val="2"/>
    </font>
    <font>
      <b/>
      <sz val="10"/>
      <name val="Arial"/>
      <family val="2"/>
    </font>
    <font>
      <sz val="10"/>
      <color rgb="FFFF0000"/>
      <name val="Arial"/>
      <family val="2"/>
    </font>
    <font>
      <b/>
      <u/>
      <sz val="10"/>
      <name val="Arial"/>
      <family val="2"/>
    </font>
    <font>
      <b/>
      <i/>
      <sz val="11"/>
      <color theme="1"/>
      <name val="Calibri"/>
      <family val="2"/>
    </font>
    <font>
      <b/>
      <sz val="10"/>
      <color rgb="FFFF0000"/>
      <name val="Arial"/>
      <family val="2"/>
    </font>
    <font>
      <sz val="11"/>
      <name val="Arial"/>
      <family val="2"/>
    </font>
    <font>
      <b/>
      <vertAlign val="subscript"/>
      <sz val="11"/>
      <color theme="1"/>
      <name val="Calibri"/>
      <family val="2"/>
    </font>
  </fonts>
  <fills count="43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8"/>
        <bgColor theme="8"/>
      </patternFill>
    </fill>
    <fill>
      <patternFill patternType="solid">
        <fgColor theme="8" tint="0.59999389629810485"/>
        <bgColor theme="8" tint="0.59999389629810485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theme="8" tint="0.79998168889431442"/>
      </patternFill>
    </fill>
    <fill>
      <patternFill patternType="solid">
        <fgColor rgb="FF92D050"/>
        <bgColor theme="8" tint="0.59999389629810485"/>
      </patternFill>
    </fill>
    <fill>
      <patternFill patternType="solid">
        <fgColor rgb="FFFFFFCC"/>
        <bgColor indexed="64"/>
      </patternFill>
    </fill>
  </fills>
  <borders count="8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theme="0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ck">
        <color theme="0"/>
      </top>
      <bottom/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 style="thin">
        <color theme="0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ck">
        <color theme="0"/>
      </top>
      <bottom/>
      <diagonal/>
    </border>
    <border>
      <left style="thin">
        <color indexed="64"/>
      </left>
      <right style="thin">
        <color indexed="64"/>
      </right>
      <top style="thick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indexed="64"/>
      </bottom>
      <diagonal/>
    </border>
    <border>
      <left style="thin">
        <color rgb="FF000000"/>
      </left>
      <right/>
      <top style="thick">
        <color theme="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rgb="FF000000"/>
      </bottom>
      <diagonal/>
    </border>
    <border>
      <left style="thin">
        <color indexed="64"/>
      </left>
      <right/>
      <top style="thin">
        <color theme="0"/>
      </top>
      <bottom style="thin">
        <color rgb="FF000000"/>
      </bottom>
      <diagonal/>
    </border>
    <border>
      <left style="thin">
        <color theme="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/>
      <top style="thin">
        <color theme="0"/>
      </top>
      <bottom/>
      <diagonal/>
    </border>
    <border>
      <left style="thin">
        <color rgb="FF000000"/>
      </left>
      <right/>
      <top style="thin">
        <color theme="0"/>
      </top>
      <bottom style="thin">
        <color rgb="FF000000"/>
      </bottom>
      <diagonal/>
    </border>
  </borders>
  <cellStyleXfs count="860">
    <xf numFmtId="0" fontId="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6" fillId="0" borderId="0"/>
    <xf numFmtId="0" fontId="5" fillId="0" borderId="0"/>
    <xf numFmtId="0" fontId="4" fillId="0" borderId="0"/>
    <xf numFmtId="43" fontId="4" fillId="0" borderId="0" applyFont="0" applyFill="0" applyBorder="0" applyAlignment="0" applyProtection="0"/>
    <xf numFmtId="0" fontId="6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4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6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3" fillId="0" borderId="0"/>
    <xf numFmtId="0" fontId="14" fillId="0" borderId="0"/>
    <xf numFmtId="43" fontId="14" fillId="0" borderId="0" applyFont="0" applyFill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14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0" fontId="2" fillId="19" borderId="57" applyNumberFormat="0" applyFont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4" fillId="0" borderId="0" applyFont="0" applyFill="0" applyBorder="0" applyAlignment="0" applyProtection="0"/>
    <xf numFmtId="9" fontId="14" fillId="0" borderId="0" applyFont="0" applyFill="0" applyBorder="0" applyAlignment="0" applyProtection="0"/>
  </cellStyleXfs>
  <cellXfs count="704">
    <xf numFmtId="0" fontId="0" fillId="0" borderId="0" xfId="0"/>
    <xf numFmtId="0" fontId="0" fillId="3" borderId="0" xfId="0" applyFill="1"/>
    <xf numFmtId="0" fontId="0" fillId="5" borderId="1" xfId="0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2" fontId="0" fillId="3" borderId="0" xfId="0" applyNumberFormat="1" applyFill="1" applyAlignment="1">
      <alignment horizontal="center" vertical="center"/>
    </xf>
    <xf numFmtId="4" fontId="0" fillId="3" borderId="0" xfId="0" applyNumberFormat="1" applyFill="1" applyAlignment="1">
      <alignment horizontal="center" vertical="center"/>
    </xf>
    <xf numFmtId="4" fontId="0" fillId="5" borderId="17" xfId="0" applyNumberForma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center" vertical="center"/>
    </xf>
    <xf numFmtId="4" fontId="0" fillId="3" borderId="0" xfId="0" applyNumberFormat="1" applyFill="1" applyBorder="1" applyAlignment="1">
      <alignment horizontal="center" vertical="center"/>
    </xf>
    <xf numFmtId="0" fontId="13" fillId="8" borderId="1" xfId="5" applyFill="1" applyBorder="1" applyAlignment="1" applyProtection="1">
      <alignment horizontal="center" vertical="center"/>
    </xf>
    <xf numFmtId="4" fontId="0" fillId="3" borderId="0" xfId="0" applyNumberFormat="1" applyFill="1"/>
    <xf numFmtId="0" fontId="19" fillId="5" borderId="1" xfId="5" applyFont="1" applyFill="1" applyBorder="1" applyAlignment="1" applyProtection="1">
      <alignment horizontal="center"/>
    </xf>
    <xf numFmtId="4" fontId="0" fillId="5" borderId="1" xfId="0" applyNumberFormat="1" applyFill="1" applyBorder="1" applyAlignment="1">
      <alignment horizontal="center" vertical="center"/>
    </xf>
    <xf numFmtId="0" fontId="22" fillId="10" borderId="0" xfId="25" applyFont="1" applyFill="1" applyBorder="1" applyAlignment="1">
      <alignment horizontal="center" vertical="center"/>
    </xf>
    <xf numFmtId="4" fontId="0" fillId="8" borderId="1" xfId="0" applyNumberFormat="1" applyFill="1" applyBorder="1" applyAlignment="1">
      <alignment horizontal="center" vertical="center"/>
    </xf>
    <xf numFmtId="4" fontId="0" fillId="0" borderId="1" xfId="0" applyNumberFormat="1" applyFill="1" applyBorder="1" applyAlignment="1">
      <alignment horizontal="center" vertical="center"/>
    </xf>
    <xf numFmtId="175" fontId="17" fillId="13" borderId="38" xfId="23" applyNumberFormat="1" applyFont="1" applyFill="1" applyBorder="1" applyAlignment="1">
      <alignment vertical="center"/>
    </xf>
    <xf numFmtId="175" fontId="17" fillId="13" borderId="39" xfId="23" applyNumberFormat="1" applyFont="1" applyFill="1" applyBorder="1" applyAlignment="1">
      <alignment vertical="center"/>
    </xf>
    <xf numFmtId="175" fontId="17" fillId="13" borderId="40" xfId="23" applyNumberFormat="1" applyFont="1" applyFill="1" applyBorder="1" applyAlignment="1">
      <alignment vertical="center"/>
    </xf>
    <xf numFmtId="175" fontId="17" fillId="13" borderId="41" xfId="23" applyNumberFormat="1" applyFont="1" applyFill="1" applyBorder="1" applyAlignment="1">
      <alignment vertical="center"/>
    </xf>
    <xf numFmtId="175" fontId="17" fillId="13" borderId="16" xfId="23" applyNumberFormat="1" applyFont="1" applyFill="1" applyBorder="1" applyAlignment="1">
      <alignment vertical="center"/>
    </xf>
    <xf numFmtId="175" fontId="17" fillId="13" borderId="42" xfId="23" applyNumberFormat="1" applyFont="1" applyFill="1" applyBorder="1" applyAlignment="1">
      <alignment vertical="center"/>
    </xf>
    <xf numFmtId="175" fontId="26" fillId="11" borderId="43" xfId="23" applyNumberFormat="1" applyFont="1" applyFill="1" applyBorder="1" applyAlignment="1">
      <alignment vertical="center"/>
    </xf>
    <xf numFmtId="175" fontId="26" fillId="11" borderId="7" xfId="23" applyNumberFormat="1" applyFont="1" applyFill="1" applyBorder="1" applyAlignment="1">
      <alignment vertical="center"/>
    </xf>
    <xf numFmtId="175" fontId="17" fillId="13" borderId="43" xfId="23" applyNumberFormat="1" applyFont="1" applyFill="1" applyBorder="1" applyAlignment="1">
      <alignment vertical="center"/>
    </xf>
    <xf numFmtId="175" fontId="17" fillId="13" borderId="7" xfId="23" applyNumberFormat="1" applyFont="1" applyFill="1" applyBorder="1" applyAlignment="1">
      <alignment vertical="center"/>
    </xf>
    <xf numFmtId="175" fontId="17" fillId="13" borderId="44" xfId="23" applyNumberFormat="1" applyFont="1" applyFill="1" applyBorder="1" applyAlignment="1">
      <alignment vertical="center"/>
    </xf>
    <xf numFmtId="175" fontId="17" fillId="13" borderId="45" xfId="23" applyNumberFormat="1" applyFont="1" applyFill="1" applyBorder="1" applyAlignment="1">
      <alignment vertical="center"/>
    </xf>
    <xf numFmtId="175" fontId="17" fillId="13" borderId="5" xfId="23" applyNumberFormat="1" applyFont="1" applyFill="1" applyBorder="1" applyAlignment="1">
      <alignment vertical="center"/>
    </xf>
    <xf numFmtId="175" fontId="17" fillId="13" borderId="46" xfId="23" applyNumberFormat="1" applyFont="1" applyFill="1" applyBorder="1" applyAlignment="1">
      <alignment vertical="center"/>
    </xf>
    <xf numFmtId="175" fontId="17" fillId="11" borderId="41" xfId="23" applyNumberFormat="1" applyFont="1" applyFill="1" applyBorder="1" applyAlignment="1">
      <alignment vertical="center"/>
    </xf>
    <xf numFmtId="175" fontId="17" fillId="11" borderId="16" xfId="23" applyNumberFormat="1" applyFont="1" applyFill="1" applyBorder="1" applyAlignment="1">
      <alignment vertical="center"/>
    </xf>
    <xf numFmtId="175" fontId="17" fillId="11" borderId="42" xfId="23" applyNumberFormat="1" applyFont="1" applyFill="1" applyBorder="1" applyAlignment="1">
      <alignment vertical="center"/>
    </xf>
    <xf numFmtId="175" fontId="25" fillId="14" borderId="48" xfId="23" applyNumberFormat="1" applyFont="1" applyFill="1" applyBorder="1" applyAlignment="1">
      <alignment vertical="center"/>
    </xf>
    <xf numFmtId="175" fontId="25" fillId="14" borderId="1" xfId="23" applyNumberFormat="1" applyFont="1" applyFill="1" applyBorder="1" applyAlignment="1">
      <alignment vertical="center"/>
    </xf>
    <xf numFmtId="175" fontId="17" fillId="13" borderId="36" xfId="23" applyNumberFormat="1" applyFont="1" applyFill="1" applyBorder="1" applyAlignment="1">
      <alignment vertical="center"/>
    </xf>
    <xf numFmtId="175" fontId="17" fillId="13" borderId="47" xfId="23" applyNumberFormat="1" applyFont="1" applyFill="1" applyBorder="1" applyAlignment="1">
      <alignment vertical="center"/>
    </xf>
    <xf numFmtId="175" fontId="17" fillId="14" borderId="46" xfId="23" applyNumberFormat="1" applyFont="1" applyFill="1" applyBorder="1" applyAlignment="1">
      <alignment vertical="center"/>
    </xf>
    <xf numFmtId="175" fontId="17" fillId="14" borderId="16" xfId="23" applyNumberFormat="1" applyFont="1" applyFill="1" applyBorder="1" applyAlignment="1">
      <alignment vertical="center"/>
    </xf>
    <xf numFmtId="175" fontId="17" fillId="14" borderId="42" xfId="23" applyNumberFormat="1" applyFont="1" applyFill="1" applyBorder="1" applyAlignment="1">
      <alignment vertical="center"/>
    </xf>
    <xf numFmtId="175" fontId="25" fillId="14" borderId="45" xfId="23" applyNumberFormat="1" applyFont="1" applyFill="1" applyBorder="1" applyAlignment="1">
      <alignment vertical="center"/>
    </xf>
    <xf numFmtId="175" fontId="25" fillId="14" borderId="5" xfId="23" applyNumberFormat="1" applyFont="1" applyFill="1" applyBorder="1" applyAlignment="1">
      <alignment vertical="center"/>
    </xf>
    <xf numFmtId="175" fontId="25" fillId="14" borderId="46" xfId="23" applyNumberFormat="1" applyFont="1" applyFill="1" applyBorder="1" applyAlignment="1">
      <alignment vertical="center"/>
    </xf>
    <xf numFmtId="175" fontId="25" fillId="14" borderId="41" xfId="23" applyNumberFormat="1" applyFont="1" applyFill="1" applyBorder="1" applyAlignment="1">
      <alignment vertical="center"/>
    </xf>
    <xf numFmtId="175" fontId="25" fillId="14" borderId="16" xfId="23" applyNumberFormat="1" applyFont="1" applyFill="1" applyBorder="1" applyAlignment="1">
      <alignment vertical="center"/>
    </xf>
    <xf numFmtId="175" fontId="25" fillId="14" borderId="42" xfId="23" applyNumberFormat="1" applyFont="1" applyFill="1" applyBorder="1" applyAlignment="1">
      <alignment vertical="center"/>
    </xf>
    <xf numFmtId="175" fontId="25" fillId="11" borderId="51" xfId="23" applyNumberFormat="1" applyFont="1" applyFill="1" applyBorder="1" applyAlignment="1">
      <alignment vertical="center"/>
    </xf>
    <xf numFmtId="175" fontId="25" fillId="11" borderId="52" xfId="23" applyNumberFormat="1" applyFont="1" applyFill="1" applyBorder="1" applyAlignment="1">
      <alignment vertical="center"/>
    </xf>
    <xf numFmtId="175" fontId="25" fillId="11" borderId="45" xfId="23" applyNumberFormat="1" applyFont="1" applyFill="1" applyBorder="1" applyAlignment="1">
      <alignment vertical="center"/>
    </xf>
    <xf numFmtId="175" fontId="25" fillId="11" borderId="5" xfId="23" applyNumberFormat="1" applyFont="1" applyFill="1" applyBorder="1" applyAlignment="1">
      <alignment vertical="center"/>
    </xf>
    <xf numFmtId="175" fontId="25" fillId="11" borderId="41" xfId="23" applyNumberFormat="1" applyFont="1" applyFill="1" applyBorder="1" applyAlignment="1">
      <alignment vertical="center"/>
    </xf>
    <xf numFmtId="175" fontId="25" fillId="11" borderId="16" xfId="23" applyNumberFormat="1" applyFont="1" applyFill="1" applyBorder="1" applyAlignment="1">
      <alignment vertical="center"/>
    </xf>
    <xf numFmtId="175" fontId="25" fillId="11" borderId="50" xfId="23" applyNumberFormat="1" applyFont="1" applyFill="1" applyBorder="1" applyAlignment="1">
      <alignment vertical="center"/>
    </xf>
    <xf numFmtId="175" fontId="17" fillId="11" borderId="45" xfId="23" applyNumberFormat="1" applyFont="1" applyFill="1" applyBorder="1" applyAlignment="1">
      <alignment vertical="center"/>
    </xf>
    <xf numFmtId="175" fontId="17" fillId="11" borderId="5" xfId="23" applyNumberFormat="1" applyFont="1" applyFill="1" applyBorder="1" applyAlignment="1">
      <alignment vertical="center"/>
    </xf>
    <xf numFmtId="175" fontId="17" fillId="11" borderId="46" xfId="23" applyNumberFormat="1" applyFont="1" applyFill="1" applyBorder="1" applyAlignment="1">
      <alignment vertical="center"/>
    </xf>
    <xf numFmtId="175" fontId="17" fillId="11" borderId="43" xfId="23" applyNumberFormat="1" applyFont="1" applyFill="1" applyBorder="1" applyAlignment="1">
      <alignment vertical="center"/>
    </xf>
    <xf numFmtId="175" fontId="17" fillId="11" borderId="7" xfId="23" applyNumberFormat="1" applyFont="1" applyFill="1" applyBorder="1" applyAlignment="1">
      <alignment vertical="center"/>
    </xf>
    <xf numFmtId="175" fontId="17" fillId="11" borderId="44" xfId="23" applyNumberFormat="1" applyFont="1" applyFill="1" applyBorder="1" applyAlignment="1">
      <alignment vertical="center"/>
    </xf>
    <xf numFmtId="175" fontId="25" fillId="11" borderId="42" xfId="23" applyNumberFormat="1" applyFont="1" applyFill="1" applyBorder="1" applyAlignment="1">
      <alignment vertical="center"/>
    </xf>
    <xf numFmtId="0" fontId="6" fillId="15" borderId="1" xfId="0" applyFont="1" applyFill="1" applyBorder="1" applyAlignment="1">
      <alignment horizontal="center" vertical="center"/>
    </xf>
    <xf numFmtId="0" fontId="17" fillId="15" borderId="21" xfId="0" applyFont="1" applyFill="1" applyBorder="1" applyAlignment="1">
      <alignment horizontal="left" vertical="center"/>
    </xf>
    <xf numFmtId="0" fontId="17" fillId="15" borderId="15" xfId="0" applyFont="1" applyFill="1" applyBorder="1" applyAlignment="1">
      <alignment horizontal="left" vertical="center"/>
    </xf>
    <xf numFmtId="0" fontId="17" fillId="15" borderId="20" xfId="0" applyFont="1" applyFill="1" applyBorder="1" applyAlignment="1">
      <alignment horizontal="left" vertical="center"/>
    </xf>
    <xf numFmtId="175" fontId="25" fillId="13" borderId="41" xfId="23" applyNumberFormat="1" applyFont="1" applyFill="1" applyBorder="1" applyAlignment="1">
      <alignment vertical="center"/>
    </xf>
    <xf numFmtId="175" fontId="25" fillId="13" borderId="16" xfId="23" applyNumberFormat="1" applyFont="1" applyFill="1" applyBorder="1" applyAlignment="1">
      <alignment vertical="center"/>
    </xf>
    <xf numFmtId="175" fontId="27" fillId="17" borderId="28" xfId="23" applyNumberFormat="1" applyFont="1" applyFill="1" applyBorder="1" applyAlignment="1">
      <alignment vertical="center"/>
    </xf>
    <xf numFmtId="0" fontId="17" fillId="0" borderId="0" xfId="0" applyFont="1" applyFill="1" applyBorder="1" applyAlignment="1">
      <alignment horizontal="left" vertical="center"/>
    </xf>
    <xf numFmtId="175" fontId="25" fillId="0" borderId="0" xfId="23" applyNumberFormat="1" applyFont="1" applyFill="1" applyBorder="1" applyAlignment="1">
      <alignment horizontal="center" vertical="center"/>
    </xf>
    <xf numFmtId="0" fontId="17" fillId="15" borderId="1" xfId="0" applyFont="1" applyFill="1" applyBorder="1" applyAlignment="1">
      <alignment horizontal="left" vertical="center"/>
    </xf>
    <xf numFmtId="175" fontId="25" fillId="11" borderId="0" xfId="23" applyNumberFormat="1" applyFont="1" applyFill="1" applyBorder="1" applyAlignment="1">
      <alignment horizontal="center" vertical="center"/>
    </xf>
    <xf numFmtId="175" fontId="25" fillId="11" borderId="46" xfId="23" applyNumberFormat="1" applyFont="1" applyFill="1" applyBorder="1" applyAlignment="1">
      <alignment vertical="center"/>
    </xf>
    <xf numFmtId="175" fontId="26" fillId="11" borderId="44" xfId="23" applyNumberFormat="1" applyFont="1" applyFill="1" applyBorder="1" applyAlignment="1">
      <alignment vertical="center"/>
    </xf>
    <xf numFmtId="175" fontId="28" fillId="11" borderId="4" xfId="23" applyNumberFormat="1" applyFont="1" applyFill="1" applyBorder="1" applyAlignment="1">
      <alignment horizontal="center" vertical="center"/>
    </xf>
    <xf numFmtId="175" fontId="25" fillId="18" borderId="16" xfId="23" applyNumberFormat="1" applyFont="1" applyFill="1" applyBorder="1" applyAlignment="1">
      <alignment vertical="center"/>
    </xf>
    <xf numFmtId="175" fontId="25" fillId="18" borderId="42" xfId="23" applyNumberFormat="1" applyFont="1" applyFill="1" applyBorder="1" applyAlignment="1">
      <alignment vertical="center"/>
    </xf>
    <xf numFmtId="9" fontId="25" fillId="32" borderId="15" xfId="16" applyFont="1" applyFill="1" applyBorder="1" applyAlignment="1">
      <alignment horizontal="center"/>
    </xf>
    <xf numFmtId="9" fontId="25" fillId="7" borderId="19" xfId="16" applyFont="1" applyFill="1" applyBorder="1" applyAlignment="1">
      <alignment horizontal="center"/>
    </xf>
    <xf numFmtId="9" fontId="25" fillId="9" borderId="15" xfId="16" applyFont="1" applyFill="1" applyBorder="1" applyAlignment="1">
      <alignment horizontal="center"/>
    </xf>
    <xf numFmtId="9" fontId="25" fillId="32" borderId="6" xfId="16" applyFont="1" applyFill="1" applyBorder="1" applyAlignment="1">
      <alignment horizontal="center"/>
    </xf>
    <xf numFmtId="9" fontId="25" fillId="7" borderId="18" xfId="16" applyFont="1" applyFill="1" applyBorder="1" applyAlignment="1">
      <alignment horizontal="center"/>
    </xf>
    <xf numFmtId="9" fontId="25" fillId="9" borderId="6" xfId="16" applyFont="1" applyFill="1" applyBorder="1" applyAlignment="1">
      <alignment horizontal="center"/>
    </xf>
    <xf numFmtId="9" fontId="25" fillId="9" borderId="6" xfId="16" quotePrefix="1" applyFont="1" applyFill="1" applyBorder="1" applyAlignment="1">
      <alignment horizontal="center"/>
    </xf>
    <xf numFmtId="9" fontId="25" fillId="7" borderId="18" xfId="16" quotePrefix="1" applyFont="1" applyFill="1" applyBorder="1" applyAlignment="1">
      <alignment horizontal="center"/>
    </xf>
    <xf numFmtId="175" fontId="17" fillId="33" borderId="45" xfId="23" applyNumberFormat="1" applyFont="1" applyFill="1" applyBorder="1" applyAlignment="1">
      <alignment vertical="center"/>
    </xf>
    <xf numFmtId="175" fontId="17" fillId="33" borderId="5" xfId="23" applyNumberFormat="1" applyFont="1" applyFill="1" applyBorder="1" applyAlignment="1">
      <alignment vertical="center"/>
    </xf>
    <xf numFmtId="175" fontId="25" fillId="33" borderId="43" xfId="23" applyNumberFormat="1" applyFont="1" applyFill="1" applyBorder="1" applyAlignment="1">
      <alignment vertical="center"/>
    </xf>
    <xf numFmtId="175" fontId="25" fillId="33" borderId="16" xfId="23" applyNumberFormat="1" applyFont="1" applyFill="1" applyBorder="1" applyAlignment="1">
      <alignment vertical="center"/>
    </xf>
    <xf numFmtId="175" fontId="17" fillId="18" borderId="48" xfId="23" applyNumberFormat="1" applyFont="1" applyFill="1" applyBorder="1" applyAlignment="1">
      <alignment vertical="center"/>
    </xf>
    <xf numFmtId="175" fontId="17" fillId="18" borderId="1" xfId="23" applyNumberFormat="1" applyFont="1" applyFill="1" applyBorder="1" applyAlignment="1">
      <alignment vertical="center"/>
    </xf>
    <xf numFmtId="175" fontId="17" fillId="18" borderId="7" xfId="23" applyNumberFormat="1" applyFont="1" applyFill="1" applyBorder="1" applyAlignment="1">
      <alignment vertical="center"/>
    </xf>
    <xf numFmtId="175" fontId="25" fillId="18" borderId="53" xfId="23" applyNumberFormat="1" applyFont="1" applyFill="1" applyBorder="1" applyAlignment="1">
      <alignment vertical="center"/>
    </xf>
    <xf numFmtId="175" fontId="25" fillId="18" borderId="54" xfId="23" applyNumberFormat="1" applyFont="1" applyFill="1" applyBorder="1" applyAlignment="1">
      <alignment vertical="center"/>
    </xf>
    <xf numFmtId="0" fontId="30" fillId="0" borderId="0" xfId="0" applyFont="1" applyFill="1" applyBorder="1" applyAlignment="1">
      <alignment horizontal="left" vertical="center"/>
    </xf>
    <xf numFmtId="175" fontId="25" fillId="11" borderId="3" xfId="23" applyNumberFormat="1" applyFont="1" applyFill="1" applyBorder="1" applyAlignment="1">
      <alignment horizontal="center" vertical="center"/>
    </xf>
    <xf numFmtId="175" fontId="29" fillId="11" borderId="3" xfId="23" applyNumberFormat="1" applyFont="1" applyFill="1" applyBorder="1" applyAlignment="1">
      <alignment horizontal="center" vertical="center"/>
    </xf>
    <xf numFmtId="175" fontId="29" fillId="11" borderId="14" xfId="23" applyNumberFormat="1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left" vertical="center"/>
    </xf>
    <xf numFmtId="9" fontId="29" fillId="0" borderId="0" xfId="16" applyFont="1" applyFill="1" applyBorder="1" applyAlignment="1">
      <alignment horizontal="center" vertical="center"/>
    </xf>
    <xf numFmtId="167" fontId="25" fillId="11" borderId="0" xfId="23" applyNumberFormat="1" applyFont="1" applyFill="1" applyBorder="1" applyAlignment="1">
      <alignment horizontal="center" vertical="center"/>
    </xf>
    <xf numFmtId="167" fontId="29" fillId="11" borderId="3" xfId="23" applyNumberFormat="1" applyFont="1" applyFill="1" applyBorder="1" applyAlignment="1">
      <alignment horizontal="center" vertical="center"/>
    </xf>
    <xf numFmtId="0" fontId="17" fillId="15" borderId="0" xfId="0" applyFont="1" applyFill="1" applyBorder="1" applyAlignment="1">
      <alignment horizontal="left" vertical="center"/>
    </xf>
    <xf numFmtId="0" fontId="17" fillId="34" borderId="20" xfId="0" applyFont="1" applyFill="1" applyBorder="1" applyAlignment="1">
      <alignment horizontal="left" vertical="center"/>
    </xf>
    <xf numFmtId="175" fontId="25" fillId="35" borderId="0" xfId="23" applyNumberFormat="1" applyFont="1" applyFill="1" applyBorder="1" applyAlignment="1">
      <alignment horizontal="center" vertical="center"/>
    </xf>
    <xf numFmtId="165" fontId="25" fillId="11" borderId="0" xfId="23" applyFont="1" applyFill="1" applyBorder="1" applyAlignment="1">
      <alignment horizontal="center" vertical="center"/>
    </xf>
    <xf numFmtId="0" fontId="30" fillId="33" borderId="20" xfId="0" applyFont="1" applyFill="1" applyBorder="1" applyAlignment="1">
      <alignment horizontal="left" vertical="center"/>
    </xf>
    <xf numFmtId="0" fontId="25" fillId="0" borderId="0" xfId="25" applyFont="1"/>
    <xf numFmtId="0" fontId="30" fillId="0" borderId="0" xfId="25" applyFont="1" applyFill="1" applyBorder="1" applyAlignment="1">
      <alignment horizontal="left" vertical="center"/>
    </xf>
    <xf numFmtId="0" fontId="25" fillId="3" borderId="0" xfId="25" applyFont="1" applyFill="1" applyBorder="1"/>
    <xf numFmtId="0" fontId="17" fillId="14" borderId="20" xfId="0" applyFont="1" applyFill="1" applyBorder="1" applyAlignment="1">
      <alignment horizontal="left" vertical="center"/>
    </xf>
    <xf numFmtId="0" fontId="17" fillId="14" borderId="15" xfId="0" applyFont="1" applyFill="1" applyBorder="1" applyAlignment="1">
      <alignment horizontal="left" vertical="center"/>
    </xf>
    <xf numFmtId="0" fontId="29" fillId="15" borderId="8" xfId="0" applyFont="1" applyFill="1" applyBorder="1" applyAlignment="1">
      <alignment horizontal="left" vertical="center"/>
    </xf>
    <xf numFmtId="0" fontId="29" fillId="15" borderId="10" xfId="0" applyFont="1" applyFill="1" applyBorder="1" applyAlignment="1">
      <alignment horizontal="left" vertical="center"/>
    </xf>
    <xf numFmtId="175" fontId="27" fillId="17" borderId="2" xfId="23" applyNumberFormat="1" applyFont="1" applyFill="1" applyBorder="1" applyAlignment="1">
      <alignment vertical="center"/>
    </xf>
    <xf numFmtId="175" fontId="25" fillId="14" borderId="49" xfId="23" applyNumberFormat="1" applyFont="1" applyFill="1" applyBorder="1" applyAlignment="1">
      <alignment vertical="center"/>
    </xf>
    <xf numFmtId="175" fontId="17" fillId="18" borderId="49" xfId="23" applyNumberFormat="1" applyFont="1" applyFill="1" applyBorder="1" applyAlignment="1">
      <alignment vertical="center"/>
    </xf>
    <xf numFmtId="175" fontId="17" fillId="18" borderId="44" xfId="23" applyNumberFormat="1" applyFont="1" applyFill="1" applyBorder="1" applyAlignment="1">
      <alignment vertical="center"/>
    </xf>
    <xf numFmtId="175" fontId="17" fillId="33" borderId="46" xfId="23" applyNumberFormat="1" applyFont="1" applyFill="1" applyBorder="1" applyAlignment="1">
      <alignment vertical="center"/>
    </xf>
    <xf numFmtId="175" fontId="25" fillId="33" borderId="42" xfId="23" applyNumberFormat="1" applyFont="1" applyFill="1" applyBorder="1" applyAlignment="1">
      <alignment vertical="center"/>
    </xf>
    <xf numFmtId="175" fontId="25" fillId="18" borderId="55" xfId="23" applyNumberFormat="1" applyFont="1" applyFill="1" applyBorder="1" applyAlignment="1">
      <alignment vertical="center"/>
    </xf>
    <xf numFmtId="9" fontId="25" fillId="11" borderId="1" xfId="16" applyFont="1" applyFill="1" applyBorder="1" applyAlignment="1">
      <alignment horizontal="center" vertical="center"/>
    </xf>
    <xf numFmtId="0" fontId="25" fillId="0" borderId="0" xfId="0" applyFont="1"/>
    <xf numFmtId="165" fontId="25" fillId="0" borderId="0" xfId="23" applyFont="1"/>
    <xf numFmtId="0" fontId="25" fillId="0" borderId="0" xfId="0" applyFont="1" applyFill="1"/>
    <xf numFmtId="167" fontId="25" fillId="0" borderId="0" xfId="23" applyNumberFormat="1" applyFont="1"/>
    <xf numFmtId="0" fontId="38" fillId="5" borderId="0" xfId="5" applyFont="1" applyFill="1" applyBorder="1" applyAlignment="1" applyProtection="1">
      <alignment horizontal="center"/>
    </xf>
    <xf numFmtId="0" fontId="25" fillId="2" borderId="0" xfId="0" applyFont="1" applyFill="1" applyBorder="1"/>
    <xf numFmtId="0" fontId="39" fillId="3" borderId="0" xfId="5" applyFont="1" applyFill="1" applyBorder="1" applyAlignment="1" applyProtection="1">
      <alignment horizontal="center"/>
    </xf>
    <xf numFmtId="0" fontId="25" fillId="3" borderId="0" xfId="0" applyFont="1" applyFill="1"/>
    <xf numFmtId="0" fontId="33" fillId="2" borderId="2" xfId="0" applyFont="1" applyFill="1" applyBorder="1" applyAlignment="1" applyProtection="1">
      <alignment horizontal="center" vertical="center"/>
    </xf>
    <xf numFmtId="0" fontId="25" fillId="2" borderId="0" xfId="0" applyFont="1" applyFill="1"/>
    <xf numFmtId="0" fontId="25" fillId="3" borderId="0" xfId="0" applyFont="1" applyFill="1" applyBorder="1"/>
    <xf numFmtId="0" fontId="25" fillId="15" borderId="1" xfId="0" applyFont="1" applyFill="1" applyBorder="1" applyProtection="1"/>
    <xf numFmtId="10" fontId="25" fillId="5" borderId="1" xfId="8" applyNumberFormat="1" applyFont="1" applyFill="1" applyBorder="1" applyAlignment="1">
      <alignment horizontal="center" vertical="center"/>
    </xf>
    <xf numFmtId="166" fontId="33" fillId="2" borderId="0" xfId="0" applyNumberFormat="1" applyFont="1" applyFill="1" applyAlignment="1">
      <alignment horizontal="center" vertical="center" wrapText="1"/>
    </xf>
    <xf numFmtId="0" fontId="15" fillId="6" borderId="1" xfId="0" applyFont="1" applyFill="1" applyBorder="1" applyAlignment="1">
      <alignment horizontal="left" vertical="center" wrapText="1"/>
    </xf>
    <xf numFmtId="166" fontId="15" fillId="6" borderId="1" xfId="0" applyNumberFormat="1" applyFont="1" applyFill="1" applyBorder="1" applyAlignment="1">
      <alignment horizontal="center" vertical="center" wrapText="1"/>
    </xf>
    <xf numFmtId="166" fontId="33" fillId="6" borderId="1" xfId="0" applyNumberFormat="1" applyFont="1" applyFill="1" applyBorder="1" applyAlignment="1">
      <alignment horizontal="center" vertical="center" wrapText="1"/>
    </xf>
    <xf numFmtId="171" fontId="33" fillId="2" borderId="0" xfId="0" applyNumberFormat="1" applyFont="1" applyFill="1" applyAlignment="1">
      <alignment horizontal="center" vertical="center" wrapText="1"/>
    </xf>
    <xf numFmtId="0" fontId="15" fillId="5" borderId="1" xfId="0" applyFont="1" applyFill="1" applyBorder="1" applyAlignment="1">
      <alignment horizontal="left" vertical="center" wrapText="1"/>
    </xf>
    <xf numFmtId="166" fontId="15" fillId="5" borderId="1" xfId="0" applyNumberFormat="1" applyFont="1" applyFill="1" applyBorder="1" applyAlignment="1">
      <alignment horizontal="center" vertical="center" wrapText="1"/>
    </xf>
    <xf numFmtId="10" fontId="29" fillId="4" borderId="1" xfId="23" applyNumberFormat="1" applyFont="1" applyFill="1" applyBorder="1" applyAlignment="1" applyProtection="1">
      <alignment horizontal="center" vertical="center"/>
      <protection locked="0"/>
    </xf>
    <xf numFmtId="9" fontId="30" fillId="2" borderId="0" xfId="16" applyFont="1" applyFill="1" applyAlignment="1">
      <alignment horizontal="center" vertical="center"/>
    </xf>
    <xf numFmtId="38" fontId="25" fillId="5" borderId="1" xfId="23" applyNumberFormat="1" applyFont="1" applyFill="1" applyBorder="1" applyAlignment="1" applyProtection="1">
      <alignment horizontal="left" vertical="center"/>
      <protection locked="0"/>
    </xf>
    <xf numFmtId="10" fontId="25" fillId="5" borderId="1" xfId="16" applyNumberFormat="1" applyFont="1" applyFill="1" applyBorder="1" applyAlignment="1">
      <alignment horizontal="center" vertical="center"/>
    </xf>
    <xf numFmtId="10" fontId="25" fillId="4" borderId="1" xfId="23" applyNumberFormat="1" applyFont="1" applyFill="1" applyBorder="1" applyAlignment="1" applyProtection="1">
      <alignment horizontal="center" vertical="center"/>
      <protection locked="0"/>
    </xf>
    <xf numFmtId="9" fontId="17" fillId="2" borderId="0" xfId="16" applyFont="1" applyFill="1" applyAlignment="1">
      <alignment horizontal="center" vertical="center"/>
    </xf>
    <xf numFmtId="38" fontId="29" fillId="5" borderId="1" xfId="23" applyNumberFormat="1" applyFont="1" applyFill="1" applyBorder="1" applyAlignment="1" applyProtection="1">
      <alignment horizontal="left" vertical="center"/>
      <protection locked="0"/>
    </xf>
    <xf numFmtId="0" fontId="33" fillId="2" borderId="0" xfId="0" applyNumberFormat="1" applyFont="1" applyFill="1" applyAlignment="1">
      <alignment horizontal="center" vertical="center"/>
    </xf>
    <xf numFmtId="0" fontId="25" fillId="2" borderId="0" xfId="0" applyNumberFormat="1" applyFont="1" applyFill="1" applyAlignment="1"/>
    <xf numFmtId="0" fontId="40" fillId="3" borderId="0" xfId="0" applyNumberFormat="1" applyFont="1" applyFill="1" applyBorder="1" applyAlignment="1">
      <alignment vertical="center"/>
    </xf>
    <xf numFmtId="0" fontId="25" fillId="3" borderId="0" xfId="0" applyNumberFormat="1" applyFont="1" applyFill="1" applyBorder="1" applyAlignment="1"/>
    <xf numFmtId="0" fontId="25" fillId="15" borderId="1" xfId="0" applyFont="1" applyFill="1" applyBorder="1"/>
    <xf numFmtId="10" fontId="25" fillId="2" borderId="0" xfId="0" applyNumberFormat="1" applyFont="1" applyFill="1"/>
    <xf numFmtId="0" fontId="25" fillId="5" borderId="1" xfId="0" applyFont="1" applyFill="1" applyBorder="1"/>
    <xf numFmtId="10" fontId="25" fillId="5" borderId="6" xfId="16" applyNumberFormat="1" applyFont="1" applyFill="1" applyBorder="1" applyAlignment="1">
      <alignment horizontal="center" vertical="center"/>
    </xf>
    <xf numFmtId="10" fontId="25" fillId="5" borderId="6" xfId="0" applyNumberFormat="1" applyFont="1" applyFill="1" applyBorder="1" applyAlignment="1">
      <alignment horizontal="center" vertical="center"/>
    </xf>
    <xf numFmtId="10" fontId="25" fillId="3" borderId="0" xfId="0" applyNumberFormat="1" applyFont="1" applyFill="1" applyBorder="1" applyAlignment="1">
      <alignment horizontal="center" vertical="center"/>
    </xf>
    <xf numFmtId="0" fontId="42" fillId="15" borderId="24" xfId="0" applyFont="1" applyFill="1" applyBorder="1"/>
    <xf numFmtId="0" fontId="25" fillId="3" borderId="0" xfId="0" applyFont="1" applyFill="1" applyBorder="1" applyAlignment="1">
      <alignment vertical="center"/>
    </xf>
    <xf numFmtId="0" fontId="30" fillId="15" borderId="8" xfId="0" applyFont="1" applyFill="1" applyBorder="1" applyAlignment="1">
      <alignment horizontal="left"/>
    </xf>
    <xf numFmtId="165" fontId="25" fillId="0" borderId="8" xfId="23" applyFont="1" applyFill="1" applyBorder="1" applyAlignment="1"/>
    <xf numFmtId="165" fontId="25" fillId="0" borderId="9" xfId="23" applyFont="1" applyFill="1" applyBorder="1" applyAlignment="1"/>
    <xf numFmtId="165" fontId="25" fillId="0" borderId="10" xfId="23" applyFont="1" applyFill="1" applyBorder="1" applyAlignment="1"/>
    <xf numFmtId="175" fontId="25" fillId="3" borderId="0" xfId="0" applyNumberFormat="1" applyFont="1" applyFill="1" applyBorder="1"/>
    <xf numFmtId="0" fontId="30" fillId="15" borderId="58" xfId="0" applyFont="1" applyFill="1" applyBorder="1" applyAlignment="1">
      <alignment horizontal="left"/>
    </xf>
    <xf numFmtId="43" fontId="25" fillId="0" borderId="58" xfId="0" applyNumberFormat="1" applyFont="1" applyFill="1" applyBorder="1" applyAlignment="1"/>
    <xf numFmtId="43" fontId="25" fillId="0" borderId="0" xfId="0" applyNumberFormat="1" applyFont="1" applyFill="1" applyBorder="1" applyAlignment="1"/>
    <xf numFmtId="43" fontId="25" fillId="0" borderId="59" xfId="0" applyNumberFormat="1" applyFont="1" applyFill="1" applyBorder="1" applyAlignment="1"/>
    <xf numFmtId="0" fontId="30" fillId="15" borderId="11" xfId="0" applyFont="1" applyFill="1" applyBorder="1" applyAlignment="1">
      <alignment horizontal="left"/>
    </xf>
    <xf numFmtId="43" fontId="25" fillId="0" borderId="11" xfId="0" applyNumberFormat="1" applyFont="1" applyFill="1" applyBorder="1" applyAlignment="1"/>
    <xf numFmtId="43" fontId="25" fillId="0" borderId="12" xfId="0" applyNumberFormat="1" applyFont="1" applyFill="1" applyBorder="1" applyAlignment="1"/>
    <xf numFmtId="43" fontId="25" fillId="0" borderId="13" xfId="0" applyNumberFormat="1" applyFont="1" applyFill="1" applyBorder="1" applyAlignment="1"/>
    <xf numFmtId="0" fontId="30" fillId="15" borderId="56" xfId="0" applyFont="1" applyFill="1" applyBorder="1" applyAlignment="1">
      <alignment horizontal="center"/>
    </xf>
    <xf numFmtId="0" fontId="30" fillId="15" borderId="17" xfId="0" applyFont="1" applyFill="1" applyBorder="1" applyAlignment="1">
      <alignment horizontal="center"/>
    </xf>
    <xf numFmtId="175" fontId="25" fillId="3" borderId="0" xfId="0" applyNumberFormat="1" applyFont="1" applyFill="1" applyBorder="1" applyAlignment="1">
      <alignment vertical="center"/>
    </xf>
    <xf numFmtId="9" fontId="25" fillId="0" borderId="0" xfId="16" applyFont="1"/>
    <xf numFmtId="0" fontId="21" fillId="15" borderId="0" xfId="0" applyFont="1" applyFill="1" applyBorder="1" applyAlignment="1">
      <alignment horizontal="center"/>
    </xf>
    <xf numFmtId="2" fontId="25" fillId="15" borderId="0" xfId="0" applyNumberFormat="1" applyFont="1" applyFill="1" applyBorder="1"/>
    <xf numFmtId="2" fontId="25" fillId="11" borderId="0" xfId="0" applyNumberFormat="1" applyFont="1" applyFill="1" applyBorder="1"/>
    <xf numFmtId="0" fontId="42" fillId="15" borderId="4" xfId="0" applyFont="1" applyFill="1" applyBorder="1"/>
    <xf numFmtId="0" fontId="42" fillId="15" borderId="0" xfId="0" applyFont="1" applyFill="1" applyBorder="1"/>
    <xf numFmtId="0" fontId="25" fillId="15" borderId="8" xfId="0" applyFont="1" applyFill="1" applyBorder="1"/>
    <xf numFmtId="0" fontId="25" fillId="15" borderId="37" xfId="0" applyFont="1" applyFill="1" applyBorder="1" applyAlignment="1">
      <alignment horizontal="right" wrapText="1"/>
    </xf>
    <xf numFmtId="0" fontId="17" fillId="15" borderId="12" xfId="0" applyFont="1" applyFill="1" applyBorder="1" applyAlignment="1">
      <alignment horizontal="center" wrapText="1"/>
    </xf>
    <xf numFmtId="0" fontId="17" fillId="15" borderId="34" xfId="0" applyFont="1" applyFill="1" applyBorder="1" applyAlignment="1">
      <alignment horizontal="center" wrapText="1"/>
    </xf>
    <xf numFmtId="0" fontId="17" fillId="15" borderId="33" xfId="0" applyFont="1" applyFill="1" applyBorder="1" applyAlignment="1">
      <alignment horizontal="center" wrapText="1"/>
    </xf>
    <xf numFmtId="0" fontId="17" fillId="5" borderId="33" xfId="0" applyFont="1" applyFill="1" applyBorder="1" applyAlignment="1">
      <alignment horizontal="center" wrapText="1"/>
    </xf>
    <xf numFmtId="0" fontId="17" fillId="5" borderId="34" xfId="0" applyFont="1" applyFill="1" applyBorder="1" applyAlignment="1">
      <alignment horizontal="center" wrapText="1"/>
    </xf>
    <xf numFmtId="0" fontId="17" fillId="5" borderId="12" xfId="0" applyFont="1" applyFill="1" applyBorder="1" applyAlignment="1">
      <alignment horizontal="center" wrapText="1"/>
    </xf>
    <xf numFmtId="0" fontId="17" fillId="5" borderId="13" xfId="0" applyFont="1" applyFill="1" applyBorder="1" applyAlignment="1">
      <alignment horizontal="center" wrapText="1"/>
    </xf>
    <xf numFmtId="0" fontId="17" fillId="11" borderId="12" xfId="0" applyFont="1" applyFill="1" applyBorder="1" applyAlignment="1">
      <alignment horizontal="center" wrapText="1"/>
    </xf>
    <xf numFmtId="0" fontId="17" fillId="11" borderId="13" xfId="0" applyFont="1" applyFill="1" applyBorder="1" applyAlignment="1">
      <alignment horizontal="center" wrapText="1"/>
    </xf>
    <xf numFmtId="9" fontId="25" fillId="11" borderId="15" xfId="16" applyFont="1" applyFill="1" applyBorder="1" applyAlignment="1">
      <alignment horizontal="center"/>
    </xf>
    <xf numFmtId="9" fontId="25" fillId="11" borderId="19" xfId="16" applyFont="1" applyFill="1" applyBorder="1" applyAlignment="1">
      <alignment horizontal="center"/>
    </xf>
    <xf numFmtId="9" fontId="25" fillId="9" borderId="20" xfId="16" applyFont="1" applyFill="1" applyBorder="1" applyAlignment="1">
      <alignment horizontal="center"/>
    </xf>
    <xf numFmtId="9" fontId="25" fillId="7" borderId="14" xfId="16" applyFont="1" applyFill="1" applyBorder="1" applyAlignment="1">
      <alignment horizontal="center"/>
    </xf>
    <xf numFmtId="9" fontId="25" fillId="11" borderId="20" xfId="16" applyFont="1" applyFill="1" applyBorder="1" applyAlignment="1">
      <alignment horizontal="center"/>
    </xf>
    <xf numFmtId="9" fontId="25" fillId="11" borderId="14" xfId="16" applyFont="1" applyFill="1" applyBorder="1" applyAlignment="1">
      <alignment horizontal="center"/>
    </xf>
    <xf numFmtId="4" fontId="25" fillId="3" borderId="0" xfId="0" applyNumberFormat="1" applyFont="1" applyFill="1" applyBorder="1"/>
    <xf numFmtId="0" fontId="25" fillId="0" borderId="0" xfId="0" applyFont="1" applyFill="1" applyBorder="1"/>
    <xf numFmtId="0" fontId="39" fillId="5" borderId="1" xfId="5" applyFont="1" applyFill="1" applyBorder="1" applyAlignment="1" applyProtection="1">
      <alignment horizontal="center"/>
    </xf>
    <xf numFmtId="0" fontId="29" fillId="15" borderId="1" xfId="0" applyFont="1" applyFill="1" applyBorder="1" applyAlignment="1">
      <alignment horizontal="center"/>
    </xf>
    <xf numFmtId="0" fontId="25" fillId="15" borderId="6" xfId="0" applyFont="1" applyFill="1" applyBorder="1"/>
    <xf numFmtId="167" fontId="25" fillId="11" borderId="1" xfId="23" applyNumberFormat="1" applyFont="1" applyFill="1" applyBorder="1"/>
    <xf numFmtId="0" fontId="29" fillId="15" borderId="1" xfId="0" applyFont="1" applyFill="1" applyBorder="1"/>
    <xf numFmtId="0" fontId="25" fillId="15" borderId="17" xfId="0" applyFont="1" applyFill="1" applyBorder="1" applyAlignment="1">
      <alignment horizontal="center" vertical="center"/>
    </xf>
    <xf numFmtId="0" fontId="25" fillId="0" borderId="0" xfId="0" applyFont="1" applyBorder="1"/>
    <xf numFmtId="0" fontId="29" fillId="0" borderId="2" xfId="0" applyFont="1" applyBorder="1" applyAlignment="1">
      <alignment horizontal="center" vertical="center"/>
    </xf>
    <xf numFmtId="0" fontId="25" fillId="3" borderId="0" xfId="0" applyFont="1" applyFill="1" applyBorder="1" applyAlignment="1"/>
    <xf numFmtId="0" fontId="25" fillId="3" borderId="0" xfId="0" quotePrefix="1" applyFont="1" applyFill="1"/>
    <xf numFmtId="8" fontId="25" fillId="5" borderId="7" xfId="0" applyNumberFormat="1" applyFont="1" applyFill="1" applyBorder="1"/>
    <xf numFmtId="2" fontId="25" fillId="3" borderId="0" xfId="0" applyNumberFormat="1" applyFont="1" applyFill="1" applyBorder="1"/>
    <xf numFmtId="10" fontId="25" fillId="11" borderId="7" xfId="0" applyNumberFormat="1" applyFont="1" applyFill="1" applyBorder="1"/>
    <xf numFmtId="10" fontId="25" fillId="11" borderId="1" xfId="0" applyNumberFormat="1" applyFont="1" applyFill="1" applyBorder="1"/>
    <xf numFmtId="4" fontId="25" fillId="3" borderId="0" xfId="0" applyNumberFormat="1" applyFont="1" applyFill="1"/>
    <xf numFmtId="0" fontId="46" fillId="3" borderId="0" xfId="0" applyFont="1" applyFill="1" applyBorder="1"/>
    <xf numFmtId="0" fontId="25" fillId="3" borderId="0" xfId="0" applyNumberFormat="1" applyFont="1" applyFill="1"/>
    <xf numFmtId="0" fontId="25" fillId="15" borderId="6" xfId="0" applyFont="1" applyFill="1" applyBorder="1" applyAlignment="1">
      <alignment horizontal="center" vertical="center"/>
    </xf>
    <xf numFmtId="0" fontId="25" fillId="15" borderId="21" xfId="0" applyFont="1" applyFill="1" applyBorder="1" applyAlignment="1">
      <alignment horizontal="center" vertical="center"/>
    </xf>
    <xf numFmtId="4" fontId="25" fillId="11" borderId="21" xfId="0" applyNumberFormat="1" applyFont="1" applyFill="1" applyBorder="1" applyAlignment="1">
      <alignment horizontal="center" vertical="center"/>
    </xf>
    <xf numFmtId="0" fontId="25" fillId="15" borderId="15" xfId="0" applyFont="1" applyFill="1" applyBorder="1" applyAlignment="1">
      <alignment horizontal="center" vertical="center"/>
    </xf>
    <xf numFmtId="0" fontId="25" fillId="15" borderId="20" xfId="0" applyFont="1" applyFill="1" applyBorder="1" applyAlignment="1">
      <alignment horizontal="center" vertical="center"/>
    </xf>
    <xf numFmtId="165" fontId="25" fillId="11" borderId="1" xfId="23" applyFont="1" applyFill="1" applyBorder="1"/>
    <xf numFmtId="9" fontId="25" fillId="11" borderId="1" xfId="16" applyFont="1" applyFill="1" applyBorder="1"/>
    <xf numFmtId="175" fontId="25" fillId="3" borderId="0" xfId="0" applyNumberFormat="1" applyFont="1" applyFill="1"/>
    <xf numFmtId="43" fontId="25" fillId="3" borderId="0" xfId="0" applyNumberFormat="1" applyFont="1" applyFill="1"/>
    <xf numFmtId="167" fontId="25" fillId="3" borderId="0" xfId="0" applyNumberFormat="1" applyFont="1" applyFill="1"/>
    <xf numFmtId="0" fontId="25" fillId="15" borderId="0" xfId="0" applyFont="1" applyFill="1"/>
    <xf numFmtId="165" fontId="25" fillId="11" borderId="0" xfId="23" applyFont="1" applyFill="1"/>
    <xf numFmtId="167" fontId="25" fillId="11" borderId="0" xfId="0" applyNumberFormat="1" applyFont="1" applyFill="1"/>
    <xf numFmtId="0" fontId="44" fillId="0" borderId="8" xfId="0" applyFont="1" applyFill="1" applyBorder="1"/>
    <xf numFmtId="0" fontId="44" fillId="0" borderId="10" xfId="0" applyFont="1" applyFill="1" applyBorder="1"/>
    <xf numFmtId="0" fontId="44" fillId="0" borderId="58" xfId="0" applyFont="1" applyFill="1" applyBorder="1"/>
    <xf numFmtId="0" fontId="44" fillId="0" borderId="59" xfId="0" applyFont="1" applyFill="1" applyBorder="1"/>
    <xf numFmtId="165" fontId="25" fillId="0" borderId="11" xfId="23" applyFont="1" applyBorder="1"/>
    <xf numFmtId="167" fontId="25" fillId="0" borderId="13" xfId="23" applyNumberFormat="1" applyFont="1" applyBorder="1"/>
    <xf numFmtId="178" fontId="25" fillId="0" borderId="0" xfId="0" applyNumberFormat="1" applyFont="1"/>
    <xf numFmtId="175" fontId="25" fillId="0" borderId="0" xfId="0" applyNumberFormat="1" applyFont="1"/>
    <xf numFmtId="9" fontId="25" fillId="0" borderId="0" xfId="16" applyFont="1" applyFill="1" applyBorder="1"/>
    <xf numFmtId="175" fontId="25" fillId="11" borderId="1" xfId="0" applyNumberFormat="1" applyFont="1" applyFill="1" applyBorder="1"/>
    <xf numFmtId="175" fontId="25" fillId="8" borderId="1" xfId="0" applyNumberFormat="1" applyFont="1" applyFill="1" applyBorder="1"/>
    <xf numFmtId="165" fontId="25" fillId="14" borderId="1" xfId="23" applyFont="1" applyFill="1" applyBorder="1"/>
    <xf numFmtId="0" fontId="37" fillId="0" borderId="0" xfId="0" applyFont="1" applyFill="1"/>
    <xf numFmtId="0" fontId="37" fillId="33" borderId="0" xfId="0" applyFont="1" applyFill="1"/>
    <xf numFmtId="4" fontId="25" fillId="11" borderId="15" xfId="0" applyNumberFormat="1" applyFont="1" applyFill="1" applyBorder="1" applyAlignment="1">
      <alignment horizontal="center" vertical="center"/>
    </xf>
    <xf numFmtId="4" fontId="25" fillId="11" borderId="0" xfId="0" applyNumberFormat="1" applyFont="1" applyFill="1" applyBorder="1" applyAlignment="1">
      <alignment horizontal="center" vertical="center"/>
    </xf>
    <xf numFmtId="0" fontId="25" fillId="11" borderId="15" xfId="0" applyFont="1" applyFill="1" applyBorder="1" applyAlignment="1">
      <alignment horizontal="center" vertical="center"/>
    </xf>
    <xf numFmtId="0" fontId="25" fillId="11" borderId="0" xfId="0" applyFont="1" applyFill="1" applyBorder="1" applyAlignment="1">
      <alignment horizontal="center" vertical="center"/>
    </xf>
    <xf numFmtId="169" fontId="25" fillId="11" borderId="20" xfId="0" applyNumberFormat="1" applyFont="1" applyFill="1" applyBorder="1" applyAlignment="1">
      <alignment horizontal="center" vertical="center"/>
    </xf>
    <xf numFmtId="169" fontId="25" fillId="11" borderId="3" xfId="0" applyNumberFormat="1" applyFont="1" applyFill="1" applyBorder="1" applyAlignment="1">
      <alignment horizontal="center" vertical="center"/>
    </xf>
    <xf numFmtId="175" fontId="25" fillId="33" borderId="6" xfId="0" applyNumberFormat="1" applyFont="1" applyFill="1" applyBorder="1"/>
    <xf numFmtId="167" fontId="25" fillId="33" borderId="18" xfId="23" applyNumberFormat="1" applyFont="1" applyFill="1" applyBorder="1"/>
    <xf numFmtId="9" fontId="25" fillId="0" borderId="2" xfId="0" applyNumberFormat="1" applyFont="1" applyFill="1" applyBorder="1"/>
    <xf numFmtId="9" fontId="25" fillId="0" borderId="2" xfId="16" applyFont="1" applyFill="1" applyBorder="1" applyAlignment="1">
      <alignment horizontal="center" vertical="center"/>
    </xf>
    <xf numFmtId="177" fontId="25" fillId="11" borderId="1" xfId="23" applyNumberFormat="1" applyFont="1" applyFill="1" applyBorder="1"/>
    <xf numFmtId="2" fontId="25" fillId="3" borderId="0" xfId="0" applyNumberFormat="1" applyFont="1" applyFill="1"/>
    <xf numFmtId="0" fontId="48" fillId="34" borderId="1" xfId="0" applyFont="1" applyFill="1" applyBorder="1" applyAlignment="1">
      <alignment horizontal="left" vertical="center"/>
    </xf>
    <xf numFmtId="0" fontId="17" fillId="34" borderId="1" xfId="0" applyFont="1" applyFill="1" applyBorder="1" applyAlignment="1">
      <alignment horizontal="left" vertical="center"/>
    </xf>
    <xf numFmtId="9" fontId="17" fillId="34" borderId="1" xfId="0" applyNumberFormat="1" applyFont="1" applyFill="1" applyBorder="1" applyAlignment="1">
      <alignment horizontal="left" vertical="center"/>
    </xf>
    <xf numFmtId="0" fontId="25" fillId="15" borderId="17" xfId="0" applyNumberFormat="1" applyFont="1" applyFill="1" applyBorder="1" applyAlignment="1">
      <alignment horizontal="center"/>
    </xf>
    <xf numFmtId="0" fontId="25" fillId="15" borderId="18" xfId="0" applyNumberFormat="1" applyFont="1" applyFill="1" applyBorder="1" applyAlignment="1">
      <alignment horizontal="center"/>
    </xf>
    <xf numFmtId="0" fontId="25" fillId="33" borderId="6" xfId="0" applyFont="1" applyFill="1" applyBorder="1" applyAlignment="1">
      <alignment horizontal="center"/>
    </xf>
    <xf numFmtId="0" fontId="25" fillId="33" borderId="17" xfId="0" applyNumberFormat="1" applyFont="1" applyFill="1" applyBorder="1" applyAlignment="1">
      <alignment horizontal="center"/>
    </xf>
    <xf numFmtId="0" fontId="25" fillId="33" borderId="18" xfId="0" applyNumberFormat="1" applyFont="1" applyFill="1" applyBorder="1" applyAlignment="1">
      <alignment horizontal="center"/>
    </xf>
    <xf numFmtId="0" fontId="29" fillId="33" borderId="1" xfId="0" applyFont="1" applyFill="1" applyBorder="1" applyAlignment="1">
      <alignment horizontal="center"/>
    </xf>
    <xf numFmtId="0" fontId="29" fillId="33" borderId="5" xfId="0" applyFont="1" applyFill="1" applyBorder="1" applyAlignment="1">
      <alignment horizontal="center"/>
    </xf>
    <xf numFmtId="9" fontId="25" fillId="0" borderId="0" xfId="16" applyFont="1" applyFill="1" applyBorder="1" applyAlignment="1">
      <alignment horizontal="center" vertical="center"/>
    </xf>
    <xf numFmtId="0" fontId="25" fillId="14" borderId="6" xfId="0" applyFont="1" applyFill="1" applyBorder="1"/>
    <xf numFmtId="0" fontId="25" fillId="14" borderId="17" xfId="0" applyNumberFormat="1" applyFont="1" applyFill="1" applyBorder="1" applyAlignment="1">
      <alignment horizontal="center"/>
    </xf>
    <xf numFmtId="0" fontId="25" fillId="14" borderId="18" xfId="0" applyNumberFormat="1" applyFont="1" applyFill="1" applyBorder="1" applyAlignment="1">
      <alignment horizontal="center"/>
    </xf>
    <xf numFmtId="0" fontId="29" fillId="14" borderId="1" xfId="0" applyFont="1" applyFill="1" applyBorder="1" applyAlignment="1">
      <alignment horizontal="center"/>
    </xf>
    <xf numFmtId="9" fontId="25" fillId="33" borderId="1" xfId="0" applyNumberFormat="1" applyFont="1" applyFill="1" applyBorder="1"/>
    <xf numFmtId="168" fontId="25" fillId="11" borderId="0" xfId="23" applyNumberFormat="1" applyFont="1" applyFill="1" applyBorder="1" applyAlignment="1">
      <alignment horizontal="center" vertical="center"/>
    </xf>
    <xf numFmtId="168" fontId="25" fillId="14" borderId="1" xfId="23" applyNumberFormat="1" applyFont="1" applyFill="1" applyBorder="1"/>
    <xf numFmtId="0" fontId="43" fillId="0" borderId="0" xfId="0" applyFont="1"/>
    <xf numFmtId="165" fontId="25" fillId="11" borderId="58" xfId="23" applyFont="1" applyFill="1" applyBorder="1"/>
    <xf numFmtId="176" fontId="25" fillId="11" borderId="59" xfId="23" applyNumberFormat="1" applyFont="1" applyFill="1" applyBorder="1"/>
    <xf numFmtId="167" fontId="25" fillId="0" borderId="1" xfId="23" applyNumberFormat="1" applyFont="1" applyFill="1" applyBorder="1"/>
    <xf numFmtId="0" fontId="6" fillId="15" borderId="18" xfId="0" applyFont="1" applyFill="1" applyBorder="1" applyAlignment="1">
      <alignment horizontal="center" vertical="center"/>
    </xf>
    <xf numFmtId="0" fontId="0" fillId="15" borderId="17" xfId="0" applyFill="1" applyBorder="1" applyAlignment="1">
      <alignment horizontal="center" vertical="center"/>
    </xf>
    <xf numFmtId="0" fontId="8" fillId="15" borderId="17" xfId="0" applyFont="1" applyFill="1" applyBorder="1" applyAlignment="1">
      <alignment horizontal="center" vertical="center"/>
    </xf>
    <xf numFmtId="0" fontId="17" fillId="36" borderId="1" xfId="0" applyFont="1" applyFill="1" applyBorder="1"/>
    <xf numFmtId="0" fontId="17" fillId="36" borderId="5" xfId="0" applyFont="1" applyFill="1" applyBorder="1"/>
    <xf numFmtId="0" fontId="17" fillId="36" borderId="21" xfId="0" applyFont="1" applyFill="1" applyBorder="1"/>
    <xf numFmtId="4" fontId="49" fillId="38" borderId="29" xfId="0" applyNumberFormat="1" applyFont="1" applyFill="1" applyBorder="1" applyAlignment="1">
      <alignment horizontal="center" vertical="center"/>
    </xf>
    <xf numFmtId="175" fontId="17" fillId="36" borderId="61" xfId="23" applyNumberFormat="1" applyFont="1" applyFill="1" applyBorder="1" applyAlignment="1">
      <alignment horizontal="center" vertical="center"/>
    </xf>
    <xf numFmtId="175" fontId="17" fillId="38" borderId="61" xfId="23" applyNumberFormat="1" applyFont="1" applyFill="1" applyBorder="1" applyAlignment="1">
      <alignment horizontal="center" vertical="center"/>
    </xf>
    <xf numFmtId="0" fontId="29" fillId="15" borderId="25" xfId="0" applyFont="1" applyFill="1" applyBorder="1"/>
    <xf numFmtId="0" fontId="30" fillId="15" borderId="28" xfId="0" applyFont="1" applyFill="1" applyBorder="1" applyAlignment="1"/>
    <xf numFmtId="0" fontId="30" fillId="15" borderId="35" xfId="0" applyFont="1" applyFill="1" applyBorder="1" applyAlignment="1"/>
    <xf numFmtId="0" fontId="25" fillId="16" borderId="38" xfId="0" applyFont="1" applyFill="1" applyBorder="1" applyAlignment="1">
      <alignment horizontal="center"/>
    </xf>
    <xf numFmtId="0" fontId="25" fillId="16" borderId="16" xfId="0" applyFont="1" applyFill="1" applyBorder="1"/>
    <xf numFmtId="0" fontId="25" fillId="16" borderId="41" xfId="0" applyFont="1" applyFill="1" applyBorder="1" applyAlignment="1">
      <alignment horizontal="center"/>
    </xf>
    <xf numFmtId="0" fontId="25" fillId="16" borderId="16" xfId="0" applyFont="1" applyFill="1" applyBorder="1" applyAlignment="1">
      <alignment horizontal="left" vertical="center"/>
    </xf>
    <xf numFmtId="0" fontId="25" fillId="16" borderId="7" xfId="0" applyFont="1" applyFill="1" applyBorder="1" applyAlignment="1">
      <alignment horizontal="left" vertical="center"/>
    </xf>
    <xf numFmtId="0" fontId="25" fillId="16" borderId="41" xfId="0" applyFont="1" applyFill="1" applyBorder="1" applyAlignment="1">
      <alignment vertical="center"/>
    </xf>
    <xf numFmtId="0" fontId="42" fillId="16" borderId="33" xfId="0" applyFont="1" applyFill="1" applyBorder="1"/>
    <xf numFmtId="0" fontId="25" fillId="16" borderId="31" xfId="0" applyFont="1" applyFill="1" applyBorder="1"/>
    <xf numFmtId="0" fontId="25" fillId="16" borderId="5" xfId="0" applyFont="1" applyFill="1" applyBorder="1"/>
    <xf numFmtId="0" fontId="25" fillId="16" borderId="7" xfId="0" applyFont="1" applyFill="1" applyBorder="1"/>
    <xf numFmtId="0" fontId="42" fillId="16" borderId="1" xfId="0" applyFont="1" applyFill="1" applyBorder="1"/>
    <xf numFmtId="0" fontId="25" fillId="16" borderId="16" xfId="0" applyFont="1" applyFill="1" applyBorder="1" applyAlignment="1">
      <alignment horizontal="left"/>
    </xf>
    <xf numFmtId="0" fontId="25" fillId="16" borderId="53" xfId="0" applyFont="1" applyFill="1" applyBorder="1" applyAlignment="1">
      <alignment horizontal="center"/>
    </xf>
    <xf numFmtId="0" fontId="25" fillId="16" borderId="54" xfId="0" applyFont="1" applyFill="1" applyBorder="1" applyAlignment="1">
      <alignment horizontal="left" vertical="center"/>
    </xf>
    <xf numFmtId="0" fontId="42" fillId="16" borderId="35" xfId="0" applyFont="1" applyFill="1" applyBorder="1"/>
    <xf numFmtId="0" fontId="25" fillId="16" borderId="36" xfId="0" applyFont="1" applyFill="1" applyBorder="1"/>
    <xf numFmtId="0" fontId="56" fillId="37" borderId="21" xfId="0" applyFont="1" applyFill="1" applyBorder="1" applyAlignment="1">
      <alignment horizontal="left" vertical="center" wrapText="1"/>
    </xf>
    <xf numFmtId="166" fontId="34" fillId="37" borderId="21" xfId="0" applyNumberFormat="1" applyFont="1" applyFill="1" applyBorder="1" applyAlignment="1">
      <alignment horizontal="center" vertical="center" wrapText="1"/>
    </xf>
    <xf numFmtId="0" fontId="16" fillId="38" borderId="65" xfId="0" applyFont="1" applyFill="1" applyBorder="1" applyAlignment="1">
      <alignment horizontal="left" vertical="center" wrapText="1"/>
    </xf>
    <xf numFmtId="166" fontId="15" fillId="38" borderId="21" xfId="0" applyNumberFormat="1" applyFont="1" applyFill="1" applyBorder="1" applyAlignment="1">
      <alignment horizontal="center" vertical="center" wrapText="1"/>
    </xf>
    <xf numFmtId="0" fontId="30" fillId="36" borderId="21" xfId="0" applyFont="1" applyFill="1" applyBorder="1"/>
    <xf numFmtId="4" fontId="30" fillId="36" borderId="21" xfId="0" applyNumberFormat="1" applyFont="1" applyFill="1" applyBorder="1"/>
    <xf numFmtId="0" fontId="17" fillId="38" borderId="21" xfId="0" applyFont="1" applyFill="1" applyBorder="1"/>
    <xf numFmtId="4" fontId="17" fillId="38" borderId="21" xfId="0" applyNumberFormat="1" applyFont="1" applyFill="1" applyBorder="1"/>
    <xf numFmtId="4" fontId="17" fillId="36" borderId="21" xfId="0" applyNumberFormat="1" applyFont="1" applyFill="1" applyBorder="1"/>
    <xf numFmtId="4" fontId="30" fillId="36" borderId="21" xfId="25" applyNumberFormat="1" applyFont="1" applyFill="1" applyBorder="1" applyAlignment="1"/>
    <xf numFmtId="4" fontId="17" fillId="38" borderId="21" xfId="25" applyNumberFormat="1" applyFont="1" applyFill="1" applyBorder="1" applyAlignment="1"/>
    <xf numFmtId="4" fontId="17" fillId="36" borderId="21" xfId="25" applyNumberFormat="1" applyFont="1" applyFill="1" applyBorder="1" applyAlignment="1"/>
    <xf numFmtId="0" fontId="30" fillId="38" borderId="21" xfId="0" applyFont="1" applyFill="1" applyBorder="1"/>
    <xf numFmtId="4" fontId="30" fillId="38" borderId="21" xfId="25" applyNumberFormat="1" applyFont="1" applyFill="1" applyBorder="1" applyAlignment="1"/>
    <xf numFmtId="0" fontId="30" fillId="36" borderId="6" xfId="0" applyFont="1" applyFill="1" applyBorder="1"/>
    <xf numFmtId="4" fontId="30" fillId="36" borderId="6" xfId="25" applyNumberFormat="1" applyFont="1" applyFill="1" applyBorder="1" applyAlignment="1"/>
    <xf numFmtId="0" fontId="15" fillId="37" borderId="21" xfId="0" applyFont="1" applyFill="1" applyBorder="1" applyAlignment="1">
      <alignment horizontal="left" vertical="center" wrapText="1"/>
    </xf>
    <xf numFmtId="0" fontId="15" fillId="37" borderId="5" xfId="0" applyFont="1" applyFill="1" applyBorder="1" applyAlignment="1">
      <alignment horizontal="center" vertical="center" wrapText="1"/>
    </xf>
    <xf numFmtId="0" fontId="15" fillId="38" borderId="65" xfId="0" applyFont="1" applyFill="1" applyBorder="1" applyAlignment="1">
      <alignment vertical="center" wrapText="1"/>
    </xf>
    <xf numFmtId="166" fontId="15" fillId="37" borderId="21" xfId="0" applyNumberFormat="1" applyFont="1" applyFill="1" applyBorder="1" applyAlignment="1">
      <alignment horizontal="center" vertical="center" wrapText="1"/>
    </xf>
    <xf numFmtId="166" fontId="15" fillId="37" borderId="5" xfId="0" applyNumberFormat="1" applyFont="1" applyFill="1" applyBorder="1" applyAlignment="1">
      <alignment horizontal="center" vertical="center" wrapText="1"/>
    </xf>
    <xf numFmtId="166" fontId="15" fillId="38" borderId="65" xfId="0" applyNumberFormat="1" applyFont="1" applyFill="1" applyBorder="1" applyAlignment="1">
      <alignment horizontal="center" vertical="center" wrapText="1"/>
    </xf>
    <xf numFmtId="166" fontId="15" fillId="38" borderId="72" xfId="0" applyNumberFormat="1" applyFont="1" applyFill="1" applyBorder="1" applyAlignment="1">
      <alignment horizontal="center" vertical="center" wrapText="1"/>
    </xf>
    <xf numFmtId="0" fontId="52" fillId="37" borderId="4" xfId="0" applyFont="1" applyFill="1" applyBorder="1" applyAlignment="1">
      <alignment horizontal="center" vertical="center"/>
    </xf>
    <xf numFmtId="0" fontId="53" fillId="37" borderId="21" xfId="0" applyFont="1" applyFill="1" applyBorder="1" applyAlignment="1">
      <alignment horizontal="center" vertical="center"/>
    </xf>
    <xf numFmtId="0" fontId="53" fillId="37" borderId="69" xfId="0" applyFont="1" applyFill="1" applyBorder="1" applyAlignment="1">
      <alignment horizontal="center" vertical="center"/>
    </xf>
    <xf numFmtId="0" fontId="54" fillId="38" borderId="4" xfId="0" applyFont="1" applyFill="1" applyBorder="1" applyAlignment="1">
      <alignment horizontal="center" vertical="center"/>
    </xf>
    <xf numFmtId="0" fontId="54" fillId="38" borderId="21" xfId="0" applyFont="1" applyFill="1" applyBorder="1" applyAlignment="1">
      <alignment horizontal="center" vertical="center"/>
    </xf>
    <xf numFmtId="0" fontId="54" fillId="38" borderId="69" xfId="0" applyFont="1" applyFill="1" applyBorder="1" applyAlignment="1">
      <alignment horizontal="center" vertical="center"/>
    </xf>
    <xf numFmtId="0" fontId="54" fillId="36" borderId="73" xfId="0" applyFont="1" applyFill="1" applyBorder="1" applyAlignment="1">
      <alignment horizontal="center" vertical="center"/>
    </xf>
    <xf numFmtId="4" fontId="54" fillId="36" borderId="74" xfId="0" applyNumberFormat="1" applyFont="1" applyFill="1" applyBorder="1" applyAlignment="1">
      <alignment horizontal="center" vertical="center"/>
    </xf>
    <xf numFmtId="4" fontId="54" fillId="36" borderId="61" xfId="0" applyNumberFormat="1" applyFont="1" applyFill="1" applyBorder="1" applyAlignment="1">
      <alignment horizontal="center" vertical="center"/>
    </xf>
    <xf numFmtId="0" fontId="14" fillId="38" borderId="4" xfId="0" applyFont="1" applyFill="1" applyBorder="1" applyAlignment="1">
      <alignment horizontal="center" vertical="center"/>
    </xf>
    <xf numFmtId="0" fontId="54" fillId="36" borderId="74" xfId="0" applyFont="1" applyFill="1" applyBorder="1" applyAlignment="1">
      <alignment horizontal="center" vertical="center"/>
    </xf>
    <xf numFmtId="0" fontId="54" fillId="36" borderId="61" xfId="0" applyFont="1" applyFill="1" applyBorder="1" applyAlignment="1">
      <alignment horizontal="center" vertical="center"/>
    </xf>
    <xf numFmtId="0" fontId="54" fillId="36" borderId="75" xfId="0" applyFont="1" applyFill="1" applyBorder="1" applyAlignment="1">
      <alignment horizontal="center" vertical="center"/>
    </xf>
    <xf numFmtId="0" fontId="54" fillId="36" borderId="60" xfId="0" applyFont="1" applyFill="1" applyBorder="1" applyAlignment="1">
      <alignment horizontal="center" vertical="center"/>
    </xf>
    <xf numFmtId="0" fontId="54" fillId="36" borderId="62" xfId="0" applyFont="1" applyFill="1" applyBorder="1" applyAlignment="1">
      <alignment horizontal="center" vertical="center"/>
    </xf>
    <xf numFmtId="4" fontId="54" fillId="36" borderId="62" xfId="0" applyNumberFormat="1" applyFont="1" applyFill="1" applyBorder="1" applyAlignment="1">
      <alignment horizontal="center" vertical="center"/>
    </xf>
    <xf numFmtId="0" fontId="15" fillId="37" borderId="21" xfId="0" applyFont="1" applyFill="1" applyBorder="1" applyAlignment="1">
      <alignment vertical="center" wrapText="1"/>
    </xf>
    <xf numFmtId="4" fontId="28" fillId="36" borderId="21" xfId="23" applyNumberFormat="1" applyFont="1" applyFill="1" applyBorder="1" applyAlignment="1">
      <alignment horizontal="center" vertical="center"/>
    </xf>
    <xf numFmtId="4" fontId="28" fillId="36" borderId="5" xfId="23" applyNumberFormat="1" applyFont="1" applyFill="1" applyBorder="1" applyAlignment="1">
      <alignment horizontal="center" vertical="center"/>
    </xf>
    <xf numFmtId="0" fontId="17" fillId="38" borderId="21" xfId="0" applyFont="1" applyFill="1" applyBorder="1" applyAlignment="1">
      <alignment horizontal="left" vertical="center"/>
    </xf>
    <xf numFmtId="174" fontId="17" fillId="38" borderId="21" xfId="23" applyNumberFormat="1" applyFont="1" applyFill="1" applyBorder="1" applyAlignment="1">
      <alignment horizontal="center" vertical="center"/>
    </xf>
    <xf numFmtId="174" fontId="17" fillId="38" borderId="5" xfId="23" applyNumberFormat="1" applyFont="1" applyFill="1" applyBorder="1" applyAlignment="1">
      <alignment horizontal="center" vertical="center"/>
    </xf>
    <xf numFmtId="0" fontId="17" fillId="36" borderId="21" xfId="0" applyFont="1" applyFill="1" applyBorder="1" applyAlignment="1">
      <alignment horizontal="center"/>
    </xf>
    <xf numFmtId="0" fontId="17" fillId="38" borderId="21" xfId="0" applyFont="1" applyFill="1" applyBorder="1" applyAlignment="1">
      <alignment horizontal="center"/>
    </xf>
    <xf numFmtId="0" fontId="17" fillId="38" borderId="21" xfId="0" applyFont="1" applyFill="1" applyBorder="1" applyAlignment="1">
      <alignment horizontal="center" vertical="center"/>
    </xf>
    <xf numFmtId="0" fontId="17" fillId="38" borderId="5" xfId="0" applyFont="1" applyFill="1" applyBorder="1" applyAlignment="1">
      <alignment horizontal="center" vertical="center"/>
    </xf>
    <xf numFmtId="0" fontId="17" fillId="36" borderId="21" xfId="0" applyFont="1" applyFill="1" applyBorder="1" applyAlignment="1">
      <alignment horizontal="center" vertical="center"/>
    </xf>
    <xf numFmtId="0" fontId="17" fillId="36" borderId="5" xfId="0" applyFont="1" applyFill="1" applyBorder="1" applyAlignment="1">
      <alignment horizontal="center" vertical="center"/>
    </xf>
    <xf numFmtId="10" fontId="17" fillId="38" borderId="21" xfId="16" applyNumberFormat="1" applyFont="1" applyFill="1" applyBorder="1" applyAlignment="1">
      <alignment horizontal="center"/>
    </xf>
    <xf numFmtId="10" fontId="17" fillId="38" borderId="21" xfId="16" applyNumberFormat="1" applyFont="1" applyFill="1" applyBorder="1" applyAlignment="1">
      <alignment horizontal="center" vertical="center"/>
    </xf>
    <xf numFmtId="10" fontId="17" fillId="38" borderId="5" xfId="16" applyNumberFormat="1" applyFont="1" applyFill="1" applyBorder="1" applyAlignment="1">
      <alignment horizontal="center" vertical="center"/>
    </xf>
    <xf numFmtId="0" fontId="17" fillId="36" borderId="21" xfId="0" applyFont="1" applyFill="1" applyBorder="1" applyAlignment="1"/>
    <xf numFmtId="10" fontId="17" fillId="36" borderId="21" xfId="0" applyNumberFormat="1" applyFont="1" applyFill="1" applyBorder="1" applyAlignment="1">
      <alignment horizontal="center"/>
    </xf>
    <xf numFmtId="10" fontId="17" fillId="36" borderId="21" xfId="0" applyNumberFormat="1" applyFont="1" applyFill="1" applyBorder="1" applyAlignment="1">
      <alignment horizontal="center" vertical="center"/>
    </xf>
    <xf numFmtId="10" fontId="17" fillId="36" borderId="5" xfId="0" applyNumberFormat="1" applyFont="1" applyFill="1" applyBorder="1" applyAlignment="1">
      <alignment horizontal="center" vertical="center"/>
    </xf>
    <xf numFmtId="0" fontId="17" fillId="38" borderId="21" xfId="0" applyFont="1" applyFill="1" applyBorder="1" applyAlignment="1"/>
    <xf numFmtId="10" fontId="17" fillId="38" borderId="21" xfId="0" applyNumberFormat="1" applyFont="1" applyFill="1" applyBorder="1" applyAlignment="1">
      <alignment horizontal="center"/>
    </xf>
    <xf numFmtId="10" fontId="17" fillId="38" borderId="21" xfId="0" applyNumberFormat="1" applyFont="1" applyFill="1" applyBorder="1"/>
    <xf numFmtId="10" fontId="17" fillId="38" borderId="5" xfId="0" applyNumberFormat="1" applyFont="1" applyFill="1" applyBorder="1"/>
    <xf numFmtId="0" fontId="17" fillId="36" borderId="6" xfId="0" applyFont="1" applyFill="1" applyBorder="1"/>
    <xf numFmtId="2" fontId="17" fillId="36" borderId="6" xfId="16" applyNumberFormat="1" applyFont="1" applyFill="1" applyBorder="1" applyAlignment="1">
      <alignment horizontal="center"/>
    </xf>
    <xf numFmtId="0" fontId="15" fillId="38" borderId="65" xfId="0" applyFont="1" applyFill="1" applyBorder="1" applyAlignment="1">
      <alignment horizontal="left" vertical="center" wrapText="1"/>
    </xf>
    <xf numFmtId="0" fontId="15" fillId="38" borderId="72" xfId="0" applyFont="1" applyFill="1" applyBorder="1" applyAlignment="1">
      <alignment horizontal="center" vertical="center" wrapText="1"/>
    </xf>
    <xf numFmtId="10" fontId="17" fillId="36" borderId="5" xfId="0" applyNumberFormat="1" applyFont="1" applyFill="1" applyBorder="1" applyAlignment="1">
      <alignment horizontal="center"/>
    </xf>
    <xf numFmtId="10" fontId="17" fillId="38" borderId="5" xfId="0" applyNumberFormat="1" applyFont="1" applyFill="1" applyBorder="1" applyAlignment="1">
      <alignment horizontal="center"/>
    </xf>
    <xf numFmtId="4" fontId="49" fillId="36" borderId="5" xfId="23" applyNumberFormat="1" applyFont="1" applyFill="1" applyBorder="1" applyAlignment="1">
      <alignment horizontal="center"/>
    </xf>
    <xf numFmtId="0" fontId="17" fillId="38" borderId="4" xfId="0" applyFont="1" applyFill="1" applyBorder="1" applyAlignment="1"/>
    <xf numFmtId="0" fontId="15" fillId="38" borderId="21" xfId="0" applyFont="1" applyFill="1" applyBorder="1" applyAlignment="1">
      <alignment horizontal="left" vertical="center" wrapText="1"/>
    </xf>
    <xf numFmtId="172" fontId="17" fillId="36" borderId="21" xfId="8" applyNumberFormat="1" applyFont="1" applyFill="1" applyBorder="1" applyAlignment="1">
      <alignment horizontal="center" vertical="center"/>
    </xf>
    <xf numFmtId="10" fontId="17" fillId="36" borderId="21" xfId="8" applyNumberFormat="1" applyFont="1" applyFill="1" applyBorder="1" applyAlignment="1">
      <alignment horizontal="center" vertical="center"/>
    </xf>
    <xf numFmtId="10" fontId="17" fillId="36" borderId="5" xfId="8" applyNumberFormat="1" applyFont="1" applyFill="1" applyBorder="1" applyAlignment="1">
      <alignment horizontal="center" vertical="center"/>
    </xf>
    <xf numFmtId="10" fontId="17" fillId="38" borderId="21" xfId="8" applyNumberFormat="1" applyFont="1" applyFill="1" applyBorder="1" applyAlignment="1">
      <alignment horizontal="center" vertical="center"/>
    </xf>
    <xf numFmtId="10" fontId="17" fillId="38" borderId="5" xfId="8" applyNumberFormat="1" applyFont="1" applyFill="1" applyBorder="1" applyAlignment="1">
      <alignment horizontal="center" vertical="center"/>
    </xf>
    <xf numFmtId="10" fontId="17" fillId="36" borderId="6" xfId="8" applyNumberFormat="1" applyFont="1" applyFill="1" applyBorder="1" applyAlignment="1">
      <alignment horizontal="center" vertical="center"/>
    </xf>
    <xf numFmtId="10" fontId="17" fillId="36" borderId="1" xfId="8" applyNumberFormat="1" applyFont="1" applyFill="1" applyBorder="1" applyAlignment="1">
      <alignment horizontal="center" vertical="center"/>
    </xf>
    <xf numFmtId="0" fontId="30" fillId="37" borderId="15" xfId="0" applyFont="1" applyFill="1" applyBorder="1" applyAlignment="1">
      <alignment horizontal="left" vertical="center"/>
    </xf>
    <xf numFmtId="0" fontId="30" fillId="15" borderId="70" xfId="0" applyFont="1" applyFill="1" applyBorder="1" applyAlignment="1">
      <alignment horizontal="center"/>
    </xf>
    <xf numFmtId="0" fontId="30" fillId="15" borderId="69" xfId="0" applyFont="1" applyFill="1" applyBorder="1" applyAlignment="1">
      <alignment horizontal="center"/>
    </xf>
    <xf numFmtId="0" fontId="17" fillId="38" borderId="65" xfId="0" applyFont="1" applyFill="1" applyBorder="1" applyAlignment="1">
      <alignment horizontal="left" vertical="center"/>
    </xf>
    <xf numFmtId="175" fontId="17" fillId="38" borderId="69" xfId="23" applyNumberFormat="1" applyFont="1" applyFill="1" applyBorder="1" applyAlignment="1">
      <alignment horizontal="center" vertical="center"/>
    </xf>
    <xf numFmtId="0" fontId="17" fillId="36" borderId="74" xfId="0" applyFont="1" applyFill="1" applyBorder="1" applyAlignment="1">
      <alignment horizontal="left" vertical="center"/>
    </xf>
    <xf numFmtId="0" fontId="17" fillId="38" borderId="74" xfId="0" applyFont="1" applyFill="1" applyBorder="1" applyAlignment="1">
      <alignment horizontal="left" vertical="center"/>
    </xf>
    <xf numFmtId="0" fontId="51" fillId="37" borderId="0" xfId="0" applyFont="1" applyFill="1" applyBorder="1"/>
    <xf numFmtId="0" fontId="30" fillId="38" borderId="71" xfId="0" applyFont="1" applyFill="1" applyBorder="1"/>
    <xf numFmtId="167" fontId="30" fillId="38" borderId="69" xfId="23" applyNumberFormat="1" applyFont="1" applyFill="1" applyBorder="1" applyAlignment="1">
      <alignment horizontal="center"/>
    </xf>
    <xf numFmtId="0" fontId="17" fillId="38" borderId="60" xfId="0" applyFont="1" applyFill="1" applyBorder="1" applyAlignment="1">
      <alignment horizontal="left" vertical="center"/>
    </xf>
    <xf numFmtId="175" fontId="17" fillId="38" borderId="62" xfId="23" applyNumberFormat="1" applyFont="1" applyFill="1" applyBorder="1" applyAlignment="1">
      <alignment horizontal="center" vertical="center"/>
    </xf>
    <xf numFmtId="0" fontId="30" fillId="37" borderId="70" xfId="0" applyFont="1" applyFill="1" applyBorder="1" applyAlignment="1">
      <alignment horizontal="center"/>
    </xf>
    <xf numFmtId="0" fontId="30" fillId="37" borderId="69" xfId="0" applyFont="1" applyFill="1" applyBorder="1" applyAlignment="1">
      <alignment horizontal="center"/>
    </xf>
    <xf numFmtId="175" fontId="28" fillId="38" borderId="69" xfId="23" applyNumberFormat="1" applyFont="1" applyFill="1" applyBorder="1" applyAlignment="1">
      <alignment horizontal="center" vertical="center"/>
    </xf>
    <xf numFmtId="0" fontId="17" fillId="36" borderId="60" xfId="0" applyFont="1" applyFill="1" applyBorder="1" applyAlignment="1">
      <alignment horizontal="left" vertical="center"/>
    </xf>
    <xf numFmtId="175" fontId="17" fillId="36" borderId="62" xfId="23" applyNumberFormat="1" applyFont="1" applyFill="1" applyBorder="1" applyAlignment="1">
      <alignment horizontal="center" vertical="center"/>
    </xf>
    <xf numFmtId="4" fontId="17" fillId="40" borderId="21" xfId="25" applyNumberFormat="1" applyFont="1" applyFill="1" applyBorder="1" applyAlignment="1"/>
    <xf numFmtId="0" fontId="51" fillId="37" borderId="63" xfId="0" applyFont="1" applyFill="1" applyBorder="1" applyAlignment="1">
      <alignment horizontal="left" vertical="center"/>
    </xf>
    <xf numFmtId="0" fontId="51" fillId="37" borderId="66" xfId="0" applyFont="1" applyFill="1" applyBorder="1" applyAlignment="1">
      <alignment horizontal="center"/>
    </xf>
    <xf numFmtId="0" fontId="51" fillId="37" borderId="66" xfId="0" applyFont="1" applyFill="1" applyBorder="1" applyAlignment="1">
      <alignment horizontal="center" vertical="center"/>
    </xf>
    <xf numFmtId="168" fontId="51" fillId="37" borderId="66" xfId="23" applyNumberFormat="1" applyFont="1" applyFill="1" applyBorder="1" applyAlignment="1">
      <alignment horizontal="center"/>
    </xf>
    <xf numFmtId="168" fontId="51" fillId="37" borderId="67" xfId="23" applyNumberFormat="1" applyFont="1" applyFill="1" applyBorder="1" applyAlignment="1">
      <alignment horizontal="center"/>
    </xf>
    <xf numFmtId="0" fontId="30" fillId="38" borderId="76" xfId="0" applyFont="1" applyFill="1" applyBorder="1" applyAlignment="1">
      <alignment horizontal="left" vertical="center"/>
    </xf>
    <xf numFmtId="2" fontId="17" fillId="38" borderId="68" xfId="0" applyNumberFormat="1" applyFont="1" applyFill="1" applyBorder="1"/>
    <xf numFmtId="2" fontId="17" fillId="38" borderId="64" xfId="0" applyNumberFormat="1" applyFont="1" applyFill="1" applyBorder="1"/>
    <xf numFmtId="2" fontId="17" fillId="41" borderId="68" xfId="0" applyNumberFormat="1" applyFont="1" applyFill="1" applyBorder="1"/>
    <xf numFmtId="169" fontId="17" fillId="41" borderId="68" xfId="0" applyNumberFormat="1" applyFont="1" applyFill="1" applyBorder="1"/>
    <xf numFmtId="9" fontId="25" fillId="39" borderId="15" xfId="16" applyFont="1" applyFill="1" applyBorder="1" applyAlignment="1">
      <alignment horizontal="center"/>
    </xf>
    <xf numFmtId="9" fontId="25" fillId="34" borderId="19" xfId="16" applyFont="1" applyFill="1" applyBorder="1" applyAlignment="1">
      <alignment horizontal="center"/>
    </xf>
    <xf numFmtId="0" fontId="25" fillId="15" borderId="70" xfId="0" applyFont="1" applyFill="1" applyBorder="1" applyAlignment="1">
      <alignment horizontal="right" wrapText="1"/>
    </xf>
    <xf numFmtId="0" fontId="17" fillId="15" borderId="0" xfId="0" applyFont="1" applyFill="1" applyBorder="1" applyAlignment="1">
      <alignment horizontal="center" wrapText="1"/>
    </xf>
    <xf numFmtId="0" fontId="17" fillId="15" borderId="19" xfId="0" applyFont="1" applyFill="1" applyBorder="1" applyAlignment="1">
      <alignment horizontal="center" wrapText="1"/>
    </xf>
    <xf numFmtId="0" fontId="17" fillId="15" borderId="15" xfId="0" applyFont="1" applyFill="1" applyBorder="1" applyAlignment="1">
      <alignment horizontal="center" wrapText="1"/>
    </xf>
    <xf numFmtId="9" fontId="25" fillId="39" borderId="21" xfId="16" applyFont="1" applyFill="1" applyBorder="1" applyAlignment="1">
      <alignment horizontal="center"/>
    </xf>
    <xf numFmtId="9" fontId="25" fillId="34" borderId="22" xfId="16" applyFont="1" applyFill="1" applyBorder="1" applyAlignment="1">
      <alignment horizontal="center"/>
    </xf>
    <xf numFmtId="9" fontId="25" fillId="9" borderId="21" xfId="16" applyFont="1" applyFill="1" applyBorder="1" applyAlignment="1">
      <alignment horizontal="center"/>
    </xf>
    <xf numFmtId="9" fontId="25" fillId="7" borderId="22" xfId="16" applyFont="1" applyFill="1" applyBorder="1" applyAlignment="1">
      <alignment horizontal="center"/>
    </xf>
    <xf numFmtId="0" fontId="25" fillId="16" borderId="15" xfId="0" applyFont="1" applyFill="1" applyBorder="1"/>
    <xf numFmtId="0" fontId="25" fillId="16" borderId="20" xfId="0" applyFont="1" applyFill="1" applyBorder="1"/>
    <xf numFmtId="9" fontId="25" fillId="39" borderId="20" xfId="16" applyFont="1" applyFill="1" applyBorder="1" applyAlignment="1">
      <alignment horizontal="center"/>
    </xf>
    <xf numFmtId="9" fontId="25" fillId="34" borderId="14" xfId="16" applyFont="1" applyFill="1" applyBorder="1" applyAlignment="1">
      <alignment horizontal="center"/>
    </xf>
    <xf numFmtId="9" fontId="25" fillId="0" borderId="0" xfId="16" applyFont="1" applyFill="1" applyBorder="1" applyAlignment="1">
      <alignment horizontal="center"/>
    </xf>
    <xf numFmtId="0" fontId="25" fillId="12" borderId="6" xfId="0" applyFont="1" applyFill="1" applyBorder="1" applyAlignment="1">
      <alignment horizontal="center"/>
    </xf>
    <xf numFmtId="0" fontId="25" fillId="12" borderId="17" xfId="0" applyNumberFormat="1" applyFont="1" applyFill="1" applyBorder="1" applyAlignment="1">
      <alignment horizontal="center"/>
    </xf>
    <xf numFmtId="0" fontId="25" fillId="12" borderId="18" xfId="0" applyNumberFormat="1" applyFont="1" applyFill="1" applyBorder="1" applyAlignment="1">
      <alignment horizontal="center"/>
    </xf>
    <xf numFmtId="0" fontId="29" fillId="12" borderId="1" xfId="0" applyFont="1" applyFill="1" applyBorder="1" applyAlignment="1">
      <alignment horizontal="center"/>
    </xf>
    <xf numFmtId="0" fontId="25" fillId="15" borderId="6" xfId="0" applyFont="1" applyFill="1" applyBorder="1" applyAlignment="1">
      <alignment horizontal="center"/>
    </xf>
    <xf numFmtId="175" fontId="29" fillId="0" borderId="1" xfId="23" applyNumberFormat="1" applyFont="1" applyFill="1" applyBorder="1" applyAlignment="1">
      <alignment horizontal="center" vertical="center"/>
    </xf>
    <xf numFmtId="175" fontId="25" fillId="0" borderId="1" xfId="23" applyNumberFormat="1" applyFont="1" applyFill="1" applyBorder="1" applyAlignment="1">
      <alignment horizontal="center" vertical="center"/>
    </xf>
    <xf numFmtId="175" fontId="25" fillId="0" borderId="1" xfId="0" applyNumberFormat="1" applyFont="1" applyFill="1" applyBorder="1"/>
    <xf numFmtId="9" fontId="25" fillId="0" borderId="1" xfId="16" applyFont="1" applyFill="1" applyBorder="1"/>
    <xf numFmtId="9" fontId="29" fillId="0" borderId="1" xfId="16" applyFont="1" applyFill="1" applyBorder="1" applyAlignment="1">
      <alignment horizontal="center" vertical="center"/>
    </xf>
    <xf numFmtId="9" fontId="25" fillId="0" borderId="1" xfId="16" applyFont="1" applyFill="1" applyBorder="1" applyAlignment="1">
      <alignment horizontal="center" vertical="center"/>
    </xf>
    <xf numFmtId="0" fontId="29" fillId="12" borderId="5" xfId="0" applyFont="1" applyFill="1" applyBorder="1" applyAlignment="1">
      <alignment horizontal="center"/>
    </xf>
    <xf numFmtId="0" fontId="30" fillId="17" borderId="20" xfId="0" applyFont="1" applyFill="1" applyBorder="1" applyAlignment="1">
      <alignment horizontal="left" vertical="center"/>
    </xf>
    <xf numFmtId="0" fontId="17" fillId="17" borderId="20" xfId="0" applyFont="1" applyFill="1" applyBorder="1" applyAlignment="1">
      <alignment horizontal="left" vertical="center"/>
    </xf>
    <xf numFmtId="167" fontId="29" fillId="0" borderId="3" xfId="23" applyNumberFormat="1" applyFont="1" applyFill="1" applyBorder="1" applyAlignment="1">
      <alignment horizontal="center" vertical="center"/>
    </xf>
    <xf numFmtId="175" fontId="25" fillId="0" borderId="6" xfId="0" applyNumberFormat="1" applyFont="1" applyFill="1" applyBorder="1"/>
    <xf numFmtId="167" fontId="25" fillId="0" borderId="18" xfId="23" applyNumberFormat="1" applyFont="1" applyFill="1" applyBorder="1"/>
    <xf numFmtId="167" fontId="25" fillId="0" borderId="3" xfId="23" applyNumberFormat="1" applyFont="1" applyFill="1" applyBorder="1" applyAlignment="1">
      <alignment horizontal="center" vertical="center"/>
    </xf>
    <xf numFmtId="9" fontId="28" fillId="42" borderId="2" xfId="0" applyNumberFormat="1" applyFont="1" applyFill="1" applyBorder="1"/>
    <xf numFmtId="0" fontId="17" fillId="17" borderId="1" xfId="0" applyFont="1" applyFill="1" applyBorder="1" applyAlignment="1">
      <alignment horizontal="left" vertical="center"/>
    </xf>
    <xf numFmtId="167" fontId="29" fillId="0" borderId="1" xfId="23" applyNumberFormat="1" applyFont="1" applyFill="1" applyBorder="1" applyAlignment="1">
      <alignment horizontal="center" vertical="center"/>
    </xf>
    <xf numFmtId="167" fontId="25" fillId="0" borderId="1" xfId="23" applyNumberFormat="1" applyFont="1" applyFill="1" applyBorder="1" applyAlignment="1">
      <alignment horizontal="center" vertical="center"/>
    </xf>
    <xf numFmtId="175" fontId="25" fillId="15" borderId="3" xfId="23" applyNumberFormat="1" applyFont="1" applyFill="1" applyBorder="1" applyAlignment="1">
      <alignment horizontal="center" vertical="center"/>
    </xf>
    <xf numFmtId="165" fontId="29" fillId="0" borderId="1" xfId="23" applyFont="1" applyFill="1" applyBorder="1" applyAlignment="1">
      <alignment horizontal="center" vertical="center"/>
    </xf>
    <xf numFmtId="165" fontId="25" fillId="0" borderId="1" xfId="23" applyFont="1" applyFill="1" applyBorder="1"/>
    <xf numFmtId="165" fontId="25" fillId="0" borderId="1" xfId="23" applyFont="1" applyFill="1" applyBorder="1" applyAlignment="1">
      <alignment horizontal="center" vertical="center"/>
    </xf>
    <xf numFmtId="9" fontId="25" fillId="42" borderId="2" xfId="16" applyFont="1" applyFill="1" applyBorder="1" applyAlignment="1">
      <alignment horizontal="center" vertical="center"/>
    </xf>
    <xf numFmtId="165" fontId="29" fillId="0" borderId="3" xfId="23" applyFont="1" applyFill="1" applyBorder="1" applyAlignment="1">
      <alignment horizontal="center" vertical="center"/>
    </xf>
    <xf numFmtId="0" fontId="8" fillId="34" borderId="19" xfId="0" applyFont="1" applyFill="1" applyBorder="1" applyAlignment="1">
      <alignment horizontal="center" vertical="center"/>
    </xf>
    <xf numFmtId="0" fontId="0" fillId="34" borderId="19" xfId="0" applyFill="1" applyBorder="1" applyAlignment="1">
      <alignment horizontal="center" vertical="center"/>
    </xf>
    <xf numFmtId="0" fontId="8" fillId="34" borderId="14" xfId="0" applyFon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0" fontId="0" fillId="0" borderId="3" xfId="0" applyNumberFormat="1" applyFill="1" applyBorder="1" applyAlignment="1">
      <alignment horizontal="center" vertical="center"/>
    </xf>
    <xf numFmtId="175" fontId="29" fillId="0" borderId="3" xfId="23" applyNumberFormat="1" applyFont="1" applyFill="1" applyBorder="1" applyAlignment="1">
      <alignment horizontal="center" vertical="center"/>
    </xf>
    <xf numFmtId="177" fontId="25" fillId="0" borderId="1" xfId="23" applyNumberFormat="1" applyFont="1" applyFill="1" applyBorder="1"/>
    <xf numFmtId="0" fontId="17" fillId="15" borderId="6" xfId="25" applyFont="1" applyFill="1" applyBorder="1" applyAlignment="1">
      <alignment horizontal="left" vertical="center"/>
    </xf>
    <xf numFmtId="0" fontId="17" fillId="15" borderId="1" xfId="25" applyFont="1" applyFill="1" applyBorder="1" applyAlignment="1">
      <alignment horizontal="left" vertical="center"/>
    </xf>
    <xf numFmtId="167" fontId="29" fillId="15" borderId="1" xfId="23" applyNumberFormat="1" applyFont="1" applyFill="1" applyBorder="1" applyAlignment="1">
      <alignment horizontal="center" vertical="center"/>
    </xf>
    <xf numFmtId="0" fontId="17" fillId="34" borderId="1" xfId="25" applyFont="1" applyFill="1" applyBorder="1" applyAlignment="1">
      <alignment horizontal="left" vertical="center"/>
    </xf>
    <xf numFmtId="168" fontId="25" fillId="0" borderId="1" xfId="23" applyNumberFormat="1" applyFont="1" applyFill="1" applyBorder="1" applyAlignment="1">
      <alignment horizontal="center" vertical="center"/>
    </xf>
    <xf numFmtId="9" fontId="28" fillId="42" borderId="77" xfId="16" applyFont="1" applyFill="1" applyBorder="1"/>
    <xf numFmtId="43" fontId="25" fillId="0" borderId="0" xfId="0" applyNumberFormat="1" applyFont="1"/>
    <xf numFmtId="4" fontId="17" fillId="38" borderId="21" xfId="0" applyNumberFormat="1" applyFont="1" applyFill="1" applyBorder="1" applyAlignment="1">
      <alignment horizontal="center" vertical="center"/>
    </xf>
    <xf numFmtId="0" fontId="17" fillId="36" borderId="74" xfId="0" applyFont="1" applyFill="1" applyBorder="1" applyAlignment="1">
      <alignment horizontal="center" vertical="center"/>
    </xf>
    <xf numFmtId="4" fontId="17" fillId="36" borderId="74" xfId="0" applyNumberFormat="1" applyFont="1" applyFill="1" applyBorder="1" applyAlignment="1">
      <alignment horizontal="center" vertical="center"/>
    </xf>
    <xf numFmtId="4" fontId="17" fillId="36" borderId="61" xfId="0" applyNumberFormat="1" applyFont="1" applyFill="1" applyBorder="1" applyAlignment="1">
      <alignment horizontal="center" vertical="center"/>
    </xf>
    <xf numFmtId="0" fontId="17" fillId="38" borderId="74" xfId="0" applyFont="1" applyFill="1" applyBorder="1" applyAlignment="1">
      <alignment horizontal="center" vertical="center"/>
    </xf>
    <xf numFmtId="4" fontId="17" fillId="38" borderId="74" xfId="0" applyNumberFormat="1" applyFont="1" applyFill="1" applyBorder="1" applyAlignment="1">
      <alignment horizontal="center" vertical="center"/>
    </xf>
    <xf numFmtId="4" fontId="17" fillId="38" borderId="61" xfId="0" applyNumberFormat="1" applyFont="1" applyFill="1" applyBorder="1" applyAlignment="1">
      <alignment horizontal="center" vertical="center"/>
    </xf>
    <xf numFmtId="0" fontId="17" fillId="36" borderId="61" xfId="0" applyFont="1" applyFill="1" applyBorder="1" applyAlignment="1">
      <alignment horizontal="center" vertical="center"/>
    </xf>
    <xf numFmtId="0" fontId="17" fillId="38" borderId="61" xfId="0" applyFont="1" applyFill="1" applyBorder="1" applyAlignment="1">
      <alignment horizontal="center" vertical="center"/>
    </xf>
    <xf numFmtId="0" fontId="17" fillId="36" borderId="79" xfId="0" applyFont="1" applyFill="1" applyBorder="1" applyAlignment="1">
      <alignment horizontal="left" vertical="center"/>
    </xf>
    <xf numFmtId="175" fontId="17" fillId="36" borderId="78" xfId="23" applyNumberFormat="1" applyFont="1" applyFill="1" applyBorder="1" applyAlignment="1">
      <alignment horizontal="center" vertical="center"/>
    </xf>
    <xf numFmtId="0" fontId="51" fillId="37" borderId="63" xfId="0" applyFont="1" applyFill="1" applyBorder="1" applyAlignment="1">
      <alignment horizontal="center" vertical="center"/>
    </xf>
    <xf numFmtId="0" fontId="51" fillId="37" borderId="80" xfId="0" applyFont="1" applyFill="1" applyBorder="1" applyAlignment="1">
      <alignment horizontal="center" vertical="center"/>
    </xf>
    <xf numFmtId="0" fontId="17" fillId="38" borderId="81" xfId="0" applyFont="1" applyFill="1" applyBorder="1" applyAlignment="1">
      <alignment horizontal="center" vertical="center"/>
    </xf>
    <xf numFmtId="0" fontId="17" fillId="36" borderId="82" xfId="0" applyFont="1" applyFill="1" applyBorder="1" applyAlignment="1">
      <alignment horizontal="center" vertical="center"/>
    </xf>
    <xf numFmtId="0" fontId="17" fillId="38" borderId="82" xfId="0" applyFont="1" applyFill="1" applyBorder="1" applyAlignment="1">
      <alignment horizontal="center" vertical="center"/>
    </xf>
    <xf numFmtId="0" fontId="17" fillId="36" borderId="83" xfId="0" applyFont="1" applyFill="1" applyBorder="1" applyAlignment="1">
      <alignment horizontal="center" vertical="center"/>
    </xf>
    <xf numFmtId="169" fontId="17" fillId="36" borderId="79" xfId="0" applyNumberFormat="1" applyFont="1" applyFill="1" applyBorder="1" applyAlignment="1">
      <alignment horizontal="center" vertical="center"/>
    </xf>
    <xf numFmtId="169" fontId="17" fillId="36" borderId="78" xfId="0" applyNumberFormat="1" applyFont="1" applyFill="1" applyBorder="1" applyAlignment="1">
      <alignment horizontal="center" vertical="center"/>
    </xf>
    <xf numFmtId="0" fontId="22" fillId="15" borderId="1" xfId="25" applyFont="1" applyFill="1" applyBorder="1" applyAlignment="1">
      <alignment horizontal="center" vertical="center"/>
    </xf>
    <xf numFmtId="0" fontId="23" fillId="34" borderId="1" xfId="25" applyFont="1" applyFill="1" applyBorder="1" applyAlignment="1">
      <alignment horizontal="center" vertical="center"/>
    </xf>
    <xf numFmtId="4" fontId="23" fillId="34" borderId="1" xfId="25" applyNumberFormat="1" applyFont="1" applyFill="1" applyBorder="1" applyAlignment="1">
      <alignment horizontal="center" vertical="center"/>
    </xf>
    <xf numFmtId="4" fontId="18" fillId="34" borderId="1" xfId="25" applyNumberFormat="1" applyFont="1" applyFill="1" applyBorder="1" applyAlignment="1">
      <alignment horizontal="center" vertical="center"/>
    </xf>
    <xf numFmtId="0" fontId="6" fillId="34" borderId="1" xfId="0" applyFont="1" applyFill="1" applyBorder="1" applyAlignment="1">
      <alignment horizontal="center" vertical="center"/>
    </xf>
    <xf numFmtId="0" fontId="0" fillId="34" borderId="1" xfId="0" applyFill="1" applyBorder="1" applyAlignment="1">
      <alignment horizontal="center" vertical="center"/>
    </xf>
    <xf numFmtId="0" fontId="24" fillId="34" borderId="1" xfId="25" applyFont="1" applyFill="1" applyBorder="1" applyAlignment="1">
      <alignment horizontal="center" vertical="center"/>
    </xf>
    <xf numFmtId="0" fontId="23" fillId="34" borderId="1" xfId="26" applyFont="1" applyFill="1" applyBorder="1" applyAlignment="1">
      <alignment horizontal="center" vertical="center"/>
    </xf>
    <xf numFmtId="4" fontId="18" fillId="0" borderId="1" xfId="25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" fontId="23" fillId="0" borderId="1" xfId="25" applyNumberFormat="1" applyFont="1" applyFill="1" applyBorder="1" applyAlignment="1">
      <alignment horizontal="center" vertical="center"/>
    </xf>
    <xf numFmtId="0" fontId="18" fillId="34" borderId="1" xfId="25" applyFont="1" applyFill="1" applyBorder="1" applyAlignment="1">
      <alignment horizontal="center" vertical="center"/>
    </xf>
    <xf numFmtId="175" fontId="27" fillId="12" borderId="53" xfId="23" applyNumberFormat="1" applyFont="1" applyFill="1" applyBorder="1" applyAlignment="1">
      <alignment vertical="center"/>
    </xf>
    <xf numFmtId="175" fontId="27" fillId="12" borderId="54" xfId="23" applyNumberFormat="1" applyFont="1" applyFill="1" applyBorder="1" applyAlignment="1">
      <alignment vertical="center"/>
    </xf>
    <xf numFmtId="175" fontId="27" fillId="12" borderId="55" xfId="23" applyNumberFormat="1" applyFont="1" applyFill="1" applyBorder="1" applyAlignment="1">
      <alignment vertical="center"/>
    </xf>
    <xf numFmtId="168" fontId="25" fillId="3" borderId="0" xfId="25" applyNumberFormat="1" applyFont="1" applyFill="1" applyBorder="1"/>
    <xf numFmtId="168" fontId="25" fillId="0" borderId="0" xfId="25" applyNumberFormat="1" applyFont="1"/>
    <xf numFmtId="168" fontId="29" fillId="15" borderId="1" xfId="23" applyNumberFormat="1" applyFont="1" applyFill="1" applyBorder="1" applyAlignment="1">
      <alignment horizontal="center" vertical="center"/>
    </xf>
    <xf numFmtId="0" fontId="6" fillId="3" borderId="0" xfId="25" applyFill="1"/>
    <xf numFmtId="0" fontId="25" fillId="15" borderId="17" xfId="25" applyNumberFormat="1" applyFont="1" applyFill="1" applyBorder="1" applyAlignment="1">
      <alignment horizontal="center"/>
    </xf>
    <xf numFmtId="0" fontId="29" fillId="15" borderId="18" xfId="25" applyNumberFormat="1" applyFont="1" applyFill="1" applyBorder="1" applyAlignment="1">
      <alignment horizontal="center"/>
    </xf>
    <xf numFmtId="0" fontId="25" fillId="15" borderId="18" xfId="25" applyNumberFormat="1" applyFont="1" applyFill="1" applyBorder="1" applyAlignment="1">
      <alignment horizontal="center"/>
    </xf>
    <xf numFmtId="0" fontId="48" fillId="34" borderId="6" xfId="25" applyFont="1" applyFill="1" applyBorder="1" applyAlignment="1">
      <alignment vertical="center"/>
    </xf>
    <xf numFmtId="9" fontId="29" fillId="0" borderId="1" xfId="25" applyNumberFormat="1" applyFont="1" applyFill="1" applyBorder="1"/>
    <xf numFmtId="175" fontId="29" fillId="0" borderId="6" xfId="25" applyNumberFormat="1" applyFont="1" applyFill="1" applyBorder="1"/>
    <xf numFmtId="167" fontId="57" fillId="0" borderId="1" xfId="23" applyNumberFormat="1" applyFont="1" applyFill="1" applyBorder="1"/>
    <xf numFmtId="9" fontId="28" fillId="9" borderId="1" xfId="25" applyNumberFormat="1" applyFont="1" applyFill="1" applyBorder="1"/>
    <xf numFmtId="175" fontId="25" fillId="0" borderId="6" xfId="25" applyNumberFormat="1" applyFont="1" applyFill="1" applyBorder="1"/>
    <xf numFmtId="9" fontId="28" fillId="9" borderId="1" xfId="16" applyFont="1" applyFill="1" applyBorder="1"/>
    <xf numFmtId="0" fontId="13" fillId="0" borderId="0" xfId="5" applyFill="1" applyBorder="1" applyAlignment="1" applyProtection="1">
      <alignment horizontal="center" vertical="center"/>
    </xf>
    <xf numFmtId="167" fontId="29" fillId="0" borderId="1" xfId="23" applyNumberFormat="1" applyFont="1" applyFill="1" applyBorder="1"/>
    <xf numFmtId="167" fontId="37" fillId="0" borderId="3" xfId="23" applyNumberFormat="1" applyFont="1" applyFill="1" applyBorder="1" applyAlignment="1">
      <alignment horizontal="center" vertical="center"/>
    </xf>
    <xf numFmtId="175" fontId="37" fillId="0" borderId="6" xfId="25" applyNumberFormat="1" applyFont="1" applyFill="1" applyBorder="1"/>
    <xf numFmtId="167" fontId="37" fillId="0" borderId="1" xfId="23" applyNumberFormat="1" applyFont="1" applyFill="1" applyBorder="1"/>
    <xf numFmtId="0" fontId="15" fillId="3" borderId="0" xfId="25" applyFont="1" applyFill="1" applyBorder="1" applyAlignment="1"/>
    <xf numFmtId="0" fontId="6" fillId="3" borderId="0" xfId="25" applyFont="1" applyFill="1" applyAlignment="1">
      <alignment horizontal="center" vertical="center"/>
    </xf>
    <xf numFmtId="0" fontId="6" fillId="3" borderId="0" xfId="25" applyFont="1" applyFill="1"/>
    <xf numFmtId="0" fontId="59" fillId="6" borderId="0" xfId="25" applyFont="1" applyFill="1" applyAlignment="1">
      <alignment horizontal="center" vertical="center" wrapText="1"/>
    </xf>
    <xf numFmtId="0" fontId="59" fillId="6" borderId="0" xfId="25" applyFont="1" applyFill="1" applyAlignment="1">
      <alignment horizontal="center" vertical="center"/>
    </xf>
    <xf numFmtId="0" fontId="6" fillId="5" borderId="0" xfId="25" applyFill="1"/>
    <xf numFmtId="3" fontId="6" fillId="5" borderId="0" xfId="25" applyNumberFormat="1" applyFill="1" applyAlignment="1">
      <alignment horizontal="center" vertical="center"/>
    </xf>
    <xf numFmtId="4" fontId="6" fillId="5" borderId="0" xfId="25" applyNumberFormat="1" applyFill="1" applyAlignment="1">
      <alignment horizontal="center" vertical="center"/>
    </xf>
    <xf numFmtId="0" fontId="6" fillId="3" borderId="0" xfId="25" applyFill="1" applyAlignment="1">
      <alignment horizontal="center"/>
    </xf>
    <xf numFmtId="0" fontId="6" fillId="5" borderId="0" xfId="25" applyFill="1" applyBorder="1" applyAlignment="1">
      <alignment horizontal="center"/>
    </xf>
    <xf numFmtId="175" fontId="6" fillId="3" borderId="0" xfId="25" applyNumberFormat="1" applyFill="1"/>
    <xf numFmtId="167" fontId="6" fillId="3" borderId="0" xfId="25" applyNumberFormat="1" applyFill="1"/>
    <xf numFmtId="0" fontId="6" fillId="5" borderId="0" xfId="25" applyFont="1" applyFill="1" applyBorder="1" applyAlignment="1">
      <alignment horizontal="center"/>
    </xf>
    <xf numFmtId="0" fontId="61" fillId="5" borderId="0" xfId="25" applyFont="1" applyFill="1"/>
    <xf numFmtId="4" fontId="61" fillId="5" borderId="0" xfId="25" applyNumberFormat="1" applyFont="1" applyFill="1" applyAlignment="1">
      <alignment horizontal="center" vertical="center"/>
    </xf>
    <xf numFmtId="167" fontId="6" fillId="3" borderId="0" xfId="23" applyNumberFormat="1" applyFill="1"/>
    <xf numFmtId="165" fontId="6" fillId="3" borderId="0" xfId="23" applyFill="1"/>
    <xf numFmtId="0" fontId="62" fillId="8" borderId="0" xfId="25" applyFont="1" applyFill="1"/>
    <xf numFmtId="0" fontId="61" fillId="5" borderId="0" xfId="25" applyFont="1" applyFill="1" applyAlignment="1">
      <alignment horizontal="center"/>
    </xf>
    <xf numFmtId="3" fontId="61" fillId="5" borderId="0" xfId="25" applyNumberFormat="1" applyFont="1" applyFill="1" applyAlignment="1">
      <alignment horizontal="center" vertical="center"/>
    </xf>
    <xf numFmtId="1" fontId="6" fillId="3" borderId="0" xfId="25" applyNumberFormat="1" applyFill="1"/>
    <xf numFmtId="4" fontId="6" fillId="3" borderId="0" xfId="25" applyNumberFormat="1" applyFill="1" applyAlignment="1">
      <alignment horizontal="center" vertical="center"/>
    </xf>
    <xf numFmtId="10" fontId="6" fillId="3" borderId="0" xfId="16" applyNumberFormat="1" applyFill="1" applyAlignment="1">
      <alignment horizontal="center" vertical="center"/>
    </xf>
    <xf numFmtId="0" fontId="6" fillId="3" borderId="0" xfId="25" applyFill="1" applyAlignment="1">
      <alignment horizontal="center" vertical="center"/>
    </xf>
    <xf numFmtId="0" fontId="63" fillId="6" borderId="0" xfId="25" applyFont="1" applyFill="1" applyAlignment="1">
      <alignment horizontal="center" vertical="center"/>
    </xf>
    <xf numFmtId="0" fontId="6" fillId="6" borderId="0" xfId="25" applyFill="1" applyBorder="1" applyAlignment="1">
      <alignment horizontal="center"/>
    </xf>
    <xf numFmtId="0" fontId="6" fillId="6" borderId="0" xfId="25" applyFont="1" applyFill="1" applyBorder="1" applyAlignment="1">
      <alignment horizontal="center"/>
    </xf>
    <xf numFmtId="0" fontId="6" fillId="3" borderId="0" xfId="25" applyFill="1" applyAlignment="1">
      <alignment horizontal="right" vertical="center"/>
    </xf>
    <xf numFmtId="0" fontId="6" fillId="6" borderId="0" xfId="25" applyFill="1" applyAlignment="1">
      <alignment horizontal="center" vertical="center"/>
    </xf>
    <xf numFmtId="4" fontId="6" fillId="5" borderId="0" xfId="25" applyNumberFormat="1" applyFont="1" applyFill="1" applyAlignment="1">
      <alignment horizontal="center" vertical="center"/>
    </xf>
    <xf numFmtId="4" fontId="14" fillId="5" borderId="0" xfId="25" applyNumberFormat="1" applyFont="1" applyFill="1" applyBorder="1" applyAlignment="1">
      <alignment horizontal="center" vertical="center"/>
    </xf>
    <xf numFmtId="4" fontId="18" fillId="3" borderId="0" xfId="25" applyNumberFormat="1" applyFont="1" applyFill="1" applyBorder="1" applyAlignment="1">
      <alignment horizontal="center" vertical="center"/>
    </xf>
    <xf numFmtId="4" fontId="6" fillId="5" borderId="0" xfId="25" applyNumberFormat="1" applyFont="1" applyFill="1" applyBorder="1" applyAlignment="1">
      <alignment horizontal="center" vertical="center"/>
    </xf>
    <xf numFmtId="4" fontId="6" fillId="3" borderId="0" xfId="25" applyNumberFormat="1" applyFill="1" applyBorder="1" applyAlignment="1">
      <alignment horizontal="center" vertical="center"/>
    </xf>
    <xf numFmtId="0" fontId="6" fillId="6" borderId="0" xfId="25" applyFill="1"/>
    <xf numFmtId="0" fontId="6" fillId="8" borderId="0" xfId="25" applyFont="1" applyFill="1"/>
    <xf numFmtId="2" fontId="6" fillId="8" borderId="0" xfId="25" applyNumberFormat="1" applyFont="1" applyFill="1" applyAlignment="1">
      <alignment horizontal="center" vertical="center"/>
    </xf>
    <xf numFmtId="2" fontId="6" fillId="3" borderId="0" xfId="25" applyNumberFormat="1" applyFill="1" applyAlignment="1">
      <alignment horizontal="center" vertical="center"/>
    </xf>
    <xf numFmtId="0" fontId="6" fillId="3" borderId="0" xfId="25" applyFill="1" applyBorder="1" applyAlignment="1">
      <alignment horizontal="center" vertical="center"/>
    </xf>
    <xf numFmtId="4" fontId="14" fillId="5" borderId="0" xfId="25" applyNumberFormat="1" applyFont="1" applyFill="1" applyAlignment="1">
      <alignment horizontal="center" vertical="center"/>
    </xf>
    <xf numFmtId="4" fontId="18" fillId="3" borderId="0" xfId="25" applyNumberFormat="1" applyFont="1" applyFill="1" applyAlignment="1">
      <alignment horizontal="center" vertical="center"/>
    </xf>
    <xf numFmtId="0" fontId="18" fillId="3" borderId="0" xfId="25" applyFont="1" applyFill="1" applyAlignment="1">
      <alignment horizontal="center" vertical="center"/>
    </xf>
    <xf numFmtId="4" fontId="62" fillId="5" borderId="0" xfId="25" applyNumberFormat="1" applyFont="1" applyFill="1" applyAlignment="1">
      <alignment horizontal="center" vertical="center"/>
    </xf>
    <xf numFmtId="0" fontId="59" fillId="8" borderId="0" xfId="25" applyFont="1" applyFill="1" applyAlignment="1">
      <alignment horizontal="center" vertical="center"/>
    </xf>
    <xf numFmtId="4" fontId="6" fillId="8" borderId="0" xfId="25" applyNumberFormat="1" applyFont="1" applyFill="1" applyAlignment="1">
      <alignment horizontal="center" vertical="center"/>
    </xf>
    <xf numFmtId="0" fontId="1" fillId="0" borderId="2" xfId="25" applyFont="1" applyFill="1" applyBorder="1" applyAlignment="1">
      <alignment horizontal="center" vertical="center"/>
    </xf>
    <xf numFmtId="0" fontId="59" fillId="6" borderId="20" xfId="25" applyFont="1" applyFill="1" applyBorder="1" applyAlignment="1">
      <alignment horizontal="center" vertical="center"/>
    </xf>
    <xf numFmtId="0" fontId="59" fillId="6" borderId="14" xfId="25" applyFont="1" applyFill="1" applyBorder="1" applyAlignment="1">
      <alignment horizontal="center" vertical="center"/>
    </xf>
    <xf numFmtId="0" fontId="59" fillId="0" borderId="0" xfId="25" applyFont="1" applyFill="1" applyBorder="1" applyAlignment="1">
      <alignment horizontal="center" vertical="center"/>
    </xf>
    <xf numFmtId="3" fontId="6" fillId="3" borderId="0" xfId="25" applyNumberFormat="1" applyFill="1"/>
    <xf numFmtId="0" fontId="6" fillId="5" borderId="1" xfId="25" applyFill="1" applyBorder="1"/>
    <xf numFmtId="4" fontId="6" fillId="5" borderId="1" xfId="25" applyNumberFormat="1" applyFill="1" applyBorder="1" applyAlignment="1">
      <alignment horizontal="center" vertical="center"/>
    </xf>
    <xf numFmtId="4" fontId="6" fillId="0" borderId="0" xfId="25" applyNumberFormat="1" applyFill="1" applyBorder="1" applyAlignment="1">
      <alignment horizontal="center" vertical="center"/>
    </xf>
    <xf numFmtId="3" fontId="6" fillId="0" borderId="0" xfId="25" applyNumberFormat="1" applyFill="1" applyBorder="1" applyAlignment="1">
      <alignment horizontal="right" vertical="center"/>
    </xf>
    <xf numFmtId="179" fontId="6" fillId="0" borderId="0" xfId="25" applyNumberFormat="1" applyFill="1"/>
    <xf numFmtId="0" fontId="6" fillId="5" borderId="1" xfId="25" applyFont="1" applyFill="1" applyBorder="1"/>
    <xf numFmtId="167" fontId="6" fillId="0" borderId="0" xfId="25" applyNumberFormat="1" applyFill="1"/>
    <xf numFmtId="0" fontId="6" fillId="5" borderId="0" xfId="25" applyFont="1" applyFill="1" applyBorder="1"/>
    <xf numFmtId="4" fontId="6" fillId="5" borderId="0" xfId="25" applyNumberFormat="1" applyFill="1" applyBorder="1" applyAlignment="1">
      <alignment horizontal="center" vertical="center"/>
    </xf>
    <xf numFmtId="9" fontId="6" fillId="5" borderId="0" xfId="16" applyFill="1" applyBorder="1" applyAlignment="1">
      <alignment horizontal="center" vertical="center"/>
    </xf>
    <xf numFmtId="0" fontId="6" fillId="0" borderId="0" xfId="25" applyFill="1"/>
    <xf numFmtId="4" fontId="6" fillId="3" borderId="0" xfId="25" applyNumberFormat="1" applyFill="1"/>
    <xf numFmtId="0" fontId="6" fillId="5" borderId="15" xfId="25" applyFill="1" applyBorder="1" applyAlignment="1">
      <alignment horizontal="center"/>
    </xf>
    <xf numFmtId="4" fontId="6" fillId="5" borderId="22" xfId="25" applyNumberFormat="1" applyFill="1" applyBorder="1" applyAlignment="1">
      <alignment horizontal="center" vertical="center"/>
    </xf>
    <xf numFmtId="180" fontId="6" fillId="3" borderId="0" xfId="25" applyNumberFormat="1" applyFill="1" applyAlignment="1">
      <alignment horizontal="center"/>
    </xf>
    <xf numFmtId="181" fontId="6" fillId="3" borderId="0" xfId="23" applyNumberFormat="1" applyFill="1"/>
    <xf numFmtId="0" fontId="6" fillId="5" borderId="15" xfId="25" applyFont="1" applyFill="1" applyBorder="1" applyAlignment="1">
      <alignment horizontal="center"/>
    </xf>
    <xf numFmtId="4" fontId="6" fillId="5" borderId="19" xfId="25" applyNumberFormat="1" applyFill="1" applyBorder="1" applyAlignment="1">
      <alignment horizontal="center" vertical="center"/>
    </xf>
    <xf numFmtId="0" fontId="6" fillId="3" borderId="0" xfId="25" applyFill="1" applyBorder="1"/>
    <xf numFmtId="0" fontId="6" fillId="5" borderId="20" xfId="25" applyFont="1" applyFill="1" applyBorder="1" applyAlignment="1">
      <alignment horizontal="center" vertical="center"/>
    </xf>
    <xf numFmtId="4" fontId="6" fillId="5" borderId="3" xfId="25" applyNumberFormat="1" applyFill="1" applyBorder="1" applyAlignment="1">
      <alignment horizontal="center" vertical="center"/>
    </xf>
    <xf numFmtId="4" fontId="6" fillId="5" borderId="3" xfId="25" applyNumberFormat="1" applyFont="1" applyFill="1" applyBorder="1" applyAlignment="1">
      <alignment horizontal="center"/>
    </xf>
    <xf numFmtId="4" fontId="6" fillId="5" borderId="14" xfId="25" applyNumberFormat="1" applyFill="1" applyBorder="1" applyAlignment="1">
      <alignment horizontal="center" vertical="center"/>
    </xf>
    <xf numFmtId="2" fontId="6" fillId="3" borderId="0" xfId="25" applyNumberFormat="1" applyFill="1"/>
    <xf numFmtId="167" fontId="6" fillId="3" borderId="0" xfId="16" applyNumberFormat="1" applyFill="1"/>
    <xf numFmtId="167" fontId="6" fillId="0" borderId="0" xfId="16" applyNumberFormat="1" applyFill="1"/>
    <xf numFmtId="9" fontId="6" fillId="3" borderId="0" xfId="16" applyNumberFormat="1" applyFill="1" applyBorder="1" applyAlignment="1">
      <alignment horizontal="center"/>
    </xf>
    <xf numFmtId="9" fontId="6" fillId="3" borderId="0" xfId="16" applyFill="1"/>
    <xf numFmtId="0" fontId="61" fillId="6" borderId="8" xfId="25" applyFont="1" applyFill="1" applyBorder="1" applyAlignment="1">
      <alignment horizontal="center" vertical="center"/>
    </xf>
    <xf numFmtId="0" fontId="61" fillId="6" borderId="10" xfId="25" applyFont="1" applyFill="1" applyBorder="1" applyAlignment="1">
      <alignment horizontal="center" vertical="center"/>
    </xf>
    <xf numFmtId="9" fontId="0" fillId="5" borderId="11" xfId="16" applyFont="1" applyFill="1" applyBorder="1" applyAlignment="1">
      <alignment horizontal="center" vertical="center"/>
    </xf>
    <xf numFmtId="9" fontId="6" fillId="5" borderId="13" xfId="16" applyFont="1" applyFill="1" applyBorder="1" applyAlignment="1">
      <alignment horizontal="center" vertical="center"/>
    </xf>
    <xf numFmtId="4" fontId="6" fillId="5" borderId="58" xfId="25" applyNumberFormat="1" applyFill="1" applyBorder="1" applyAlignment="1">
      <alignment horizontal="center" vertical="center"/>
    </xf>
    <xf numFmtId="10" fontId="6" fillId="3" borderId="0" xfId="16" applyNumberFormat="1" applyFill="1"/>
    <xf numFmtId="0" fontId="61" fillId="3" borderId="0" xfId="25" applyFont="1" applyFill="1"/>
    <xf numFmtId="9" fontId="6" fillId="3" borderId="0" xfId="25" applyNumberFormat="1" applyFill="1" applyAlignment="1">
      <alignment horizontal="center" vertical="center"/>
    </xf>
    <xf numFmtId="0" fontId="61" fillId="6" borderId="0" xfId="25" applyFont="1" applyFill="1" applyAlignment="1">
      <alignment horizontal="center" vertical="center"/>
    </xf>
    <xf numFmtId="0" fontId="58" fillId="6" borderId="0" xfId="25" applyFont="1" applyFill="1" applyAlignment="1">
      <alignment horizontal="center" vertical="center"/>
    </xf>
    <xf numFmtId="0" fontId="65" fillId="3" borderId="0" xfId="25" applyFont="1" applyFill="1" applyBorder="1" applyAlignment="1">
      <alignment horizontal="center"/>
    </xf>
    <xf numFmtId="2" fontId="6" fillId="3" borderId="0" xfId="25" applyNumberFormat="1" applyFill="1" applyBorder="1" applyAlignment="1">
      <alignment vertical="center" wrapText="1"/>
    </xf>
    <xf numFmtId="4" fontId="6" fillId="3" borderId="0" xfId="25" applyNumberFormat="1" applyFont="1" applyFill="1" applyBorder="1" applyAlignment="1">
      <alignment horizontal="center" vertical="center"/>
    </xf>
    <xf numFmtId="0" fontId="6" fillId="3" borderId="0" xfId="25" applyFont="1" applyFill="1" applyBorder="1" applyAlignment="1">
      <alignment horizontal="center" vertical="center"/>
    </xf>
    <xf numFmtId="0" fontId="58" fillId="6" borderId="0" xfId="25" applyFont="1" applyFill="1" applyBorder="1" applyAlignment="1">
      <alignment horizontal="center" vertical="center"/>
    </xf>
    <xf numFmtId="4" fontId="6" fillId="8" borderId="0" xfId="25" applyNumberFormat="1" applyFill="1" applyAlignment="1">
      <alignment horizontal="center" vertical="center"/>
    </xf>
    <xf numFmtId="0" fontId="61" fillId="3" borderId="0" xfId="25" applyFont="1" applyFill="1" applyAlignment="1">
      <alignment horizontal="center" vertical="center"/>
    </xf>
    <xf numFmtId="4" fontId="61" fillId="3" borderId="0" xfId="25" applyNumberFormat="1" applyFont="1" applyFill="1" applyBorder="1" applyAlignment="1">
      <alignment horizontal="center" vertical="center"/>
    </xf>
    <xf numFmtId="0" fontId="29" fillId="15" borderId="17" xfId="25" applyNumberFormat="1" applyFont="1" applyFill="1" applyBorder="1" applyAlignment="1">
      <alignment horizontal="center"/>
    </xf>
    <xf numFmtId="0" fontId="29" fillId="3" borderId="0" xfId="25" applyFont="1" applyFill="1" applyBorder="1" applyAlignment="1">
      <alignment horizontal="center"/>
    </xf>
    <xf numFmtId="0" fontId="6" fillId="3" borderId="0" xfId="25" applyFill="1" applyBorder="1" applyAlignment="1">
      <alignment horizontal="center"/>
    </xf>
    <xf numFmtId="175" fontId="29" fillId="0" borderId="7" xfId="23" applyNumberFormat="1" applyFont="1" applyFill="1" applyBorder="1" applyAlignment="1">
      <alignment horizontal="center" vertical="center"/>
    </xf>
    <xf numFmtId="9" fontId="25" fillId="3" borderId="0" xfId="16" applyFont="1" applyFill="1" applyBorder="1"/>
    <xf numFmtId="167" fontId="25" fillId="3" borderId="0" xfId="23" applyNumberFormat="1" applyFont="1" applyFill="1" applyBorder="1"/>
    <xf numFmtId="4" fontId="6" fillId="3" borderId="0" xfId="25" applyNumberFormat="1" applyFill="1" applyBorder="1"/>
    <xf numFmtId="175" fontId="25" fillId="3" borderId="0" xfId="25" applyNumberFormat="1" applyFont="1" applyFill="1" applyBorder="1"/>
    <xf numFmtId="175" fontId="25" fillId="0" borderId="0" xfId="23" applyNumberFormat="1" applyFont="1" applyFill="1" applyBorder="1" applyAlignment="1">
      <alignment vertical="center"/>
    </xf>
    <xf numFmtId="169" fontId="6" fillId="3" borderId="0" xfId="25" applyNumberFormat="1" applyFill="1"/>
    <xf numFmtId="10" fontId="6" fillId="3" borderId="0" xfId="16" applyNumberFormat="1" applyFill="1" applyAlignment="1">
      <alignment horizontal="center"/>
    </xf>
    <xf numFmtId="10" fontId="25" fillId="0" borderId="0" xfId="16" applyNumberFormat="1" applyFont="1"/>
    <xf numFmtId="167" fontId="25" fillId="0" borderId="0" xfId="23" applyNumberFormat="1" applyFont="1" applyFill="1" applyBorder="1" applyAlignment="1">
      <alignment horizontal="center" vertical="center"/>
    </xf>
    <xf numFmtId="0" fontId="25" fillId="0" borderId="0" xfId="25" applyFont="1" applyFill="1"/>
    <xf numFmtId="0" fontId="17" fillId="0" borderId="0" xfId="25" applyFont="1" applyFill="1" applyBorder="1" applyAlignment="1">
      <alignment horizontal="left" vertical="center"/>
    </xf>
    <xf numFmtId="0" fontId="25" fillId="0" borderId="0" xfId="25" applyFont="1" applyFill="1" applyBorder="1"/>
    <xf numFmtId="0" fontId="25" fillId="0" borderId="0" xfId="25" applyFont="1" applyBorder="1"/>
    <xf numFmtId="169" fontId="25" fillId="0" borderId="0" xfId="25" applyNumberFormat="1" applyFont="1"/>
    <xf numFmtId="0" fontId="29" fillId="0" borderId="0" xfId="0" applyFont="1" applyFill="1" applyBorder="1" applyAlignment="1">
      <alignment horizontal="center"/>
    </xf>
    <xf numFmtId="167" fontId="25" fillId="0" borderId="0" xfId="23" applyNumberFormat="1" applyFont="1" applyFill="1" applyBorder="1"/>
    <xf numFmtId="10" fontId="28" fillId="9" borderId="1" xfId="25" applyNumberFormat="1" applyFont="1" applyFill="1" applyBorder="1"/>
    <xf numFmtId="10" fontId="28" fillId="9" borderId="1" xfId="16" applyNumberFormat="1" applyFont="1" applyFill="1" applyBorder="1"/>
    <xf numFmtId="167" fontId="29" fillId="0" borderId="0" xfId="23" applyNumberFormat="1" applyFont="1" applyFill="1" applyBorder="1" applyAlignment="1">
      <alignment horizontal="center" vertical="center"/>
    </xf>
    <xf numFmtId="167" fontId="37" fillId="0" borderId="0" xfId="23" applyNumberFormat="1" applyFont="1" applyFill="1" applyBorder="1" applyAlignment="1">
      <alignment horizontal="center" vertical="center"/>
    </xf>
    <xf numFmtId="0" fontId="6" fillId="2" borderId="0" xfId="25" applyFont="1" applyFill="1"/>
    <xf numFmtId="0" fontId="6" fillId="2" borderId="0" xfId="25" applyFont="1" applyFill="1" applyBorder="1"/>
    <xf numFmtId="0" fontId="20" fillId="2" borderId="0" xfId="25" applyFont="1" applyFill="1"/>
    <xf numFmtId="0" fontId="9" fillId="15" borderId="5" xfId="25" applyFont="1" applyFill="1" applyBorder="1" applyAlignment="1">
      <alignment horizontal="center" vertical="center" wrapText="1"/>
    </xf>
    <xf numFmtId="0" fontId="9" fillId="15" borderId="7" xfId="25" applyFont="1" applyFill="1" applyBorder="1" applyAlignment="1">
      <alignment horizontal="center" vertical="center" wrapText="1"/>
    </xf>
    <xf numFmtId="3" fontId="20" fillId="5" borderId="1" xfId="25" applyNumberFormat="1" applyFont="1" applyFill="1" applyBorder="1" applyAlignment="1">
      <alignment horizontal="center" vertical="center"/>
    </xf>
    <xf numFmtId="166" fontId="15" fillId="6" borderId="5" xfId="0" applyNumberFormat="1" applyFont="1" applyFill="1" applyBorder="1" applyAlignment="1">
      <alignment horizontal="center" vertical="center" wrapText="1"/>
    </xf>
    <xf numFmtId="166" fontId="15" fillId="6" borderId="7" xfId="0" applyNumberFormat="1" applyFont="1" applyFill="1" applyBorder="1" applyAlignment="1">
      <alignment horizontal="center" vertical="center" wrapText="1"/>
    </xf>
    <xf numFmtId="0" fontId="15" fillId="6" borderId="6" xfId="0" applyFont="1" applyFill="1" applyBorder="1" applyAlignment="1">
      <alignment horizontal="left" vertical="center" wrapText="1"/>
    </xf>
    <xf numFmtId="0" fontId="17" fillId="6" borderId="18" xfId="0" applyFont="1" applyFill="1" applyBorder="1" applyAlignment="1">
      <alignment horizontal="left"/>
    </xf>
    <xf numFmtId="0" fontId="15" fillId="6" borderId="18" xfId="0" applyFont="1" applyFill="1" applyBorder="1" applyAlignment="1">
      <alignment horizontal="left" vertical="center" wrapText="1"/>
    </xf>
    <xf numFmtId="166" fontId="33" fillId="6" borderId="5" xfId="0" applyNumberFormat="1" applyFont="1" applyFill="1" applyBorder="1" applyAlignment="1">
      <alignment horizontal="center" vertical="center" wrapText="1"/>
    </xf>
    <xf numFmtId="166" fontId="33" fillId="6" borderId="7" xfId="0" applyNumberFormat="1" applyFont="1" applyFill="1" applyBorder="1" applyAlignment="1">
      <alignment horizontal="center" vertical="center" wrapText="1"/>
    </xf>
    <xf numFmtId="0" fontId="41" fillId="6" borderId="4" xfId="0" applyFont="1" applyFill="1" applyBorder="1" applyAlignment="1">
      <alignment horizontal="left" vertical="center"/>
    </xf>
    <xf numFmtId="0" fontId="41" fillId="6" borderId="3" xfId="0" applyFont="1" applyFill="1" applyBorder="1" applyAlignment="1">
      <alignment horizontal="left" vertical="center"/>
    </xf>
    <xf numFmtId="0" fontId="29" fillId="15" borderId="27" xfId="0" applyFont="1" applyFill="1" applyBorder="1" applyAlignment="1">
      <alignment horizontal="center" vertical="center"/>
    </xf>
    <xf numFmtId="0" fontId="29" fillId="15" borderId="26" xfId="0" applyFont="1" applyFill="1" applyBorder="1" applyAlignment="1">
      <alignment horizontal="center" vertical="center"/>
    </xf>
    <xf numFmtId="0" fontId="30" fillId="15" borderId="30" xfId="0" applyFont="1" applyFill="1" applyBorder="1" applyAlignment="1">
      <alignment horizontal="center"/>
    </xf>
    <xf numFmtId="0" fontId="30" fillId="15" borderId="32" xfId="0" applyFont="1" applyFill="1" applyBorder="1" applyAlignment="1">
      <alignment horizontal="center"/>
    </xf>
    <xf numFmtId="173" fontId="42" fillId="15" borderId="12" xfId="23" applyNumberFormat="1" applyFont="1" applyFill="1" applyBorder="1" applyAlignment="1">
      <alignment horizontal="center"/>
    </xf>
    <xf numFmtId="173" fontId="42" fillId="15" borderId="34" xfId="23" applyNumberFormat="1" applyFont="1" applyFill="1" applyBorder="1" applyAlignment="1">
      <alignment horizontal="center"/>
    </xf>
    <xf numFmtId="0" fontId="30" fillId="5" borderId="30" xfId="0" applyFont="1" applyFill="1" applyBorder="1" applyAlignment="1">
      <alignment horizontal="center"/>
    </xf>
    <xf numFmtId="0" fontId="30" fillId="5" borderId="32" xfId="0" applyFont="1" applyFill="1" applyBorder="1" applyAlignment="1">
      <alignment horizontal="center"/>
    </xf>
    <xf numFmtId="0" fontId="30" fillId="15" borderId="9" xfId="0" applyFont="1" applyFill="1" applyBorder="1" applyAlignment="1">
      <alignment horizontal="center"/>
    </xf>
    <xf numFmtId="173" fontId="42" fillId="15" borderId="4" xfId="23" applyNumberFormat="1" applyFont="1" applyFill="1" applyBorder="1" applyAlignment="1">
      <alignment horizontal="center"/>
    </xf>
    <xf numFmtId="173" fontId="42" fillId="15" borderId="22" xfId="23" applyNumberFormat="1" applyFont="1" applyFill="1" applyBorder="1" applyAlignment="1">
      <alignment horizontal="center"/>
    </xf>
    <xf numFmtId="173" fontId="42" fillId="11" borderId="4" xfId="23" applyNumberFormat="1" applyFont="1" applyFill="1" applyBorder="1" applyAlignment="1">
      <alignment horizontal="center"/>
    </xf>
    <xf numFmtId="173" fontId="42" fillId="11" borderId="22" xfId="23" applyNumberFormat="1" applyFont="1" applyFill="1" applyBorder="1" applyAlignment="1">
      <alignment horizontal="center"/>
    </xf>
    <xf numFmtId="173" fontId="42" fillId="11" borderId="12" xfId="23" applyNumberFormat="1" applyFont="1" applyFill="1" applyBorder="1" applyAlignment="1">
      <alignment horizontal="center"/>
    </xf>
    <xf numFmtId="173" fontId="42" fillId="11" borderId="34" xfId="23" applyNumberFormat="1" applyFont="1" applyFill="1" applyBorder="1" applyAlignment="1">
      <alignment horizontal="center"/>
    </xf>
    <xf numFmtId="0" fontId="30" fillId="11" borderId="30" xfId="0" applyFont="1" applyFill="1" applyBorder="1" applyAlignment="1">
      <alignment horizontal="center"/>
    </xf>
    <xf numFmtId="0" fontId="30" fillId="11" borderId="10" xfId="0" applyFont="1" applyFill="1" applyBorder="1" applyAlignment="1">
      <alignment horizontal="center"/>
    </xf>
    <xf numFmtId="0" fontId="30" fillId="5" borderId="10" xfId="0" applyFont="1" applyFill="1" applyBorder="1" applyAlignment="1">
      <alignment horizontal="center"/>
    </xf>
    <xf numFmtId="0" fontId="9" fillId="2" borderId="23" xfId="25" applyFont="1" applyFill="1" applyBorder="1" applyAlignment="1" applyProtection="1">
      <alignment horizontal="center" vertical="center"/>
    </xf>
    <xf numFmtId="0" fontId="9" fillId="2" borderId="24" xfId="25" applyFont="1" applyFill="1" applyBorder="1" applyAlignment="1" applyProtection="1">
      <alignment horizontal="center" vertical="center"/>
    </xf>
    <xf numFmtId="0" fontId="66" fillId="3" borderId="0" xfId="25" applyFont="1" applyFill="1" applyBorder="1" applyAlignment="1">
      <alignment horizontal="center" vertical="center"/>
    </xf>
    <xf numFmtId="0" fontId="58" fillId="3" borderId="0" xfId="25" applyFont="1" applyFill="1" applyBorder="1" applyAlignment="1">
      <alignment horizontal="center" vertical="center" wrapText="1"/>
    </xf>
    <xf numFmtId="0" fontId="15" fillId="6" borderId="0" xfId="25" applyFont="1" applyFill="1" applyAlignment="1">
      <alignment horizontal="center" vertical="center" wrapText="1"/>
    </xf>
    <xf numFmtId="0" fontId="58" fillId="6" borderId="18" xfId="25" applyFont="1" applyFill="1" applyBorder="1" applyAlignment="1">
      <alignment horizontal="center" vertical="center"/>
    </xf>
    <xf numFmtId="0" fontId="58" fillId="6" borderId="1" xfId="25" applyFont="1" applyFill="1" applyBorder="1" applyAlignment="1">
      <alignment horizontal="center" vertical="center"/>
    </xf>
    <xf numFmtId="0" fontId="59" fillId="6" borderId="1" xfId="25" applyFont="1" applyFill="1" applyBorder="1" applyAlignment="1">
      <alignment horizontal="center" vertical="center"/>
    </xf>
    <xf numFmtId="0" fontId="59" fillId="6" borderId="21" xfId="25" applyFont="1" applyFill="1" applyBorder="1" applyAlignment="1">
      <alignment horizontal="center" vertical="center"/>
    </xf>
    <xf numFmtId="0" fontId="59" fillId="6" borderId="22" xfId="25" applyFont="1" applyFill="1" applyBorder="1" applyAlignment="1">
      <alignment horizontal="center" vertical="center"/>
    </xf>
    <xf numFmtId="9" fontId="17" fillId="34" borderId="6" xfId="25" applyNumberFormat="1" applyFont="1" applyFill="1" applyBorder="1" applyAlignment="1">
      <alignment horizontal="left" vertical="center"/>
    </xf>
    <xf numFmtId="9" fontId="17" fillId="34" borderId="18" xfId="25" applyNumberFormat="1" applyFont="1" applyFill="1" applyBorder="1" applyAlignment="1">
      <alignment horizontal="left" vertical="center"/>
    </xf>
    <xf numFmtId="0" fontId="48" fillId="34" borderId="6" xfId="25" applyFont="1" applyFill="1" applyBorder="1" applyAlignment="1">
      <alignment horizontal="left" vertical="center"/>
    </xf>
    <xf numFmtId="0" fontId="48" fillId="34" borderId="18" xfId="25" applyFont="1" applyFill="1" applyBorder="1" applyAlignment="1">
      <alignment horizontal="left" vertical="center"/>
    </xf>
    <xf numFmtId="0" fontId="25" fillId="15" borderId="6" xfId="25" applyFont="1" applyFill="1" applyBorder="1" applyAlignment="1">
      <alignment horizontal="center"/>
    </xf>
    <xf numFmtId="0" fontId="25" fillId="15" borderId="18" xfId="25" applyFont="1" applyFill="1" applyBorder="1" applyAlignment="1">
      <alignment horizontal="center"/>
    </xf>
    <xf numFmtId="0" fontId="48" fillId="34" borderId="6" xfId="25" applyFont="1" applyFill="1" applyBorder="1" applyAlignment="1">
      <alignment vertical="center"/>
    </xf>
    <xf numFmtId="0" fontId="48" fillId="34" borderId="18" xfId="25" applyFont="1" applyFill="1" applyBorder="1" applyAlignment="1">
      <alignment vertical="center"/>
    </xf>
    <xf numFmtId="0" fontId="17" fillId="34" borderId="6" xfId="25" applyFont="1" applyFill="1" applyBorder="1" applyAlignment="1">
      <alignment horizontal="left" vertical="center"/>
    </xf>
    <xf numFmtId="0" fontId="17" fillId="34" borderId="18" xfId="25" applyFont="1" applyFill="1" applyBorder="1" applyAlignment="1">
      <alignment horizontal="left" vertical="center"/>
    </xf>
    <xf numFmtId="0" fontId="17" fillId="34" borderId="20" xfId="25" applyFont="1" applyFill="1" applyBorder="1" applyAlignment="1">
      <alignment horizontal="left" vertical="center"/>
    </xf>
    <xf numFmtId="0" fontId="17" fillId="34" borderId="14" xfId="25" applyFont="1" applyFill="1" applyBorder="1" applyAlignment="1">
      <alignment horizontal="left" vertical="center"/>
    </xf>
    <xf numFmtId="167" fontId="29" fillId="15" borderId="17" xfId="23" applyNumberFormat="1" applyFont="1" applyFill="1" applyBorder="1" applyAlignment="1">
      <alignment horizontal="center" vertical="center"/>
    </xf>
    <xf numFmtId="167" fontId="29" fillId="15" borderId="18" xfId="23" applyNumberFormat="1" applyFont="1" applyFill="1" applyBorder="1" applyAlignment="1">
      <alignment horizontal="center" vertical="center"/>
    </xf>
    <xf numFmtId="168" fontId="29" fillId="15" borderId="17" xfId="23" applyNumberFormat="1" applyFont="1" applyFill="1" applyBorder="1" applyAlignment="1">
      <alignment horizontal="center" vertical="center"/>
    </xf>
    <xf numFmtId="168" fontId="29" fillId="15" borderId="18" xfId="23" applyNumberFormat="1" applyFont="1" applyFill="1" applyBorder="1" applyAlignment="1">
      <alignment horizontal="center" vertical="center"/>
    </xf>
  </cellXfs>
  <cellStyles count="860">
    <cellStyle name="20% - Ênfase1 10" xfId="71"/>
    <cellStyle name="20% - Ênfase1 10 2" xfId="72"/>
    <cellStyle name="20% - Ênfase1 11" xfId="73"/>
    <cellStyle name="20% - Ênfase1 11 2" xfId="74"/>
    <cellStyle name="20% - Ênfase1 12" xfId="75"/>
    <cellStyle name="20% - Ênfase1 12 2" xfId="76"/>
    <cellStyle name="20% - Ênfase1 13" xfId="77"/>
    <cellStyle name="20% - Ênfase1 13 2" xfId="78"/>
    <cellStyle name="20% - Ênfase1 14" xfId="79"/>
    <cellStyle name="20% - Ênfase1 14 2" xfId="80"/>
    <cellStyle name="20% - Ênfase1 15" xfId="81"/>
    <cellStyle name="20% - Ênfase1 15 2" xfId="82"/>
    <cellStyle name="20% - Ênfase1 16" xfId="83"/>
    <cellStyle name="20% - Ênfase1 16 2" xfId="84"/>
    <cellStyle name="20% - Ênfase1 17" xfId="85"/>
    <cellStyle name="20% - Ênfase1 17 2" xfId="86"/>
    <cellStyle name="20% - Ênfase1 18" xfId="87"/>
    <cellStyle name="20% - Ênfase1 18 2" xfId="88"/>
    <cellStyle name="20% - Ênfase1 19" xfId="89"/>
    <cellStyle name="20% - Ênfase1 19 2" xfId="90"/>
    <cellStyle name="20% - Ênfase1 2" xfId="91"/>
    <cellStyle name="20% - Ênfase1 2 2" xfId="92"/>
    <cellStyle name="20% - Ênfase1 20" xfId="93"/>
    <cellStyle name="20% - Ênfase1 20 2" xfId="94"/>
    <cellStyle name="20% - Ênfase1 21" xfId="95"/>
    <cellStyle name="20% - Ênfase1 21 2" xfId="96"/>
    <cellStyle name="20% - Ênfase1 22" xfId="97"/>
    <cellStyle name="20% - Ênfase1 22 2" xfId="98"/>
    <cellStyle name="20% - Ênfase1 23" xfId="99"/>
    <cellStyle name="20% - Ênfase1 23 2" xfId="100"/>
    <cellStyle name="20% - Ênfase1 24" xfId="101"/>
    <cellStyle name="20% - Ênfase1 24 2" xfId="102"/>
    <cellStyle name="20% - Ênfase1 25" xfId="103"/>
    <cellStyle name="20% - Ênfase1 26" xfId="104"/>
    <cellStyle name="20% - Ênfase1 27" xfId="105"/>
    <cellStyle name="20% - Ênfase1 28" xfId="106"/>
    <cellStyle name="20% - Ênfase1 29" xfId="107"/>
    <cellStyle name="20% - Ênfase1 3" xfId="108"/>
    <cellStyle name="20% - Ênfase1 3 2" xfId="109"/>
    <cellStyle name="20% - Ênfase1 30" xfId="110"/>
    <cellStyle name="20% - Ênfase1 31" xfId="111"/>
    <cellStyle name="20% - Ênfase1 32" xfId="112"/>
    <cellStyle name="20% - Ênfase1 33" xfId="113"/>
    <cellStyle name="20% - Ênfase1 34" xfId="114"/>
    <cellStyle name="20% - Ênfase1 35" xfId="115"/>
    <cellStyle name="20% - Ênfase1 36" xfId="116"/>
    <cellStyle name="20% - Ênfase1 4" xfId="117"/>
    <cellStyle name="20% - Ênfase1 4 2" xfId="118"/>
    <cellStyle name="20% - Ênfase1 5" xfId="119"/>
    <cellStyle name="20% - Ênfase1 5 2" xfId="120"/>
    <cellStyle name="20% - Ênfase1 6" xfId="121"/>
    <cellStyle name="20% - Ênfase1 6 2" xfId="122"/>
    <cellStyle name="20% - Ênfase1 7" xfId="123"/>
    <cellStyle name="20% - Ênfase1 7 2" xfId="124"/>
    <cellStyle name="20% - Ênfase1 8" xfId="125"/>
    <cellStyle name="20% - Ênfase1 8 2" xfId="126"/>
    <cellStyle name="20% - Ênfase1 9" xfId="127"/>
    <cellStyle name="20% - Ênfase1 9 2" xfId="128"/>
    <cellStyle name="20% - Ênfase2 10" xfId="129"/>
    <cellStyle name="20% - Ênfase2 10 2" xfId="130"/>
    <cellStyle name="20% - Ênfase2 11" xfId="131"/>
    <cellStyle name="20% - Ênfase2 11 2" xfId="132"/>
    <cellStyle name="20% - Ênfase2 12" xfId="133"/>
    <cellStyle name="20% - Ênfase2 12 2" xfId="134"/>
    <cellStyle name="20% - Ênfase2 13" xfId="135"/>
    <cellStyle name="20% - Ênfase2 13 2" xfId="136"/>
    <cellStyle name="20% - Ênfase2 14" xfId="137"/>
    <cellStyle name="20% - Ênfase2 14 2" xfId="138"/>
    <cellStyle name="20% - Ênfase2 15" xfId="139"/>
    <cellStyle name="20% - Ênfase2 15 2" xfId="140"/>
    <cellStyle name="20% - Ênfase2 16" xfId="141"/>
    <cellStyle name="20% - Ênfase2 16 2" xfId="142"/>
    <cellStyle name="20% - Ênfase2 17" xfId="143"/>
    <cellStyle name="20% - Ênfase2 17 2" xfId="144"/>
    <cellStyle name="20% - Ênfase2 18" xfId="145"/>
    <cellStyle name="20% - Ênfase2 18 2" xfId="146"/>
    <cellStyle name="20% - Ênfase2 19" xfId="147"/>
    <cellStyle name="20% - Ênfase2 19 2" xfId="148"/>
    <cellStyle name="20% - Ênfase2 2" xfId="149"/>
    <cellStyle name="20% - Ênfase2 2 2" xfId="150"/>
    <cellStyle name="20% - Ênfase2 20" xfId="151"/>
    <cellStyle name="20% - Ênfase2 20 2" xfId="152"/>
    <cellStyle name="20% - Ênfase2 21" xfId="153"/>
    <cellStyle name="20% - Ênfase2 21 2" xfId="154"/>
    <cellStyle name="20% - Ênfase2 22" xfId="155"/>
    <cellStyle name="20% - Ênfase2 22 2" xfId="156"/>
    <cellStyle name="20% - Ênfase2 23" xfId="157"/>
    <cellStyle name="20% - Ênfase2 23 2" xfId="158"/>
    <cellStyle name="20% - Ênfase2 24" xfId="159"/>
    <cellStyle name="20% - Ênfase2 24 2" xfId="160"/>
    <cellStyle name="20% - Ênfase2 25" xfId="161"/>
    <cellStyle name="20% - Ênfase2 26" xfId="162"/>
    <cellStyle name="20% - Ênfase2 27" xfId="163"/>
    <cellStyle name="20% - Ênfase2 28" xfId="164"/>
    <cellStyle name="20% - Ênfase2 29" xfId="165"/>
    <cellStyle name="20% - Ênfase2 3" xfId="166"/>
    <cellStyle name="20% - Ênfase2 3 2" xfId="167"/>
    <cellStyle name="20% - Ênfase2 30" xfId="168"/>
    <cellStyle name="20% - Ênfase2 31" xfId="169"/>
    <cellStyle name="20% - Ênfase2 32" xfId="170"/>
    <cellStyle name="20% - Ênfase2 33" xfId="171"/>
    <cellStyle name="20% - Ênfase2 34" xfId="172"/>
    <cellStyle name="20% - Ênfase2 35" xfId="173"/>
    <cellStyle name="20% - Ênfase2 36" xfId="174"/>
    <cellStyle name="20% - Ênfase2 4" xfId="175"/>
    <cellStyle name="20% - Ênfase2 4 2" xfId="176"/>
    <cellStyle name="20% - Ênfase2 5" xfId="177"/>
    <cellStyle name="20% - Ênfase2 5 2" xfId="178"/>
    <cellStyle name="20% - Ênfase2 6" xfId="179"/>
    <cellStyle name="20% - Ênfase2 6 2" xfId="180"/>
    <cellStyle name="20% - Ênfase2 7" xfId="181"/>
    <cellStyle name="20% - Ênfase2 7 2" xfId="182"/>
    <cellStyle name="20% - Ênfase2 8" xfId="183"/>
    <cellStyle name="20% - Ênfase2 8 2" xfId="184"/>
    <cellStyle name="20% - Ênfase2 9" xfId="185"/>
    <cellStyle name="20% - Ênfase2 9 2" xfId="186"/>
    <cellStyle name="20% - Ênfase3 10" xfId="187"/>
    <cellStyle name="20% - Ênfase3 10 2" xfId="188"/>
    <cellStyle name="20% - Ênfase3 11" xfId="189"/>
    <cellStyle name="20% - Ênfase3 11 2" xfId="190"/>
    <cellStyle name="20% - Ênfase3 12" xfId="191"/>
    <cellStyle name="20% - Ênfase3 12 2" xfId="192"/>
    <cellStyle name="20% - Ênfase3 13" xfId="193"/>
    <cellStyle name="20% - Ênfase3 13 2" xfId="194"/>
    <cellStyle name="20% - Ênfase3 14" xfId="195"/>
    <cellStyle name="20% - Ênfase3 14 2" xfId="196"/>
    <cellStyle name="20% - Ênfase3 15" xfId="197"/>
    <cellStyle name="20% - Ênfase3 15 2" xfId="198"/>
    <cellStyle name="20% - Ênfase3 16" xfId="199"/>
    <cellStyle name="20% - Ênfase3 16 2" xfId="200"/>
    <cellStyle name="20% - Ênfase3 17" xfId="201"/>
    <cellStyle name="20% - Ênfase3 17 2" xfId="202"/>
    <cellStyle name="20% - Ênfase3 18" xfId="203"/>
    <cellStyle name="20% - Ênfase3 18 2" xfId="204"/>
    <cellStyle name="20% - Ênfase3 19" xfId="205"/>
    <cellStyle name="20% - Ênfase3 19 2" xfId="206"/>
    <cellStyle name="20% - Ênfase3 2" xfId="207"/>
    <cellStyle name="20% - Ênfase3 2 2" xfId="208"/>
    <cellStyle name="20% - Ênfase3 20" xfId="209"/>
    <cellStyle name="20% - Ênfase3 20 2" xfId="210"/>
    <cellStyle name="20% - Ênfase3 21" xfId="211"/>
    <cellStyle name="20% - Ênfase3 21 2" xfId="212"/>
    <cellStyle name="20% - Ênfase3 22" xfId="213"/>
    <cellStyle name="20% - Ênfase3 22 2" xfId="214"/>
    <cellStyle name="20% - Ênfase3 23" xfId="215"/>
    <cellStyle name="20% - Ênfase3 23 2" xfId="216"/>
    <cellStyle name="20% - Ênfase3 24" xfId="217"/>
    <cellStyle name="20% - Ênfase3 24 2" xfId="218"/>
    <cellStyle name="20% - Ênfase3 25" xfId="219"/>
    <cellStyle name="20% - Ênfase3 26" xfId="220"/>
    <cellStyle name="20% - Ênfase3 27" xfId="221"/>
    <cellStyle name="20% - Ênfase3 28" xfId="222"/>
    <cellStyle name="20% - Ênfase3 29" xfId="223"/>
    <cellStyle name="20% - Ênfase3 3" xfId="224"/>
    <cellStyle name="20% - Ênfase3 3 2" xfId="225"/>
    <cellStyle name="20% - Ênfase3 30" xfId="226"/>
    <cellStyle name="20% - Ênfase3 31" xfId="227"/>
    <cellStyle name="20% - Ênfase3 32" xfId="228"/>
    <cellStyle name="20% - Ênfase3 33" xfId="229"/>
    <cellStyle name="20% - Ênfase3 34" xfId="230"/>
    <cellStyle name="20% - Ênfase3 35" xfId="231"/>
    <cellStyle name="20% - Ênfase3 36" xfId="232"/>
    <cellStyle name="20% - Ênfase3 4" xfId="233"/>
    <cellStyle name="20% - Ênfase3 4 2" xfId="234"/>
    <cellStyle name="20% - Ênfase3 5" xfId="235"/>
    <cellStyle name="20% - Ênfase3 5 2" xfId="236"/>
    <cellStyle name="20% - Ênfase3 6" xfId="237"/>
    <cellStyle name="20% - Ênfase3 6 2" xfId="238"/>
    <cellStyle name="20% - Ênfase3 7" xfId="239"/>
    <cellStyle name="20% - Ênfase3 7 2" xfId="240"/>
    <cellStyle name="20% - Ênfase3 8" xfId="241"/>
    <cellStyle name="20% - Ênfase3 8 2" xfId="242"/>
    <cellStyle name="20% - Ênfase3 9" xfId="243"/>
    <cellStyle name="20% - Ênfase3 9 2" xfId="244"/>
    <cellStyle name="20% - Ênfase4 10" xfId="245"/>
    <cellStyle name="20% - Ênfase4 10 2" xfId="246"/>
    <cellStyle name="20% - Ênfase4 11" xfId="247"/>
    <cellStyle name="20% - Ênfase4 11 2" xfId="248"/>
    <cellStyle name="20% - Ênfase4 12" xfId="249"/>
    <cellStyle name="20% - Ênfase4 12 2" xfId="250"/>
    <cellStyle name="20% - Ênfase4 13" xfId="251"/>
    <cellStyle name="20% - Ênfase4 13 2" xfId="252"/>
    <cellStyle name="20% - Ênfase4 14" xfId="253"/>
    <cellStyle name="20% - Ênfase4 14 2" xfId="254"/>
    <cellStyle name="20% - Ênfase4 15" xfId="255"/>
    <cellStyle name="20% - Ênfase4 15 2" xfId="256"/>
    <cellStyle name="20% - Ênfase4 16" xfId="257"/>
    <cellStyle name="20% - Ênfase4 16 2" xfId="258"/>
    <cellStyle name="20% - Ênfase4 17" xfId="259"/>
    <cellStyle name="20% - Ênfase4 17 2" xfId="260"/>
    <cellStyle name="20% - Ênfase4 18" xfId="261"/>
    <cellStyle name="20% - Ênfase4 18 2" xfId="262"/>
    <cellStyle name="20% - Ênfase4 19" xfId="263"/>
    <cellStyle name="20% - Ênfase4 19 2" xfId="264"/>
    <cellStyle name="20% - Ênfase4 2" xfId="265"/>
    <cellStyle name="20% - Ênfase4 2 2" xfId="266"/>
    <cellStyle name="20% - Ênfase4 20" xfId="267"/>
    <cellStyle name="20% - Ênfase4 20 2" xfId="268"/>
    <cellStyle name="20% - Ênfase4 21" xfId="269"/>
    <cellStyle name="20% - Ênfase4 21 2" xfId="270"/>
    <cellStyle name="20% - Ênfase4 22" xfId="271"/>
    <cellStyle name="20% - Ênfase4 22 2" xfId="272"/>
    <cellStyle name="20% - Ênfase4 23" xfId="273"/>
    <cellStyle name="20% - Ênfase4 23 2" xfId="274"/>
    <cellStyle name="20% - Ênfase4 24" xfId="275"/>
    <cellStyle name="20% - Ênfase4 24 2" xfId="276"/>
    <cellStyle name="20% - Ênfase4 25" xfId="277"/>
    <cellStyle name="20% - Ênfase4 26" xfId="278"/>
    <cellStyle name="20% - Ênfase4 27" xfId="279"/>
    <cellStyle name="20% - Ênfase4 28" xfId="280"/>
    <cellStyle name="20% - Ênfase4 29" xfId="281"/>
    <cellStyle name="20% - Ênfase4 3" xfId="282"/>
    <cellStyle name="20% - Ênfase4 3 2" xfId="283"/>
    <cellStyle name="20% - Ênfase4 30" xfId="284"/>
    <cellStyle name="20% - Ênfase4 31" xfId="285"/>
    <cellStyle name="20% - Ênfase4 32" xfId="286"/>
    <cellStyle name="20% - Ênfase4 33" xfId="287"/>
    <cellStyle name="20% - Ênfase4 34" xfId="288"/>
    <cellStyle name="20% - Ênfase4 35" xfId="289"/>
    <cellStyle name="20% - Ênfase4 36" xfId="290"/>
    <cellStyle name="20% - Ênfase4 4" xfId="291"/>
    <cellStyle name="20% - Ênfase4 4 2" xfId="292"/>
    <cellStyle name="20% - Ênfase4 5" xfId="293"/>
    <cellStyle name="20% - Ênfase4 5 2" xfId="294"/>
    <cellStyle name="20% - Ênfase4 6" xfId="295"/>
    <cellStyle name="20% - Ênfase4 6 2" xfId="296"/>
    <cellStyle name="20% - Ênfase4 7" xfId="297"/>
    <cellStyle name="20% - Ênfase4 7 2" xfId="298"/>
    <cellStyle name="20% - Ênfase4 8" xfId="299"/>
    <cellStyle name="20% - Ênfase4 8 2" xfId="300"/>
    <cellStyle name="20% - Ênfase4 9" xfId="301"/>
    <cellStyle name="20% - Ênfase4 9 2" xfId="302"/>
    <cellStyle name="20% - Ênfase5 10" xfId="303"/>
    <cellStyle name="20% - Ênfase5 10 2" xfId="304"/>
    <cellStyle name="20% - Ênfase5 11" xfId="305"/>
    <cellStyle name="20% - Ênfase5 11 2" xfId="306"/>
    <cellStyle name="20% - Ênfase5 12" xfId="307"/>
    <cellStyle name="20% - Ênfase5 12 2" xfId="308"/>
    <cellStyle name="20% - Ênfase5 13" xfId="309"/>
    <cellStyle name="20% - Ênfase5 13 2" xfId="310"/>
    <cellStyle name="20% - Ênfase5 14" xfId="311"/>
    <cellStyle name="20% - Ênfase5 14 2" xfId="312"/>
    <cellStyle name="20% - Ênfase5 15" xfId="313"/>
    <cellStyle name="20% - Ênfase5 15 2" xfId="314"/>
    <cellStyle name="20% - Ênfase5 16" xfId="315"/>
    <cellStyle name="20% - Ênfase5 16 2" xfId="316"/>
    <cellStyle name="20% - Ênfase5 17" xfId="317"/>
    <cellStyle name="20% - Ênfase5 17 2" xfId="318"/>
    <cellStyle name="20% - Ênfase5 18" xfId="319"/>
    <cellStyle name="20% - Ênfase5 18 2" xfId="320"/>
    <cellStyle name="20% - Ênfase5 19" xfId="321"/>
    <cellStyle name="20% - Ênfase5 19 2" xfId="322"/>
    <cellStyle name="20% - Ênfase5 2" xfId="323"/>
    <cellStyle name="20% - Ênfase5 2 2" xfId="324"/>
    <cellStyle name="20% - Ênfase5 20" xfId="325"/>
    <cellStyle name="20% - Ênfase5 20 2" xfId="326"/>
    <cellStyle name="20% - Ênfase5 21" xfId="327"/>
    <cellStyle name="20% - Ênfase5 21 2" xfId="328"/>
    <cellStyle name="20% - Ênfase5 22" xfId="329"/>
    <cellStyle name="20% - Ênfase5 22 2" xfId="330"/>
    <cellStyle name="20% - Ênfase5 23" xfId="331"/>
    <cellStyle name="20% - Ênfase5 23 2" xfId="332"/>
    <cellStyle name="20% - Ênfase5 24" xfId="333"/>
    <cellStyle name="20% - Ênfase5 24 2" xfId="334"/>
    <cellStyle name="20% - Ênfase5 25" xfId="335"/>
    <cellStyle name="20% - Ênfase5 26" xfId="336"/>
    <cellStyle name="20% - Ênfase5 27" xfId="337"/>
    <cellStyle name="20% - Ênfase5 28" xfId="338"/>
    <cellStyle name="20% - Ênfase5 29" xfId="339"/>
    <cellStyle name="20% - Ênfase5 3" xfId="340"/>
    <cellStyle name="20% - Ênfase5 3 2" xfId="341"/>
    <cellStyle name="20% - Ênfase5 30" xfId="342"/>
    <cellStyle name="20% - Ênfase5 31" xfId="343"/>
    <cellStyle name="20% - Ênfase5 32" xfId="344"/>
    <cellStyle name="20% - Ênfase5 33" xfId="345"/>
    <cellStyle name="20% - Ênfase5 34" xfId="346"/>
    <cellStyle name="20% - Ênfase5 35" xfId="347"/>
    <cellStyle name="20% - Ênfase5 36" xfId="348"/>
    <cellStyle name="20% - Ênfase5 4" xfId="349"/>
    <cellStyle name="20% - Ênfase5 4 2" xfId="350"/>
    <cellStyle name="20% - Ênfase5 5" xfId="351"/>
    <cellStyle name="20% - Ênfase5 5 2" xfId="352"/>
    <cellStyle name="20% - Ênfase5 6" xfId="353"/>
    <cellStyle name="20% - Ênfase5 6 2" xfId="354"/>
    <cellStyle name="20% - Ênfase5 7" xfId="355"/>
    <cellStyle name="20% - Ênfase5 7 2" xfId="356"/>
    <cellStyle name="20% - Ênfase5 8" xfId="357"/>
    <cellStyle name="20% - Ênfase5 8 2" xfId="358"/>
    <cellStyle name="20% - Ênfase5 9" xfId="359"/>
    <cellStyle name="20% - Ênfase5 9 2" xfId="360"/>
    <cellStyle name="20% - Ênfase6 10" xfId="361"/>
    <cellStyle name="20% - Ênfase6 10 2" xfId="362"/>
    <cellStyle name="20% - Ênfase6 11" xfId="363"/>
    <cellStyle name="20% - Ênfase6 11 2" xfId="364"/>
    <cellStyle name="20% - Ênfase6 12" xfId="365"/>
    <cellStyle name="20% - Ênfase6 12 2" xfId="366"/>
    <cellStyle name="20% - Ênfase6 13" xfId="367"/>
    <cellStyle name="20% - Ênfase6 13 2" xfId="368"/>
    <cellStyle name="20% - Ênfase6 14" xfId="369"/>
    <cellStyle name="20% - Ênfase6 14 2" xfId="370"/>
    <cellStyle name="20% - Ênfase6 15" xfId="371"/>
    <cellStyle name="20% - Ênfase6 15 2" xfId="372"/>
    <cellStyle name="20% - Ênfase6 16" xfId="373"/>
    <cellStyle name="20% - Ênfase6 16 2" xfId="374"/>
    <cellStyle name="20% - Ênfase6 17" xfId="375"/>
    <cellStyle name="20% - Ênfase6 17 2" xfId="376"/>
    <cellStyle name="20% - Ênfase6 18" xfId="377"/>
    <cellStyle name="20% - Ênfase6 18 2" xfId="378"/>
    <cellStyle name="20% - Ênfase6 19" xfId="379"/>
    <cellStyle name="20% - Ênfase6 19 2" xfId="380"/>
    <cellStyle name="20% - Ênfase6 2" xfId="381"/>
    <cellStyle name="20% - Ênfase6 2 2" xfId="382"/>
    <cellStyle name="20% - Ênfase6 20" xfId="383"/>
    <cellStyle name="20% - Ênfase6 20 2" xfId="384"/>
    <cellStyle name="20% - Ênfase6 21" xfId="385"/>
    <cellStyle name="20% - Ênfase6 21 2" xfId="386"/>
    <cellStyle name="20% - Ênfase6 22" xfId="387"/>
    <cellStyle name="20% - Ênfase6 22 2" xfId="388"/>
    <cellStyle name="20% - Ênfase6 23" xfId="389"/>
    <cellStyle name="20% - Ênfase6 23 2" xfId="390"/>
    <cellStyle name="20% - Ênfase6 24" xfId="391"/>
    <cellStyle name="20% - Ênfase6 24 2" xfId="392"/>
    <cellStyle name="20% - Ênfase6 25" xfId="393"/>
    <cellStyle name="20% - Ênfase6 26" xfId="394"/>
    <cellStyle name="20% - Ênfase6 27" xfId="395"/>
    <cellStyle name="20% - Ênfase6 28" xfId="396"/>
    <cellStyle name="20% - Ênfase6 29" xfId="397"/>
    <cellStyle name="20% - Ênfase6 3" xfId="398"/>
    <cellStyle name="20% - Ênfase6 3 2" xfId="399"/>
    <cellStyle name="20% - Ênfase6 30" xfId="400"/>
    <cellStyle name="20% - Ênfase6 31" xfId="401"/>
    <cellStyle name="20% - Ênfase6 32" xfId="402"/>
    <cellStyle name="20% - Ênfase6 33" xfId="403"/>
    <cellStyle name="20% - Ênfase6 34" xfId="404"/>
    <cellStyle name="20% - Ênfase6 35" xfId="405"/>
    <cellStyle name="20% - Ênfase6 36" xfId="406"/>
    <cellStyle name="20% - Ênfase6 4" xfId="407"/>
    <cellStyle name="20% - Ênfase6 4 2" xfId="408"/>
    <cellStyle name="20% - Ênfase6 5" xfId="409"/>
    <cellStyle name="20% - Ênfase6 5 2" xfId="410"/>
    <cellStyle name="20% - Ênfase6 6" xfId="411"/>
    <cellStyle name="20% - Ênfase6 6 2" xfId="412"/>
    <cellStyle name="20% - Ênfase6 7" xfId="413"/>
    <cellStyle name="20% - Ênfase6 7 2" xfId="414"/>
    <cellStyle name="20% - Ênfase6 8" xfId="415"/>
    <cellStyle name="20% - Ênfase6 8 2" xfId="416"/>
    <cellStyle name="20% - Ênfase6 9" xfId="417"/>
    <cellStyle name="20% - Ênfase6 9 2" xfId="418"/>
    <cellStyle name="40% - Ênfase1 10" xfId="419"/>
    <cellStyle name="40% - Ênfase1 10 2" xfId="420"/>
    <cellStyle name="40% - Ênfase1 11" xfId="421"/>
    <cellStyle name="40% - Ênfase1 11 2" xfId="422"/>
    <cellStyle name="40% - Ênfase1 12" xfId="423"/>
    <cellStyle name="40% - Ênfase1 12 2" xfId="424"/>
    <cellStyle name="40% - Ênfase1 13" xfId="425"/>
    <cellStyle name="40% - Ênfase1 13 2" xfId="426"/>
    <cellStyle name="40% - Ênfase1 14" xfId="427"/>
    <cellStyle name="40% - Ênfase1 14 2" xfId="428"/>
    <cellStyle name="40% - Ênfase1 15" xfId="429"/>
    <cellStyle name="40% - Ênfase1 15 2" xfId="430"/>
    <cellStyle name="40% - Ênfase1 16" xfId="431"/>
    <cellStyle name="40% - Ênfase1 16 2" xfId="432"/>
    <cellStyle name="40% - Ênfase1 17" xfId="433"/>
    <cellStyle name="40% - Ênfase1 17 2" xfId="434"/>
    <cellStyle name="40% - Ênfase1 18" xfId="435"/>
    <cellStyle name="40% - Ênfase1 18 2" xfId="436"/>
    <cellStyle name="40% - Ênfase1 19" xfId="437"/>
    <cellStyle name="40% - Ênfase1 19 2" xfId="438"/>
    <cellStyle name="40% - Ênfase1 2" xfId="439"/>
    <cellStyle name="40% - Ênfase1 2 2" xfId="440"/>
    <cellStyle name="40% - Ênfase1 20" xfId="441"/>
    <cellStyle name="40% - Ênfase1 20 2" xfId="442"/>
    <cellStyle name="40% - Ênfase1 21" xfId="443"/>
    <cellStyle name="40% - Ênfase1 21 2" xfId="444"/>
    <cellStyle name="40% - Ênfase1 22" xfId="445"/>
    <cellStyle name="40% - Ênfase1 22 2" xfId="446"/>
    <cellStyle name="40% - Ênfase1 23" xfId="447"/>
    <cellStyle name="40% - Ênfase1 23 2" xfId="448"/>
    <cellStyle name="40% - Ênfase1 24" xfId="449"/>
    <cellStyle name="40% - Ênfase1 24 2" xfId="450"/>
    <cellStyle name="40% - Ênfase1 25" xfId="451"/>
    <cellStyle name="40% - Ênfase1 26" xfId="452"/>
    <cellStyle name="40% - Ênfase1 27" xfId="453"/>
    <cellStyle name="40% - Ênfase1 28" xfId="454"/>
    <cellStyle name="40% - Ênfase1 29" xfId="455"/>
    <cellStyle name="40% - Ênfase1 3" xfId="456"/>
    <cellStyle name="40% - Ênfase1 3 2" xfId="457"/>
    <cellStyle name="40% - Ênfase1 30" xfId="458"/>
    <cellStyle name="40% - Ênfase1 31" xfId="459"/>
    <cellStyle name="40% - Ênfase1 32" xfId="460"/>
    <cellStyle name="40% - Ênfase1 33" xfId="461"/>
    <cellStyle name="40% - Ênfase1 34" xfId="462"/>
    <cellStyle name="40% - Ênfase1 35" xfId="463"/>
    <cellStyle name="40% - Ênfase1 36" xfId="464"/>
    <cellStyle name="40% - Ênfase1 4" xfId="465"/>
    <cellStyle name="40% - Ênfase1 4 2" xfId="466"/>
    <cellStyle name="40% - Ênfase1 5" xfId="467"/>
    <cellStyle name="40% - Ênfase1 5 2" xfId="468"/>
    <cellStyle name="40% - Ênfase1 6" xfId="469"/>
    <cellStyle name="40% - Ênfase1 6 2" xfId="470"/>
    <cellStyle name="40% - Ênfase1 7" xfId="471"/>
    <cellStyle name="40% - Ênfase1 7 2" xfId="472"/>
    <cellStyle name="40% - Ênfase1 8" xfId="473"/>
    <cellStyle name="40% - Ênfase1 8 2" xfId="474"/>
    <cellStyle name="40% - Ênfase1 9" xfId="475"/>
    <cellStyle name="40% - Ênfase1 9 2" xfId="476"/>
    <cellStyle name="40% - Ênfase2 10" xfId="477"/>
    <cellStyle name="40% - Ênfase2 10 2" xfId="478"/>
    <cellStyle name="40% - Ênfase2 11" xfId="479"/>
    <cellStyle name="40% - Ênfase2 11 2" xfId="480"/>
    <cellStyle name="40% - Ênfase2 12" xfId="481"/>
    <cellStyle name="40% - Ênfase2 12 2" xfId="482"/>
    <cellStyle name="40% - Ênfase2 13" xfId="483"/>
    <cellStyle name="40% - Ênfase2 13 2" xfId="484"/>
    <cellStyle name="40% - Ênfase2 14" xfId="485"/>
    <cellStyle name="40% - Ênfase2 14 2" xfId="486"/>
    <cellStyle name="40% - Ênfase2 15" xfId="487"/>
    <cellStyle name="40% - Ênfase2 15 2" xfId="488"/>
    <cellStyle name="40% - Ênfase2 16" xfId="489"/>
    <cellStyle name="40% - Ênfase2 16 2" xfId="490"/>
    <cellStyle name="40% - Ênfase2 17" xfId="491"/>
    <cellStyle name="40% - Ênfase2 17 2" xfId="492"/>
    <cellStyle name="40% - Ênfase2 18" xfId="493"/>
    <cellStyle name="40% - Ênfase2 18 2" xfId="494"/>
    <cellStyle name="40% - Ênfase2 19" xfId="495"/>
    <cellStyle name="40% - Ênfase2 19 2" xfId="496"/>
    <cellStyle name="40% - Ênfase2 2" xfId="497"/>
    <cellStyle name="40% - Ênfase2 2 2" xfId="498"/>
    <cellStyle name="40% - Ênfase2 20" xfId="499"/>
    <cellStyle name="40% - Ênfase2 20 2" xfId="500"/>
    <cellStyle name="40% - Ênfase2 21" xfId="501"/>
    <cellStyle name="40% - Ênfase2 21 2" xfId="502"/>
    <cellStyle name="40% - Ênfase2 22" xfId="503"/>
    <cellStyle name="40% - Ênfase2 22 2" xfId="504"/>
    <cellStyle name="40% - Ênfase2 23" xfId="505"/>
    <cellStyle name="40% - Ênfase2 23 2" xfId="506"/>
    <cellStyle name="40% - Ênfase2 24" xfId="507"/>
    <cellStyle name="40% - Ênfase2 24 2" xfId="508"/>
    <cellStyle name="40% - Ênfase2 25" xfId="509"/>
    <cellStyle name="40% - Ênfase2 26" xfId="510"/>
    <cellStyle name="40% - Ênfase2 27" xfId="511"/>
    <cellStyle name="40% - Ênfase2 28" xfId="512"/>
    <cellStyle name="40% - Ênfase2 29" xfId="513"/>
    <cellStyle name="40% - Ênfase2 3" xfId="514"/>
    <cellStyle name="40% - Ênfase2 3 2" xfId="515"/>
    <cellStyle name="40% - Ênfase2 30" xfId="516"/>
    <cellStyle name="40% - Ênfase2 31" xfId="517"/>
    <cellStyle name="40% - Ênfase2 32" xfId="518"/>
    <cellStyle name="40% - Ênfase2 33" xfId="519"/>
    <cellStyle name="40% - Ênfase2 34" xfId="520"/>
    <cellStyle name="40% - Ênfase2 35" xfId="521"/>
    <cellStyle name="40% - Ênfase2 36" xfId="522"/>
    <cellStyle name="40% - Ênfase2 4" xfId="523"/>
    <cellStyle name="40% - Ênfase2 4 2" xfId="524"/>
    <cellStyle name="40% - Ênfase2 5" xfId="525"/>
    <cellStyle name="40% - Ênfase2 5 2" xfId="526"/>
    <cellStyle name="40% - Ênfase2 6" xfId="527"/>
    <cellStyle name="40% - Ênfase2 6 2" xfId="528"/>
    <cellStyle name="40% - Ênfase2 7" xfId="529"/>
    <cellStyle name="40% - Ênfase2 7 2" xfId="530"/>
    <cellStyle name="40% - Ênfase2 8" xfId="531"/>
    <cellStyle name="40% - Ênfase2 8 2" xfId="532"/>
    <cellStyle name="40% - Ênfase2 9" xfId="533"/>
    <cellStyle name="40% - Ênfase2 9 2" xfId="534"/>
    <cellStyle name="40% - Ênfase3 10" xfId="535"/>
    <cellStyle name="40% - Ênfase3 10 2" xfId="536"/>
    <cellStyle name="40% - Ênfase3 11" xfId="537"/>
    <cellStyle name="40% - Ênfase3 11 2" xfId="538"/>
    <cellStyle name="40% - Ênfase3 12" xfId="539"/>
    <cellStyle name="40% - Ênfase3 12 2" xfId="540"/>
    <cellStyle name="40% - Ênfase3 13" xfId="541"/>
    <cellStyle name="40% - Ênfase3 13 2" xfId="542"/>
    <cellStyle name="40% - Ênfase3 14" xfId="543"/>
    <cellStyle name="40% - Ênfase3 14 2" xfId="544"/>
    <cellStyle name="40% - Ênfase3 15" xfId="545"/>
    <cellStyle name="40% - Ênfase3 15 2" xfId="546"/>
    <cellStyle name="40% - Ênfase3 16" xfId="547"/>
    <cellStyle name="40% - Ênfase3 16 2" xfId="548"/>
    <cellStyle name="40% - Ênfase3 17" xfId="549"/>
    <cellStyle name="40% - Ênfase3 17 2" xfId="550"/>
    <cellStyle name="40% - Ênfase3 18" xfId="551"/>
    <cellStyle name="40% - Ênfase3 18 2" xfId="552"/>
    <cellStyle name="40% - Ênfase3 19" xfId="553"/>
    <cellStyle name="40% - Ênfase3 19 2" xfId="554"/>
    <cellStyle name="40% - Ênfase3 2" xfId="555"/>
    <cellStyle name="40% - Ênfase3 2 2" xfId="556"/>
    <cellStyle name="40% - Ênfase3 20" xfId="557"/>
    <cellStyle name="40% - Ênfase3 20 2" xfId="558"/>
    <cellStyle name="40% - Ênfase3 21" xfId="559"/>
    <cellStyle name="40% - Ênfase3 21 2" xfId="560"/>
    <cellStyle name="40% - Ênfase3 22" xfId="561"/>
    <cellStyle name="40% - Ênfase3 22 2" xfId="562"/>
    <cellStyle name="40% - Ênfase3 23" xfId="563"/>
    <cellStyle name="40% - Ênfase3 23 2" xfId="564"/>
    <cellStyle name="40% - Ênfase3 24" xfId="565"/>
    <cellStyle name="40% - Ênfase3 24 2" xfId="566"/>
    <cellStyle name="40% - Ênfase3 25" xfId="567"/>
    <cellStyle name="40% - Ênfase3 26" xfId="568"/>
    <cellStyle name="40% - Ênfase3 27" xfId="569"/>
    <cellStyle name="40% - Ênfase3 28" xfId="570"/>
    <cellStyle name="40% - Ênfase3 29" xfId="571"/>
    <cellStyle name="40% - Ênfase3 3" xfId="572"/>
    <cellStyle name="40% - Ênfase3 3 2" xfId="573"/>
    <cellStyle name="40% - Ênfase3 30" xfId="574"/>
    <cellStyle name="40% - Ênfase3 31" xfId="575"/>
    <cellStyle name="40% - Ênfase3 32" xfId="576"/>
    <cellStyle name="40% - Ênfase3 33" xfId="577"/>
    <cellStyle name="40% - Ênfase3 34" xfId="578"/>
    <cellStyle name="40% - Ênfase3 35" xfId="579"/>
    <cellStyle name="40% - Ênfase3 36" xfId="580"/>
    <cellStyle name="40% - Ênfase3 4" xfId="581"/>
    <cellStyle name="40% - Ênfase3 4 2" xfId="582"/>
    <cellStyle name="40% - Ênfase3 5" xfId="583"/>
    <cellStyle name="40% - Ênfase3 5 2" xfId="584"/>
    <cellStyle name="40% - Ênfase3 6" xfId="585"/>
    <cellStyle name="40% - Ênfase3 6 2" xfId="586"/>
    <cellStyle name="40% - Ênfase3 7" xfId="587"/>
    <cellStyle name="40% - Ênfase3 7 2" xfId="588"/>
    <cellStyle name="40% - Ênfase3 8" xfId="589"/>
    <cellStyle name="40% - Ênfase3 8 2" xfId="590"/>
    <cellStyle name="40% - Ênfase3 9" xfId="591"/>
    <cellStyle name="40% - Ênfase3 9 2" xfId="592"/>
    <cellStyle name="40% - Ênfase4 10" xfId="593"/>
    <cellStyle name="40% - Ênfase4 10 2" xfId="594"/>
    <cellStyle name="40% - Ênfase4 11" xfId="595"/>
    <cellStyle name="40% - Ênfase4 11 2" xfId="596"/>
    <cellStyle name="40% - Ênfase4 12" xfId="597"/>
    <cellStyle name="40% - Ênfase4 12 2" xfId="598"/>
    <cellStyle name="40% - Ênfase4 13" xfId="599"/>
    <cellStyle name="40% - Ênfase4 13 2" xfId="600"/>
    <cellStyle name="40% - Ênfase4 14" xfId="601"/>
    <cellStyle name="40% - Ênfase4 14 2" xfId="602"/>
    <cellStyle name="40% - Ênfase4 15" xfId="603"/>
    <cellStyle name="40% - Ênfase4 15 2" xfId="604"/>
    <cellStyle name="40% - Ênfase4 16" xfId="605"/>
    <cellStyle name="40% - Ênfase4 16 2" xfId="606"/>
    <cellStyle name="40% - Ênfase4 17" xfId="607"/>
    <cellStyle name="40% - Ênfase4 17 2" xfId="608"/>
    <cellStyle name="40% - Ênfase4 18" xfId="609"/>
    <cellStyle name="40% - Ênfase4 18 2" xfId="610"/>
    <cellStyle name="40% - Ênfase4 19" xfId="611"/>
    <cellStyle name="40% - Ênfase4 19 2" xfId="612"/>
    <cellStyle name="40% - Ênfase4 2" xfId="613"/>
    <cellStyle name="40% - Ênfase4 2 2" xfId="614"/>
    <cellStyle name="40% - Ênfase4 20" xfId="615"/>
    <cellStyle name="40% - Ênfase4 20 2" xfId="616"/>
    <cellStyle name="40% - Ênfase4 21" xfId="617"/>
    <cellStyle name="40% - Ênfase4 21 2" xfId="618"/>
    <cellStyle name="40% - Ênfase4 22" xfId="619"/>
    <cellStyle name="40% - Ênfase4 22 2" xfId="620"/>
    <cellStyle name="40% - Ênfase4 23" xfId="621"/>
    <cellStyle name="40% - Ênfase4 23 2" xfId="622"/>
    <cellStyle name="40% - Ênfase4 24" xfId="623"/>
    <cellStyle name="40% - Ênfase4 24 2" xfId="624"/>
    <cellStyle name="40% - Ênfase4 25" xfId="625"/>
    <cellStyle name="40% - Ênfase4 26" xfId="626"/>
    <cellStyle name="40% - Ênfase4 27" xfId="627"/>
    <cellStyle name="40% - Ênfase4 28" xfId="628"/>
    <cellStyle name="40% - Ênfase4 29" xfId="629"/>
    <cellStyle name="40% - Ênfase4 3" xfId="630"/>
    <cellStyle name="40% - Ênfase4 3 2" xfId="631"/>
    <cellStyle name="40% - Ênfase4 30" xfId="632"/>
    <cellStyle name="40% - Ênfase4 31" xfId="633"/>
    <cellStyle name="40% - Ênfase4 32" xfId="634"/>
    <cellStyle name="40% - Ênfase4 33" xfId="635"/>
    <cellStyle name="40% - Ênfase4 34" xfId="636"/>
    <cellStyle name="40% - Ênfase4 35" xfId="637"/>
    <cellStyle name="40% - Ênfase4 36" xfId="638"/>
    <cellStyle name="40% - Ênfase4 4" xfId="639"/>
    <cellStyle name="40% - Ênfase4 4 2" xfId="640"/>
    <cellStyle name="40% - Ênfase4 5" xfId="641"/>
    <cellStyle name="40% - Ênfase4 5 2" xfId="642"/>
    <cellStyle name="40% - Ênfase4 6" xfId="643"/>
    <cellStyle name="40% - Ênfase4 6 2" xfId="644"/>
    <cellStyle name="40% - Ênfase4 7" xfId="645"/>
    <cellStyle name="40% - Ênfase4 7 2" xfId="646"/>
    <cellStyle name="40% - Ênfase4 8" xfId="647"/>
    <cellStyle name="40% - Ênfase4 8 2" xfId="648"/>
    <cellStyle name="40% - Ênfase4 9" xfId="649"/>
    <cellStyle name="40% - Ênfase4 9 2" xfId="650"/>
    <cellStyle name="40% - Ênfase5 10" xfId="651"/>
    <cellStyle name="40% - Ênfase5 10 2" xfId="652"/>
    <cellStyle name="40% - Ênfase5 11" xfId="653"/>
    <cellStyle name="40% - Ênfase5 11 2" xfId="654"/>
    <cellStyle name="40% - Ênfase5 12" xfId="655"/>
    <cellStyle name="40% - Ênfase5 12 2" xfId="656"/>
    <cellStyle name="40% - Ênfase5 13" xfId="657"/>
    <cellStyle name="40% - Ênfase5 13 2" xfId="658"/>
    <cellStyle name="40% - Ênfase5 14" xfId="659"/>
    <cellStyle name="40% - Ênfase5 14 2" xfId="660"/>
    <cellStyle name="40% - Ênfase5 15" xfId="661"/>
    <cellStyle name="40% - Ênfase5 15 2" xfId="662"/>
    <cellStyle name="40% - Ênfase5 16" xfId="663"/>
    <cellStyle name="40% - Ênfase5 16 2" xfId="664"/>
    <cellStyle name="40% - Ênfase5 17" xfId="665"/>
    <cellStyle name="40% - Ênfase5 17 2" xfId="666"/>
    <cellStyle name="40% - Ênfase5 18" xfId="667"/>
    <cellStyle name="40% - Ênfase5 18 2" xfId="668"/>
    <cellStyle name="40% - Ênfase5 19" xfId="669"/>
    <cellStyle name="40% - Ênfase5 19 2" xfId="670"/>
    <cellStyle name="40% - Ênfase5 2" xfId="671"/>
    <cellStyle name="40% - Ênfase5 2 2" xfId="672"/>
    <cellStyle name="40% - Ênfase5 20" xfId="673"/>
    <cellStyle name="40% - Ênfase5 20 2" xfId="674"/>
    <cellStyle name="40% - Ênfase5 21" xfId="675"/>
    <cellStyle name="40% - Ênfase5 21 2" xfId="676"/>
    <cellStyle name="40% - Ênfase5 22" xfId="677"/>
    <cellStyle name="40% - Ênfase5 22 2" xfId="678"/>
    <cellStyle name="40% - Ênfase5 23" xfId="679"/>
    <cellStyle name="40% - Ênfase5 23 2" xfId="680"/>
    <cellStyle name="40% - Ênfase5 24" xfId="681"/>
    <cellStyle name="40% - Ênfase5 24 2" xfId="682"/>
    <cellStyle name="40% - Ênfase5 25" xfId="683"/>
    <cellStyle name="40% - Ênfase5 26" xfId="684"/>
    <cellStyle name="40% - Ênfase5 27" xfId="685"/>
    <cellStyle name="40% - Ênfase5 28" xfId="686"/>
    <cellStyle name="40% - Ênfase5 29" xfId="687"/>
    <cellStyle name="40% - Ênfase5 3" xfId="688"/>
    <cellStyle name="40% - Ênfase5 3 2" xfId="689"/>
    <cellStyle name="40% - Ênfase5 30" xfId="690"/>
    <cellStyle name="40% - Ênfase5 31" xfId="691"/>
    <cellStyle name="40% - Ênfase5 32" xfId="692"/>
    <cellStyle name="40% - Ênfase5 33" xfId="693"/>
    <cellStyle name="40% - Ênfase5 34" xfId="694"/>
    <cellStyle name="40% - Ênfase5 35" xfId="695"/>
    <cellStyle name="40% - Ênfase5 36" xfId="696"/>
    <cellStyle name="40% - Ênfase5 4" xfId="697"/>
    <cellStyle name="40% - Ênfase5 4 2" xfId="698"/>
    <cellStyle name="40% - Ênfase5 5" xfId="699"/>
    <cellStyle name="40% - Ênfase5 5 2" xfId="700"/>
    <cellStyle name="40% - Ênfase5 6" xfId="701"/>
    <cellStyle name="40% - Ênfase5 6 2" xfId="702"/>
    <cellStyle name="40% - Ênfase5 7" xfId="703"/>
    <cellStyle name="40% - Ênfase5 7 2" xfId="704"/>
    <cellStyle name="40% - Ênfase5 8" xfId="705"/>
    <cellStyle name="40% - Ênfase5 8 2" xfId="706"/>
    <cellStyle name="40% - Ênfase5 9" xfId="707"/>
    <cellStyle name="40% - Ênfase5 9 2" xfId="708"/>
    <cellStyle name="40% - Ênfase6 10" xfId="709"/>
    <cellStyle name="40% - Ênfase6 10 2" xfId="710"/>
    <cellStyle name="40% - Ênfase6 11" xfId="711"/>
    <cellStyle name="40% - Ênfase6 11 2" xfId="712"/>
    <cellStyle name="40% - Ênfase6 12" xfId="713"/>
    <cellStyle name="40% - Ênfase6 12 2" xfId="714"/>
    <cellStyle name="40% - Ênfase6 13" xfId="715"/>
    <cellStyle name="40% - Ênfase6 13 2" xfId="716"/>
    <cellStyle name="40% - Ênfase6 14" xfId="717"/>
    <cellStyle name="40% - Ênfase6 14 2" xfId="718"/>
    <cellStyle name="40% - Ênfase6 15" xfId="719"/>
    <cellStyle name="40% - Ênfase6 15 2" xfId="720"/>
    <cellStyle name="40% - Ênfase6 16" xfId="721"/>
    <cellStyle name="40% - Ênfase6 16 2" xfId="722"/>
    <cellStyle name="40% - Ênfase6 17" xfId="723"/>
    <cellStyle name="40% - Ênfase6 17 2" xfId="724"/>
    <cellStyle name="40% - Ênfase6 18" xfId="725"/>
    <cellStyle name="40% - Ênfase6 18 2" xfId="726"/>
    <cellStyle name="40% - Ênfase6 19" xfId="727"/>
    <cellStyle name="40% - Ênfase6 19 2" xfId="728"/>
    <cellStyle name="40% - Ênfase6 2" xfId="729"/>
    <cellStyle name="40% - Ênfase6 2 2" xfId="730"/>
    <cellStyle name="40% - Ênfase6 20" xfId="731"/>
    <cellStyle name="40% - Ênfase6 20 2" xfId="732"/>
    <cellStyle name="40% - Ênfase6 21" xfId="733"/>
    <cellStyle name="40% - Ênfase6 21 2" xfId="734"/>
    <cellStyle name="40% - Ênfase6 22" xfId="735"/>
    <cellStyle name="40% - Ênfase6 22 2" xfId="736"/>
    <cellStyle name="40% - Ênfase6 23" xfId="737"/>
    <cellStyle name="40% - Ênfase6 23 2" xfId="738"/>
    <cellStyle name="40% - Ênfase6 24" xfId="739"/>
    <cellStyle name="40% - Ênfase6 24 2" xfId="740"/>
    <cellStyle name="40% - Ênfase6 25" xfId="741"/>
    <cellStyle name="40% - Ênfase6 26" xfId="742"/>
    <cellStyle name="40% - Ênfase6 27" xfId="743"/>
    <cellStyle name="40% - Ênfase6 28" xfId="744"/>
    <cellStyle name="40% - Ênfase6 29" xfId="745"/>
    <cellStyle name="40% - Ênfase6 3" xfId="746"/>
    <cellStyle name="40% - Ênfase6 3 2" xfId="747"/>
    <cellStyle name="40% - Ênfase6 30" xfId="748"/>
    <cellStyle name="40% - Ênfase6 31" xfId="749"/>
    <cellStyle name="40% - Ênfase6 32" xfId="750"/>
    <cellStyle name="40% - Ênfase6 33" xfId="751"/>
    <cellStyle name="40% - Ênfase6 34" xfId="752"/>
    <cellStyle name="40% - Ênfase6 35" xfId="753"/>
    <cellStyle name="40% - Ênfase6 36" xfId="754"/>
    <cellStyle name="40% - Ênfase6 4" xfId="755"/>
    <cellStyle name="40% - Ênfase6 4 2" xfId="756"/>
    <cellStyle name="40% - Ênfase6 5" xfId="757"/>
    <cellStyle name="40% - Ênfase6 5 2" xfId="758"/>
    <cellStyle name="40% - Ênfase6 6" xfId="759"/>
    <cellStyle name="40% - Ênfase6 6 2" xfId="760"/>
    <cellStyle name="40% - Ênfase6 7" xfId="761"/>
    <cellStyle name="40% - Ênfase6 7 2" xfId="762"/>
    <cellStyle name="40% - Ênfase6 8" xfId="763"/>
    <cellStyle name="40% - Ênfase6 8 2" xfId="764"/>
    <cellStyle name="40% - Ênfase6 9" xfId="765"/>
    <cellStyle name="40% - Ênfase6 9 2" xfId="766"/>
    <cellStyle name="Comma 2" xfId="1"/>
    <cellStyle name="Comma 2 2" xfId="2"/>
    <cellStyle name="Comma 2 2 2" xfId="31"/>
    <cellStyle name="Comma 2 2 2 2" xfId="60"/>
    <cellStyle name="Comma 2 2 3" xfId="51"/>
    <cellStyle name="Comma 2 3" xfId="3"/>
    <cellStyle name="Comma 2 3 2" xfId="32"/>
    <cellStyle name="Comma 2 3 2 2" xfId="61"/>
    <cellStyle name="Comma 2 3 3" xfId="52"/>
    <cellStyle name="Comma 2 4" xfId="4"/>
    <cellStyle name="Comma 2 4 2" xfId="33"/>
    <cellStyle name="Comma 2 4 2 2" xfId="62"/>
    <cellStyle name="Comma 2 4 3" xfId="53"/>
    <cellStyle name="Comma 2 5" xfId="30"/>
    <cellStyle name="Comma 2 5 2" xfId="59"/>
    <cellStyle name="Comma 2 6" xfId="50"/>
    <cellStyle name="Hiperlink" xfId="5" builtinId="8"/>
    <cellStyle name="Hyperlink 2" xfId="6"/>
    <cellStyle name="Moeda 2" xfId="34"/>
    <cellStyle name="Moeda 3" xfId="858"/>
    <cellStyle name="Normal" xfId="0" builtinId="0"/>
    <cellStyle name="Normal 10" xfId="25"/>
    <cellStyle name="Normal 10 2" xfId="767"/>
    <cellStyle name="Normal 11" xfId="768"/>
    <cellStyle name="Normal 11 2" xfId="769"/>
    <cellStyle name="Normal 12" xfId="770"/>
    <cellStyle name="Normal 13" xfId="771"/>
    <cellStyle name="Normal 14" xfId="772"/>
    <cellStyle name="Normal 15" xfId="773"/>
    <cellStyle name="Normal 16" xfId="774"/>
    <cellStyle name="Normal 17" xfId="69"/>
    <cellStyle name="Normal 2" xfId="7"/>
    <cellStyle name="Normal 2 2" xfId="8"/>
    <cellStyle name="Normal 2 2 2" xfId="36"/>
    <cellStyle name="Normal 2 2 2 2" xfId="777"/>
    <cellStyle name="Normal 2 2 3" xfId="776"/>
    <cellStyle name="Normal 2 3" xfId="35"/>
    <cellStyle name="Normal 2 3 2" xfId="63"/>
    <cellStyle name="Normal 2 3 3" xfId="778"/>
    <cellStyle name="Normal 2 4" xfId="54"/>
    <cellStyle name="Normal 2 5" xfId="775"/>
    <cellStyle name="Normal 26 2 2" xfId="26"/>
    <cellStyle name="Normal 26 2 2 2" xfId="49"/>
    <cellStyle name="Normal 26 2 2 2 2" xfId="68"/>
    <cellStyle name="Normal 26 2 2 3" xfId="56"/>
    <cellStyle name="Normal 3" xfId="29"/>
    <cellStyle name="Normal 3 2" xfId="9"/>
    <cellStyle name="Normal 3 2 2" xfId="37"/>
    <cellStyle name="Normal 3 3" xfId="10"/>
    <cellStyle name="Normal 3 3 2" xfId="38"/>
    <cellStyle name="Normal 3 4" xfId="11"/>
    <cellStyle name="Normal 3 4 2" xfId="39"/>
    <cellStyle name="Normal 4" xfId="27"/>
    <cellStyle name="Normal 4 2" xfId="57"/>
    <cellStyle name="Normal 4 2 2" xfId="780"/>
    <cellStyle name="Normal 4 3" xfId="779"/>
    <cellStyle name="Normal 5" xfId="781"/>
    <cellStyle name="Normal 5 2" xfId="782"/>
    <cellStyle name="Normal 6" xfId="783"/>
    <cellStyle name="Normal 6 2" xfId="784"/>
    <cellStyle name="Normal 7" xfId="785"/>
    <cellStyle name="Normal 7 2" xfId="786"/>
    <cellStyle name="Normal 8" xfId="787"/>
    <cellStyle name="Normal 8 2" xfId="788"/>
    <cellStyle name="Normal 9" xfId="789"/>
    <cellStyle name="Normal 9 2" xfId="790"/>
    <cellStyle name="Nota 10" xfId="791"/>
    <cellStyle name="Nota 10 2" xfId="792"/>
    <cellStyle name="Nota 11" xfId="793"/>
    <cellStyle name="Nota 11 2" xfId="794"/>
    <cellStyle name="Nota 12" xfId="795"/>
    <cellStyle name="Nota 12 2" xfId="796"/>
    <cellStyle name="Nota 13" xfId="797"/>
    <cellStyle name="Nota 13 2" xfId="798"/>
    <cellStyle name="Nota 14" xfId="799"/>
    <cellStyle name="Nota 14 2" xfId="800"/>
    <cellStyle name="Nota 15" xfId="801"/>
    <cellStyle name="Nota 15 2" xfId="802"/>
    <cellStyle name="Nota 16" xfId="803"/>
    <cellStyle name="Nota 16 2" xfId="804"/>
    <cellStyle name="Nota 17" xfId="805"/>
    <cellStyle name="Nota 17 2" xfId="806"/>
    <cellStyle name="Nota 18" xfId="807"/>
    <cellStyle name="Nota 18 2" xfId="808"/>
    <cellStyle name="Nota 19" xfId="809"/>
    <cellStyle name="Nota 19 2" xfId="810"/>
    <cellStyle name="Nota 2" xfId="811"/>
    <cellStyle name="Nota 20" xfId="812"/>
    <cellStyle name="Nota 20 2" xfId="813"/>
    <cellStyle name="Nota 21" xfId="814"/>
    <cellStyle name="Nota 21 2" xfId="815"/>
    <cellStyle name="Nota 22" xfId="816"/>
    <cellStyle name="Nota 22 2" xfId="817"/>
    <cellStyle name="Nota 23" xfId="818"/>
    <cellStyle name="Nota 23 2" xfId="819"/>
    <cellStyle name="Nota 24" xfId="820"/>
    <cellStyle name="Nota 24 2" xfId="821"/>
    <cellStyle name="Nota 25" xfId="822"/>
    <cellStyle name="Nota 25 2" xfId="823"/>
    <cellStyle name="Nota 26" xfId="824"/>
    <cellStyle name="Nota 26 2" xfId="825"/>
    <cellStyle name="Nota 27" xfId="826"/>
    <cellStyle name="Nota 28" xfId="827"/>
    <cellStyle name="Nota 29" xfId="828"/>
    <cellStyle name="Nota 3" xfId="829"/>
    <cellStyle name="Nota 3 2" xfId="830"/>
    <cellStyle name="Nota 30" xfId="831"/>
    <cellStyle name="Nota 31" xfId="832"/>
    <cellStyle name="Nota 32" xfId="833"/>
    <cellStyle name="Nota 33" xfId="834"/>
    <cellStyle name="Nota 34" xfId="835"/>
    <cellStyle name="Nota 35" xfId="836"/>
    <cellStyle name="Nota 36" xfId="837"/>
    <cellStyle name="Nota 37" xfId="838"/>
    <cellStyle name="Nota 4" xfId="839"/>
    <cellStyle name="Nota 4 2" xfId="840"/>
    <cellStyle name="Nota 5" xfId="841"/>
    <cellStyle name="Nota 5 2" xfId="842"/>
    <cellStyle name="Nota 6" xfId="843"/>
    <cellStyle name="Nota 6 2" xfId="844"/>
    <cellStyle name="Nota 7" xfId="845"/>
    <cellStyle name="Nota 7 2" xfId="846"/>
    <cellStyle name="Nota 8" xfId="847"/>
    <cellStyle name="Nota 8 2" xfId="848"/>
    <cellStyle name="Nota 9" xfId="849"/>
    <cellStyle name="Nota 9 2" xfId="850"/>
    <cellStyle name="Percent 2" xfId="12"/>
    <cellStyle name="Percent 2 2" xfId="13"/>
    <cellStyle name="Percent 2 3" xfId="14"/>
    <cellStyle name="Percent 2 4" xfId="15"/>
    <cellStyle name="Porcentagem" xfId="16" builtinId="5"/>
    <cellStyle name="Porcentagem 2" xfId="17"/>
    <cellStyle name="Porcentagem 2 2" xfId="18"/>
    <cellStyle name="Porcentagem 2 2 2" xfId="42"/>
    <cellStyle name="Porcentagem 2 3" xfId="19"/>
    <cellStyle name="Porcentagem 2 3 2" xfId="43"/>
    <cellStyle name="Porcentagem 2 4" xfId="20"/>
    <cellStyle name="Porcentagem 2 4 2" xfId="44"/>
    <cellStyle name="Porcentagem 2 5" xfId="41"/>
    <cellStyle name="Porcentagem 2 6" xfId="851"/>
    <cellStyle name="Porcentagem 3" xfId="40"/>
    <cellStyle name="Porcentagem 4" xfId="859"/>
    <cellStyle name="Separador de milhares 2" xfId="21"/>
    <cellStyle name="Separador de milhares 2 2" xfId="45"/>
    <cellStyle name="Separador de milhares 2 2 2" xfId="64"/>
    <cellStyle name="Separador de milhares 2 3" xfId="55"/>
    <cellStyle name="Separador de milhares 4" xfId="22"/>
    <cellStyle name="Separador de milhares 4 2" xfId="46"/>
    <cellStyle name="Separador de milhares 4 2 2" xfId="65"/>
    <cellStyle name="Vírgula" xfId="23" builtinId="3"/>
    <cellStyle name="Vírgula 2" xfId="47"/>
    <cellStyle name="Vírgula 2 2" xfId="66"/>
    <cellStyle name="Vírgula 2 2 2" xfId="853"/>
    <cellStyle name="Vírgula 2 3" xfId="854"/>
    <cellStyle name="Vírgula 2 4" xfId="852"/>
    <cellStyle name="Vírgula 3" xfId="24"/>
    <cellStyle name="Vírgula 3 2" xfId="48"/>
    <cellStyle name="Vírgula 3 2 2" xfId="67"/>
    <cellStyle name="Vírgula 3 2 3" xfId="856"/>
    <cellStyle name="Vírgula 3 3" xfId="855"/>
    <cellStyle name="Vírgula 4" xfId="28"/>
    <cellStyle name="Vírgula 4 2" xfId="58"/>
    <cellStyle name="Vírgula 4 3" xfId="857"/>
    <cellStyle name="Vírgula 5" xfId="70"/>
  </cellStyles>
  <dxfs count="20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auto="1"/>
      </font>
      <fill>
        <patternFill>
          <fgColor rgb="FF00B050"/>
          <bgColor rgb="FF00B050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auto="1"/>
      </font>
      <fill>
        <patternFill>
          <fgColor rgb="FF00B050"/>
          <bgColor rgb="FF00B050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auto="1"/>
      </font>
      <fill>
        <patternFill>
          <fgColor rgb="FF00B050"/>
          <bgColor rgb="FF00B050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CC"/>
      <color rgb="FFFF5050"/>
      <color rgb="FF92CDD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448734</xdr:colOff>
      <xdr:row>57</xdr:row>
      <xdr:rowOff>110066</xdr:rowOff>
    </xdr:from>
    <xdr:to>
      <xdr:col>6</xdr:col>
      <xdr:colOff>660401</xdr:colOff>
      <xdr:row>58</xdr:row>
      <xdr:rowOff>173566</xdr:rowOff>
    </xdr:to>
    <xdr:sp macro="" textlink="">
      <xdr:nvSpPr>
        <xdr:cNvPr id="2" name="Seta: para Baixo 1">
          <a:extLst>
            <a:ext uri="{FF2B5EF4-FFF2-40B4-BE49-F238E27FC236}">
              <a16:creationId xmlns="" xmlns:a16="http://schemas.microsoft.com/office/drawing/2014/main" id="{41ECC979-4814-43B0-B8E7-7D24CE693114}"/>
            </a:ext>
          </a:extLst>
        </xdr:cNvPr>
        <xdr:cNvSpPr/>
      </xdr:nvSpPr>
      <xdr:spPr>
        <a:xfrm>
          <a:off x="7592484" y="10720916"/>
          <a:ext cx="211667" cy="29210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6</xdr:col>
      <xdr:colOff>33097</xdr:colOff>
      <xdr:row>54</xdr:row>
      <xdr:rowOff>109104</xdr:rowOff>
    </xdr:from>
    <xdr:to>
      <xdr:col>6</xdr:col>
      <xdr:colOff>1108363</xdr:colOff>
      <xdr:row>57</xdr:row>
      <xdr:rowOff>69273</xdr:rowOff>
    </xdr:to>
    <xdr:sp macro="" textlink="">
      <xdr:nvSpPr>
        <xdr:cNvPr id="3" name="CaixaDeTexto 2">
          <a:extLst>
            <a:ext uri="{FF2B5EF4-FFF2-40B4-BE49-F238E27FC236}">
              <a16:creationId xmlns="" xmlns:a16="http://schemas.microsoft.com/office/drawing/2014/main" id="{3B6B1345-7D99-4962-B32C-FBF4C08A97BB}"/>
            </a:ext>
          </a:extLst>
        </xdr:cNvPr>
        <xdr:cNvSpPr txBox="1"/>
      </xdr:nvSpPr>
      <xdr:spPr>
        <a:xfrm>
          <a:off x="7176847" y="10335490"/>
          <a:ext cx="1075266" cy="46239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100" b="1">
              <a:solidFill>
                <a:srgbClr val="FF0000"/>
              </a:solidFill>
            </a:rPr>
            <a:t>Tarifas +</a:t>
          </a:r>
          <a:r>
            <a:rPr lang="pt-BR" sz="1100" b="1" baseline="0">
              <a:solidFill>
                <a:srgbClr val="FF0000"/>
              </a:solidFill>
            </a:rPr>
            <a:t> Fator Postal</a:t>
          </a:r>
        </a:p>
        <a:p>
          <a:pPr algn="ctr"/>
          <a:endParaRPr lang="pt-BR" sz="1100" b="1">
            <a:solidFill>
              <a:srgbClr val="FF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448734</xdr:colOff>
      <xdr:row>57</xdr:row>
      <xdr:rowOff>110066</xdr:rowOff>
    </xdr:from>
    <xdr:to>
      <xdr:col>6</xdr:col>
      <xdr:colOff>660401</xdr:colOff>
      <xdr:row>58</xdr:row>
      <xdr:rowOff>173566</xdr:rowOff>
    </xdr:to>
    <xdr:sp macro="" textlink="">
      <xdr:nvSpPr>
        <xdr:cNvPr id="2" name="Seta: para Baixo 1">
          <a:extLst>
            <a:ext uri="{FF2B5EF4-FFF2-40B4-BE49-F238E27FC236}">
              <a16:creationId xmlns="" xmlns:a16="http://schemas.microsoft.com/office/drawing/2014/main" id="{D6947BE4-32A6-4A98-94E9-B6D418E741D6}"/>
            </a:ext>
          </a:extLst>
        </xdr:cNvPr>
        <xdr:cNvSpPr/>
      </xdr:nvSpPr>
      <xdr:spPr>
        <a:xfrm>
          <a:off x="7592484" y="10720916"/>
          <a:ext cx="211667" cy="29210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6</xdr:col>
      <xdr:colOff>33097</xdr:colOff>
      <xdr:row>54</xdr:row>
      <xdr:rowOff>109104</xdr:rowOff>
    </xdr:from>
    <xdr:to>
      <xdr:col>6</xdr:col>
      <xdr:colOff>1108363</xdr:colOff>
      <xdr:row>57</xdr:row>
      <xdr:rowOff>69273</xdr:rowOff>
    </xdr:to>
    <xdr:sp macro="" textlink="">
      <xdr:nvSpPr>
        <xdr:cNvPr id="3" name="CaixaDeTexto 2">
          <a:extLst>
            <a:ext uri="{FF2B5EF4-FFF2-40B4-BE49-F238E27FC236}">
              <a16:creationId xmlns="" xmlns:a16="http://schemas.microsoft.com/office/drawing/2014/main" id="{0503CB51-4D17-4F61-8088-B55BB8628FFE}"/>
            </a:ext>
          </a:extLst>
        </xdr:cNvPr>
        <xdr:cNvSpPr txBox="1"/>
      </xdr:nvSpPr>
      <xdr:spPr>
        <a:xfrm>
          <a:off x="7176847" y="10224654"/>
          <a:ext cx="1075266" cy="45546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100" b="1">
              <a:solidFill>
                <a:srgbClr val="FF0000"/>
              </a:solidFill>
            </a:rPr>
            <a:t>Tarifas +</a:t>
          </a:r>
          <a:r>
            <a:rPr lang="pt-BR" sz="1100" b="1" baseline="0">
              <a:solidFill>
                <a:srgbClr val="FF0000"/>
              </a:solidFill>
            </a:rPr>
            <a:t> Fator Postal</a:t>
          </a:r>
        </a:p>
        <a:p>
          <a:pPr algn="ctr"/>
          <a:endParaRPr lang="pt-BR" sz="1100" b="1">
            <a:solidFill>
              <a:srgbClr val="FF0000"/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Documents%20and%20Settings\lveloso\Meus%20documentos\G&#225;s%20Natural\CPAC\Tarifa\Dado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Material%20de%20Estudo\Modelagem%20Tarif&#225;ria\Receita%20Anual%20M&#225;xima%20(ANP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-Bill"/>
      <sheetName val="TIPS"/>
      <sheetName val="EMBI+"/>
      <sheetName val="Plan2"/>
      <sheetName val="Plan3"/>
    </sheetNames>
    <sheetDataSet>
      <sheetData sheetId="0"/>
      <sheetData sheetId="1" refreshError="1">
        <row r="20">
          <cell r="D20">
            <v>2.3399999999999997E-2</v>
          </cell>
        </row>
      </sheetData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WACC"/>
      <sheetName val="Input (Assets)"/>
      <sheetName val="Assets"/>
      <sheetName val="Dívida BNDES"/>
      <sheetName val="Tarifa (FCLA)"/>
    </sheetNames>
    <sheetDataSet>
      <sheetData sheetId="0">
        <row r="4">
          <cell r="C4">
            <v>5138</v>
          </cell>
        </row>
        <row r="5">
          <cell r="C5">
            <v>20</v>
          </cell>
        </row>
        <row r="8">
          <cell r="C8">
            <v>4.7555936835712062E-2</v>
          </cell>
        </row>
        <row r="9">
          <cell r="C9">
            <v>1.3000000000000001E-2</v>
          </cell>
        </row>
        <row r="10">
          <cell r="C10">
            <v>0.01</v>
          </cell>
        </row>
        <row r="11">
          <cell r="C11">
            <v>5.8999999999999997E-2</v>
          </cell>
        </row>
        <row r="12">
          <cell r="C12">
            <v>0</v>
          </cell>
        </row>
        <row r="13">
          <cell r="C13">
            <v>0.6</v>
          </cell>
        </row>
        <row r="14">
          <cell r="C14">
            <v>0</v>
          </cell>
        </row>
        <row r="15">
          <cell r="C15">
            <v>0.62</v>
          </cell>
        </row>
      </sheetData>
      <sheetData sheetId="1">
        <row r="30">
          <cell r="E30">
            <v>0.12080333089268684</v>
          </cell>
        </row>
      </sheetData>
      <sheetData sheetId="2">
        <row r="7">
          <cell r="F7">
            <v>5138</v>
          </cell>
          <cell r="G7">
            <v>30</v>
          </cell>
          <cell r="H7">
            <v>30</v>
          </cell>
          <cell r="I7">
            <v>5138</v>
          </cell>
          <cell r="J7">
            <v>30</v>
          </cell>
          <cell r="K7">
            <v>30</v>
          </cell>
        </row>
        <row r="8">
          <cell r="F8">
            <v>0</v>
          </cell>
          <cell r="G8" t="str">
            <v>n/a</v>
          </cell>
          <cell r="H8" t="str">
            <v>n/a</v>
          </cell>
          <cell r="I8">
            <v>0</v>
          </cell>
          <cell r="J8" t="str">
            <v>n/a</v>
          </cell>
          <cell r="K8" t="str">
            <v>n/a</v>
          </cell>
        </row>
        <row r="9">
          <cell r="F9">
            <v>0</v>
          </cell>
          <cell r="G9" t="str">
            <v>n/a</v>
          </cell>
          <cell r="H9" t="str">
            <v>n/a</v>
          </cell>
          <cell r="I9">
            <v>0</v>
          </cell>
          <cell r="J9" t="str">
            <v>n/a</v>
          </cell>
          <cell r="K9" t="str">
            <v>n/a</v>
          </cell>
        </row>
      </sheetData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>
    <tabColor theme="8"/>
  </sheetPr>
  <dimension ref="A1:F85"/>
  <sheetViews>
    <sheetView showGridLines="0" tabSelected="1" zoomScale="120" zoomScaleNormal="120" workbookViewId="0">
      <selection activeCell="I49" sqref="I49"/>
    </sheetView>
  </sheetViews>
  <sheetFormatPr defaultColWidth="8.85546875" defaultRowHeight="12.75" x14ac:dyDescent="0.2"/>
  <cols>
    <col min="1" max="1" width="81.5703125" style="132" customWidth="1"/>
    <col min="2" max="2" width="12.7109375" style="132" customWidth="1"/>
    <col min="3" max="6" width="9.7109375" style="132" customWidth="1"/>
    <col min="7" max="16384" width="8.85546875" style="132"/>
  </cols>
  <sheetData>
    <row r="1" spans="1:6" s="127" customFormat="1" ht="15.75" x14ac:dyDescent="0.25">
      <c r="A1" s="126"/>
    </row>
    <row r="2" spans="1:6" s="129" customFormat="1" ht="15.75" thickBot="1" x14ac:dyDescent="0.3">
      <c r="A2" s="128"/>
    </row>
    <row r="3" spans="1:6" s="131" customFormat="1" ht="16.5" thickBot="1" x14ac:dyDescent="0.25">
      <c r="A3" s="130" t="s">
        <v>82</v>
      </c>
    </row>
    <row r="4" spans="1:6" s="131" customFormat="1" x14ac:dyDescent="0.2"/>
    <row r="5" spans="1:6" s="131" customFormat="1" x14ac:dyDescent="0.2"/>
    <row r="6" spans="1:6" s="131" customFormat="1" ht="18.75" customHeight="1" thickBot="1" x14ac:dyDescent="0.25">
      <c r="A6" s="324" t="s">
        <v>36</v>
      </c>
      <c r="B6" s="327" t="s">
        <v>338</v>
      </c>
      <c r="C6" s="327" t="s">
        <v>339</v>
      </c>
      <c r="D6" s="327" t="s">
        <v>340</v>
      </c>
      <c r="E6" s="327" t="s">
        <v>341</v>
      </c>
      <c r="F6" s="328" t="s">
        <v>342</v>
      </c>
    </row>
    <row r="7" spans="1:6" s="131" customFormat="1" ht="18.75" customHeight="1" thickTop="1" x14ac:dyDescent="0.2">
      <c r="A7" s="378"/>
      <c r="B7" s="329"/>
      <c r="C7" s="329"/>
      <c r="D7" s="329"/>
      <c r="E7" s="329"/>
      <c r="F7" s="330"/>
    </row>
    <row r="8" spans="1:6" s="131" customFormat="1" x14ac:dyDescent="0.2">
      <c r="A8" s="285" t="s">
        <v>66</v>
      </c>
      <c r="B8" s="379">
        <v>0.25</v>
      </c>
      <c r="C8" s="380">
        <v>0.25</v>
      </c>
      <c r="D8" s="380">
        <v>0.25</v>
      </c>
      <c r="E8" s="380">
        <v>0.25</v>
      </c>
      <c r="F8" s="381">
        <v>0.25</v>
      </c>
    </row>
    <row r="9" spans="1:6" s="131" customFormat="1" x14ac:dyDescent="0.2">
      <c r="A9" s="314" t="s">
        <v>65</v>
      </c>
      <c r="B9" s="382">
        <v>0.09</v>
      </c>
      <c r="C9" s="382">
        <v>0.09</v>
      </c>
      <c r="D9" s="382">
        <v>0.09</v>
      </c>
      <c r="E9" s="382">
        <v>0.09</v>
      </c>
      <c r="F9" s="383">
        <v>0.09</v>
      </c>
    </row>
    <row r="10" spans="1:6" s="131" customFormat="1" x14ac:dyDescent="0.2">
      <c r="A10" s="285" t="s">
        <v>37</v>
      </c>
      <c r="B10" s="380">
        <f>+'Cálculo Tarifa CWD'!C31*17%+('Cálculo Tarifa CWD'!C45+'Cálculo Tarifa CWD'!C46+'Cálculo Tarifa CWD'!C47+'Cálculo Tarifa CWD'!C48)*18%+(1-'Cálculo Tarifa CWD'!C31-'Cálculo Tarifa CWD'!C45-'Cálculo Tarifa CWD'!C46-'Cálculo Tarifa CWD'!C47-'Cálculo Tarifa CWD'!C48)*12%</f>
        <v>0.12903108036700772</v>
      </c>
      <c r="C10" s="380">
        <f>+'Cálculo Tarifa CWD'!D31*17%+('Cálculo Tarifa CWD'!D45+'Cálculo Tarifa CWD'!D46+'Cálculo Tarifa CWD'!D47+'Cálculo Tarifa CWD'!D48)*18%+(1-'Cálculo Tarifa CWD'!D31-'Cálculo Tarifa CWD'!D45-'Cálculo Tarifa CWD'!D46-'Cálculo Tarifa CWD'!D47-'Cálculo Tarifa CWD'!D48)*12%</f>
        <v>0.12903108036700772</v>
      </c>
      <c r="D10" s="380">
        <f>+'Cálculo Tarifa CWD'!E31*17%+('Cálculo Tarifa CWD'!E45+'Cálculo Tarifa CWD'!E46+'Cálculo Tarifa CWD'!E47+'Cálculo Tarifa CWD'!E48)*18%+(1-'Cálculo Tarifa CWD'!E31-'Cálculo Tarifa CWD'!E45-'Cálculo Tarifa CWD'!E46-'Cálculo Tarifa CWD'!E47-'Cálculo Tarifa CWD'!E48)*12%</f>
        <v>0.14225114089446125</v>
      </c>
      <c r="E10" s="380">
        <f>+'Cálculo Tarifa CWD'!F31*17%+('Cálculo Tarifa CWD'!F45+'Cálculo Tarifa CWD'!F46+'Cálculo Tarifa CWD'!F47+'Cálculo Tarifa CWD'!F48)*18%+(1-'Cálculo Tarifa CWD'!F31-'Cálculo Tarifa CWD'!F45-'Cálculo Tarifa CWD'!F46-'Cálculo Tarifa CWD'!F47-'Cálculo Tarifa CWD'!F48)*12%</f>
        <v>0.14225114089446125</v>
      </c>
      <c r="F10" s="381">
        <f>+'Cálculo Tarifa CWD'!G31*17%+('Cálculo Tarifa CWD'!G45+'Cálculo Tarifa CWD'!G46+'Cálculo Tarifa CWD'!G47+'Cálculo Tarifa CWD'!G48)*18%+(1-'Cálculo Tarifa CWD'!G31-'Cálculo Tarifa CWD'!G45-'Cálculo Tarifa CWD'!G46-'Cálculo Tarifa CWD'!G47-'Cálculo Tarifa CWD'!G48)*12%</f>
        <v>0.14225114089446125</v>
      </c>
    </row>
    <row r="11" spans="1:6" s="131" customFormat="1" x14ac:dyDescent="0.2">
      <c r="A11" s="314" t="s">
        <v>71</v>
      </c>
      <c r="B11" s="382">
        <v>1.6500000000000001E-2</v>
      </c>
      <c r="C11" s="382">
        <v>1.6500000000000001E-2</v>
      </c>
      <c r="D11" s="382">
        <v>1.6500000000000001E-2</v>
      </c>
      <c r="E11" s="382">
        <v>1.6500000000000001E-2</v>
      </c>
      <c r="F11" s="383">
        <v>1.6500000000000001E-2</v>
      </c>
    </row>
    <row r="12" spans="1:6" s="131" customFormat="1" x14ac:dyDescent="0.2">
      <c r="A12" s="285" t="s">
        <v>72</v>
      </c>
      <c r="B12" s="380">
        <v>7.5999999999999998E-2</v>
      </c>
      <c r="C12" s="380">
        <v>7.5999999999999998E-2</v>
      </c>
      <c r="D12" s="380">
        <v>7.5999999999999998E-2</v>
      </c>
      <c r="E12" s="380">
        <v>7.5999999999999998E-2</v>
      </c>
      <c r="F12" s="381">
        <v>7.5999999999999998E-2</v>
      </c>
    </row>
    <row r="13" spans="1:6" s="131" customFormat="1" x14ac:dyDescent="0.2">
      <c r="A13" s="314" t="s">
        <v>83</v>
      </c>
      <c r="B13" s="382">
        <v>0</v>
      </c>
      <c r="C13" s="382">
        <v>0</v>
      </c>
      <c r="D13" s="382">
        <v>0</v>
      </c>
      <c r="E13" s="382">
        <v>0</v>
      </c>
      <c r="F13" s="383">
        <v>0</v>
      </c>
    </row>
    <row r="14" spans="1:6" s="131" customFormat="1" x14ac:dyDescent="0.2">
      <c r="A14" s="370" t="s">
        <v>38</v>
      </c>
      <c r="B14" s="384"/>
      <c r="C14" s="384"/>
      <c r="D14" s="384"/>
      <c r="E14" s="384"/>
      <c r="F14" s="385"/>
    </row>
    <row r="15" spans="1:6" s="131" customFormat="1" hidden="1" x14ac:dyDescent="0.2">
      <c r="A15" s="133" t="s">
        <v>59</v>
      </c>
      <c r="B15" s="134">
        <v>0.3</v>
      </c>
      <c r="C15" s="134">
        <v>0.3</v>
      </c>
      <c r="D15" s="134">
        <v>0.3</v>
      </c>
      <c r="E15" s="134">
        <v>0.3</v>
      </c>
      <c r="F15" s="134">
        <v>0.3</v>
      </c>
    </row>
    <row r="16" spans="1:6" s="131" customFormat="1" x14ac:dyDescent="0.2"/>
    <row r="17" spans="1:6" s="131" customFormat="1" ht="18.75" hidden="1" customHeight="1" x14ac:dyDescent="0.2">
      <c r="A17" s="653" t="s">
        <v>2</v>
      </c>
      <c r="B17" s="655"/>
      <c r="C17" s="656" t="s">
        <v>223</v>
      </c>
      <c r="D17" s="135"/>
      <c r="E17" s="135"/>
      <c r="F17" s="135"/>
    </row>
    <row r="18" spans="1:6" s="131" customFormat="1" ht="28.5" hidden="1" customHeight="1" x14ac:dyDescent="0.2">
      <c r="A18" s="653" t="s">
        <v>124</v>
      </c>
      <c r="B18" s="654"/>
      <c r="C18" s="657"/>
      <c r="D18" s="135"/>
      <c r="E18" s="135"/>
      <c r="F18" s="135"/>
    </row>
    <row r="19" spans="1:6" s="131" customFormat="1" ht="18.75" hidden="1" customHeight="1" x14ac:dyDescent="0.2">
      <c r="A19" s="136" t="s">
        <v>125</v>
      </c>
      <c r="B19" s="137" t="s">
        <v>3</v>
      </c>
      <c r="C19" s="138" t="s">
        <v>3</v>
      </c>
      <c r="D19" s="139"/>
      <c r="E19" s="139"/>
      <c r="F19" s="135"/>
    </row>
    <row r="20" spans="1:6" s="131" customFormat="1" ht="18.75" hidden="1" customHeight="1" x14ac:dyDescent="0.2">
      <c r="A20" s="140" t="s">
        <v>6</v>
      </c>
      <c r="B20" s="141"/>
      <c r="C20" s="142">
        <v>0.59978335140278816</v>
      </c>
      <c r="D20" s="143"/>
      <c r="E20" s="139"/>
      <c r="F20" s="135"/>
    </row>
    <row r="21" spans="1:6" s="131" customFormat="1" ht="12.75" hidden="1" customHeight="1" x14ac:dyDescent="0.2">
      <c r="A21" s="144" t="s">
        <v>7</v>
      </c>
      <c r="B21" s="145">
        <f>1/30</f>
        <v>3.3333333333333333E-2</v>
      </c>
      <c r="C21" s="146">
        <v>0.59978335140278816</v>
      </c>
      <c r="D21" s="147"/>
      <c r="E21" s="135"/>
      <c r="F21" s="135"/>
    </row>
    <row r="22" spans="1:6" s="131" customFormat="1" ht="12.75" hidden="1" customHeight="1" x14ac:dyDescent="0.2">
      <c r="A22" s="144" t="s">
        <v>34</v>
      </c>
      <c r="B22" s="145">
        <f t="shared" ref="B22:B39" si="0">1/30</f>
        <v>3.3333333333333333E-2</v>
      </c>
      <c r="C22" s="146">
        <v>0</v>
      </c>
      <c r="D22" s="147"/>
      <c r="E22" s="135"/>
      <c r="F22" s="135"/>
    </row>
    <row r="23" spans="1:6" s="131" customFormat="1" ht="12.75" hidden="1" customHeight="1" x14ac:dyDescent="0.2">
      <c r="A23" s="148" t="s">
        <v>121</v>
      </c>
      <c r="B23" s="145"/>
      <c r="C23" s="142">
        <v>0.25003684106291729</v>
      </c>
      <c r="D23" s="143"/>
      <c r="E23" s="135"/>
      <c r="F23" s="135"/>
    </row>
    <row r="24" spans="1:6" s="131" customFormat="1" ht="12.75" hidden="1" customHeight="1" x14ac:dyDescent="0.2">
      <c r="A24" s="144" t="s">
        <v>308</v>
      </c>
      <c r="B24" s="145">
        <f t="shared" si="0"/>
        <v>3.3333333333333333E-2</v>
      </c>
      <c r="C24" s="146">
        <v>7.636922534905527E-2</v>
      </c>
      <c r="D24" s="147"/>
      <c r="E24" s="135"/>
      <c r="F24" s="135"/>
    </row>
    <row r="25" spans="1:6" s="131" customFormat="1" ht="12.75" hidden="1" customHeight="1" x14ac:dyDescent="0.2">
      <c r="A25" s="144" t="s">
        <v>8</v>
      </c>
      <c r="B25" s="145">
        <f t="shared" si="0"/>
        <v>3.3333333333333333E-2</v>
      </c>
      <c r="C25" s="146">
        <v>5.3866624708873663E-2</v>
      </c>
      <c r="D25" s="147"/>
      <c r="E25" s="135"/>
      <c r="F25" s="135"/>
    </row>
    <row r="26" spans="1:6" s="131" customFormat="1" ht="12.75" hidden="1" customHeight="1" x14ac:dyDescent="0.2">
      <c r="A26" s="144" t="s">
        <v>9</v>
      </c>
      <c r="B26" s="145">
        <f t="shared" si="0"/>
        <v>3.3333333333333333E-2</v>
      </c>
      <c r="C26" s="146">
        <v>2.8829748636846383E-2</v>
      </c>
      <c r="D26" s="147"/>
      <c r="E26" s="135"/>
      <c r="F26" s="135"/>
    </row>
    <row r="27" spans="1:6" s="131" customFormat="1" ht="12.75" hidden="1" customHeight="1" x14ac:dyDescent="0.2">
      <c r="A27" s="144" t="s">
        <v>10</v>
      </c>
      <c r="B27" s="145">
        <f>1/5</f>
        <v>0.2</v>
      </c>
      <c r="C27" s="146">
        <v>9.0971242368141969E-2</v>
      </c>
      <c r="D27" s="147"/>
      <c r="E27" s="135"/>
      <c r="F27" s="135"/>
    </row>
    <row r="28" spans="1:6" s="131" customFormat="1" ht="12.75" hidden="1" customHeight="1" x14ac:dyDescent="0.2">
      <c r="A28" s="144" t="s">
        <v>11</v>
      </c>
      <c r="B28" s="145">
        <f t="shared" si="0"/>
        <v>3.3333333333333333E-2</v>
      </c>
      <c r="C28" s="146">
        <v>0</v>
      </c>
      <c r="D28" s="147"/>
      <c r="E28" s="135"/>
      <c r="F28" s="135"/>
    </row>
    <row r="29" spans="1:6" s="131" customFormat="1" ht="12.75" hidden="1" customHeight="1" x14ac:dyDescent="0.2">
      <c r="A29" s="148" t="s">
        <v>122</v>
      </c>
      <c r="B29" s="145"/>
      <c r="C29" s="142">
        <v>0.15017980753429461</v>
      </c>
      <c r="D29" s="143"/>
      <c r="E29" s="135"/>
      <c r="F29" s="135"/>
    </row>
    <row r="30" spans="1:6" s="131" customFormat="1" ht="12.75" hidden="1" customHeight="1" x14ac:dyDescent="0.2">
      <c r="A30" s="144" t="s">
        <v>77</v>
      </c>
      <c r="B30" s="145">
        <f t="shared" si="0"/>
        <v>3.3333333333333333E-2</v>
      </c>
      <c r="C30" s="146">
        <v>7.5089903767147304E-2</v>
      </c>
      <c r="D30" s="147"/>
      <c r="E30" s="135"/>
      <c r="F30" s="135"/>
    </row>
    <row r="31" spans="1:6" s="131" customFormat="1" ht="12.75" hidden="1" customHeight="1" x14ac:dyDescent="0.2">
      <c r="A31" s="144" t="s">
        <v>78</v>
      </c>
      <c r="B31" s="145">
        <f t="shared" si="0"/>
        <v>3.3333333333333333E-2</v>
      </c>
      <c r="C31" s="146">
        <v>7.5089903767147304E-2</v>
      </c>
      <c r="D31" s="147"/>
      <c r="E31" s="135"/>
      <c r="F31" s="135"/>
    </row>
    <row r="32" spans="1:6" s="131" customFormat="1" ht="12.75" hidden="1" customHeight="1" x14ac:dyDescent="0.2">
      <c r="A32" s="144" t="s">
        <v>12</v>
      </c>
      <c r="B32" s="145">
        <f t="shared" si="0"/>
        <v>3.3333333333333333E-2</v>
      </c>
      <c r="C32" s="146">
        <v>0</v>
      </c>
      <c r="D32" s="147"/>
      <c r="E32" s="135"/>
      <c r="F32" s="135"/>
    </row>
    <row r="33" spans="1:6" s="131" customFormat="1" ht="12.75" hidden="1" customHeight="1" x14ac:dyDescent="0.2">
      <c r="A33" s="144" t="s">
        <v>13</v>
      </c>
      <c r="B33" s="145">
        <f t="shared" si="0"/>
        <v>3.3333333333333333E-2</v>
      </c>
      <c r="C33" s="146">
        <v>0</v>
      </c>
      <c r="D33" s="147"/>
      <c r="E33" s="135"/>
      <c r="F33" s="135"/>
    </row>
    <row r="34" spans="1:6" s="131" customFormat="1" ht="12.75" hidden="1" customHeight="1" x14ac:dyDescent="0.2">
      <c r="A34" s="144" t="s">
        <v>14</v>
      </c>
      <c r="B34" s="145">
        <f t="shared" si="0"/>
        <v>3.3333333333333333E-2</v>
      </c>
      <c r="C34" s="146">
        <v>0</v>
      </c>
      <c r="D34" s="147"/>
      <c r="E34" s="135"/>
      <c r="F34" s="135"/>
    </row>
    <row r="35" spans="1:6" s="131" customFormat="1" ht="12.75" hidden="1" customHeight="1" x14ac:dyDescent="0.2">
      <c r="A35" s="144" t="s">
        <v>15</v>
      </c>
      <c r="B35" s="145">
        <f t="shared" si="0"/>
        <v>3.3333333333333333E-2</v>
      </c>
      <c r="C35" s="146">
        <v>0</v>
      </c>
      <c r="D35" s="147"/>
      <c r="E35" s="135"/>
      <c r="F35" s="135"/>
    </row>
    <row r="36" spans="1:6" s="131" customFormat="1" ht="12.75" hidden="1" customHeight="1" x14ac:dyDescent="0.2">
      <c r="A36" s="144" t="s">
        <v>16</v>
      </c>
      <c r="B36" s="145">
        <f>1/10</f>
        <v>0.1</v>
      </c>
      <c r="C36" s="146">
        <v>0</v>
      </c>
      <c r="D36" s="147"/>
      <c r="E36" s="135"/>
      <c r="F36" s="135"/>
    </row>
    <row r="37" spans="1:6" s="131" customFormat="1" ht="12.75" hidden="1" customHeight="1" x14ac:dyDescent="0.2">
      <c r="A37" s="144" t="s">
        <v>17</v>
      </c>
      <c r="B37" s="145">
        <v>0.1</v>
      </c>
      <c r="C37" s="146">
        <v>0</v>
      </c>
      <c r="D37" s="147"/>
      <c r="E37" s="135"/>
      <c r="F37" s="135"/>
    </row>
    <row r="38" spans="1:6" s="131" customFormat="1" ht="12.75" hidden="1" customHeight="1" x14ac:dyDescent="0.2">
      <c r="A38" s="148" t="s">
        <v>123</v>
      </c>
      <c r="B38" s="145"/>
      <c r="C38" s="142">
        <v>0</v>
      </c>
      <c r="D38" s="143"/>
      <c r="E38" s="135"/>
      <c r="F38" s="135"/>
    </row>
    <row r="39" spans="1:6" s="131" customFormat="1" ht="12.75" hidden="1" customHeight="1" x14ac:dyDescent="0.2">
      <c r="A39" s="144" t="s">
        <v>18</v>
      </c>
      <c r="B39" s="145">
        <f t="shared" si="0"/>
        <v>3.3333333333333333E-2</v>
      </c>
      <c r="C39" s="146">
        <v>0</v>
      </c>
      <c r="D39" s="147"/>
      <c r="E39" s="135"/>
      <c r="F39" s="135"/>
    </row>
    <row r="40" spans="1:6" s="131" customFormat="1" ht="12.75" hidden="1" customHeight="1" x14ac:dyDescent="0.2">
      <c r="A40" s="144" t="s">
        <v>19</v>
      </c>
      <c r="B40" s="145">
        <f>1/10</f>
        <v>0.1</v>
      </c>
      <c r="C40" s="146">
        <v>0</v>
      </c>
      <c r="D40" s="147"/>
      <c r="E40" s="135"/>
      <c r="F40" s="135"/>
    </row>
    <row r="41" spans="1:6" s="131" customFormat="1" ht="12.75" hidden="1" customHeight="1" x14ac:dyDescent="0.2">
      <c r="A41" s="144" t="s">
        <v>20</v>
      </c>
      <c r="B41" s="145">
        <f>1/5</f>
        <v>0.2</v>
      </c>
      <c r="C41" s="146">
        <v>0</v>
      </c>
      <c r="D41" s="147"/>
      <c r="E41" s="135"/>
      <c r="F41" s="135"/>
    </row>
    <row r="42" spans="1:6" s="131" customFormat="1" ht="12.75" hidden="1" customHeight="1" x14ac:dyDescent="0.2">
      <c r="A42" s="144" t="s">
        <v>21</v>
      </c>
      <c r="B42" s="145">
        <f>1/5</f>
        <v>0.2</v>
      </c>
      <c r="C42" s="146">
        <v>0</v>
      </c>
      <c r="D42" s="147"/>
      <c r="E42" s="135"/>
      <c r="F42" s="135"/>
    </row>
    <row r="43" spans="1:6" s="131" customFormat="1" ht="12.75" hidden="1" customHeight="1" x14ac:dyDescent="0.2">
      <c r="A43" s="144" t="s">
        <v>22</v>
      </c>
      <c r="B43" s="145">
        <f>1/20</f>
        <v>0.05</v>
      </c>
      <c r="C43" s="146">
        <v>0</v>
      </c>
      <c r="D43" s="147"/>
      <c r="E43" s="135"/>
      <c r="F43" s="135"/>
    </row>
    <row r="44" spans="1:6" s="131" customFormat="1" ht="12.75" hidden="1" customHeight="1" x14ac:dyDescent="0.2">
      <c r="A44" s="148" t="s">
        <v>127</v>
      </c>
      <c r="B44" s="145">
        <f>1/5</f>
        <v>0.2</v>
      </c>
      <c r="C44" s="146">
        <v>0</v>
      </c>
      <c r="D44" s="143"/>
      <c r="E44" s="135"/>
      <c r="F44" s="135"/>
    </row>
    <row r="45" spans="1:6" s="131" customFormat="1" ht="12.75" hidden="1" customHeight="1" x14ac:dyDescent="0.2">
      <c r="A45" s="148" t="s">
        <v>1</v>
      </c>
      <c r="B45" s="145"/>
      <c r="C45" s="142">
        <f>C20+C23+C29+C38+C44</f>
        <v>1</v>
      </c>
      <c r="D45" s="149"/>
      <c r="E45" s="149"/>
      <c r="F45" s="149"/>
    </row>
    <row r="46" spans="1:6" s="131" customFormat="1" x14ac:dyDescent="0.2">
      <c r="D46" s="150"/>
      <c r="E46" s="150"/>
      <c r="F46" s="150"/>
    </row>
    <row r="47" spans="1:6" s="131" customFormat="1" ht="30.75" thickBot="1" x14ac:dyDescent="0.25">
      <c r="A47" s="324" t="s">
        <v>23</v>
      </c>
      <c r="B47" s="325" t="s">
        <v>120</v>
      </c>
      <c r="C47" s="151"/>
      <c r="D47" s="151"/>
      <c r="E47" s="151"/>
      <c r="F47" s="151"/>
    </row>
    <row r="48" spans="1:6" s="131" customFormat="1" ht="18.75" customHeight="1" thickTop="1" x14ac:dyDescent="0.2">
      <c r="A48" s="372"/>
      <c r="B48" s="373"/>
      <c r="C48" s="151"/>
      <c r="D48" s="151"/>
      <c r="E48" s="151"/>
      <c r="F48" s="151"/>
    </row>
    <row r="49" spans="1:6" s="131" customFormat="1" x14ac:dyDescent="0.2">
      <c r="A49" s="362" t="s">
        <v>4</v>
      </c>
      <c r="B49" s="374"/>
      <c r="C49" s="152"/>
      <c r="D49" s="152"/>
      <c r="E49" s="152"/>
      <c r="F49" s="152"/>
    </row>
    <row r="50" spans="1:6" s="131" customFormat="1" x14ac:dyDescent="0.2">
      <c r="A50" s="366" t="s">
        <v>5</v>
      </c>
      <c r="B50" s="375"/>
      <c r="C50" s="152"/>
      <c r="D50" s="152"/>
      <c r="E50" s="152"/>
      <c r="F50" s="152"/>
    </row>
    <row r="51" spans="1:6" s="131" customFormat="1" ht="13.5" thickBot="1" x14ac:dyDescent="0.25">
      <c r="A51" s="362" t="s">
        <v>35</v>
      </c>
      <c r="B51" s="376">
        <v>8.9700000000000006</v>
      </c>
      <c r="C51" s="152"/>
      <c r="D51" s="152"/>
      <c r="E51" s="152"/>
      <c r="F51" s="152"/>
    </row>
    <row r="52" spans="1:6" s="131" customFormat="1" ht="13.5" thickBot="1" x14ac:dyDescent="0.25">
      <c r="A52" s="377" t="s">
        <v>336</v>
      </c>
      <c r="B52" s="286">
        <v>4962962.0242843404</v>
      </c>
      <c r="C52" s="152"/>
      <c r="D52" s="152"/>
      <c r="E52" s="152"/>
      <c r="F52" s="152"/>
    </row>
    <row r="53" spans="1:6" s="131" customFormat="1" x14ac:dyDescent="0.2"/>
    <row r="54" spans="1:6" s="131" customFormat="1" ht="18.75" customHeight="1" thickBot="1" x14ac:dyDescent="0.25">
      <c r="A54" s="347" t="s">
        <v>24</v>
      </c>
      <c r="B54" s="327" t="s">
        <v>338</v>
      </c>
      <c r="C54" s="327" t="s">
        <v>339</v>
      </c>
      <c r="D54" s="327" t="s">
        <v>340</v>
      </c>
      <c r="E54" s="327" t="s">
        <v>341</v>
      </c>
      <c r="F54" s="328" t="s">
        <v>342</v>
      </c>
    </row>
    <row r="55" spans="1:6" s="131" customFormat="1" ht="18.75" customHeight="1" thickTop="1" x14ac:dyDescent="0.2">
      <c r="A55" s="326"/>
      <c r="B55" s="329"/>
      <c r="C55" s="329"/>
      <c r="D55" s="329"/>
      <c r="E55" s="329"/>
      <c r="F55" s="330"/>
    </row>
    <row r="56" spans="1:6" s="131" customFormat="1" ht="15" x14ac:dyDescent="0.2">
      <c r="A56" s="285" t="s">
        <v>374</v>
      </c>
      <c r="B56" s="348">
        <v>9192.7999999999993</v>
      </c>
      <c r="C56" s="348">
        <f>+B56</f>
        <v>9192.7999999999993</v>
      </c>
      <c r="D56" s="348">
        <f>+C56</f>
        <v>9192.7999999999993</v>
      </c>
      <c r="E56" s="348">
        <f>+D56</f>
        <v>9192.7999999999993</v>
      </c>
      <c r="F56" s="349">
        <f>+E56</f>
        <v>9192.7999999999993</v>
      </c>
    </row>
    <row r="57" spans="1:6" s="131" customFormat="1" x14ac:dyDescent="0.2">
      <c r="A57" s="350" t="s">
        <v>91</v>
      </c>
      <c r="B57" s="351">
        <f>B56/251996</f>
        <v>3.6479944126097237E-2</v>
      </c>
      <c r="C57" s="351">
        <f>C56/251996</f>
        <v>3.6479944126097237E-2</v>
      </c>
      <c r="D57" s="351">
        <f>D56/251996</f>
        <v>3.6479944126097237E-2</v>
      </c>
      <c r="E57" s="351">
        <f>E56/251996</f>
        <v>3.6479944126097237E-2</v>
      </c>
      <c r="F57" s="352">
        <f>F56/251996</f>
        <v>3.6479944126097237E-2</v>
      </c>
    </row>
    <row r="58" spans="1:6" s="131" customFormat="1" hidden="1" x14ac:dyDescent="0.2">
      <c r="A58" s="285" t="s">
        <v>33</v>
      </c>
      <c r="B58" s="353"/>
      <c r="C58" s="285"/>
      <c r="D58" s="285"/>
      <c r="E58" s="285"/>
      <c r="F58" s="284"/>
    </row>
    <row r="59" spans="1:6" s="131" customFormat="1" x14ac:dyDescent="0.2">
      <c r="A59" s="314" t="s">
        <v>39</v>
      </c>
      <c r="B59" s="354">
        <v>366</v>
      </c>
      <c r="C59" s="355">
        <v>365</v>
      </c>
      <c r="D59" s="355">
        <v>365</v>
      </c>
      <c r="E59" s="355">
        <v>365</v>
      </c>
      <c r="F59" s="356">
        <v>366</v>
      </c>
    </row>
    <row r="60" spans="1:6" s="131" customFormat="1" x14ac:dyDescent="0.2">
      <c r="A60" s="285" t="s">
        <v>42</v>
      </c>
      <c r="B60" s="353">
        <v>366</v>
      </c>
      <c r="C60" s="357">
        <v>365</v>
      </c>
      <c r="D60" s="357">
        <v>365</v>
      </c>
      <c r="E60" s="357">
        <v>365</v>
      </c>
      <c r="F60" s="358">
        <v>366</v>
      </c>
    </row>
    <row r="61" spans="1:6" s="131" customFormat="1" x14ac:dyDescent="0.2">
      <c r="A61" s="314" t="s">
        <v>73</v>
      </c>
      <c r="B61" s="359">
        <v>0.08</v>
      </c>
      <c r="C61" s="360">
        <v>0.08</v>
      </c>
      <c r="D61" s="360">
        <v>0.08</v>
      </c>
      <c r="E61" s="360">
        <v>0.08</v>
      </c>
      <c r="F61" s="361">
        <v>0.08</v>
      </c>
    </row>
    <row r="62" spans="1:6" s="131" customFormat="1" x14ac:dyDescent="0.2">
      <c r="A62" s="362" t="s">
        <v>74</v>
      </c>
      <c r="B62" s="363">
        <v>0.02</v>
      </c>
      <c r="C62" s="364">
        <f>+B62</f>
        <v>0.02</v>
      </c>
      <c r="D62" s="364">
        <f>+C62</f>
        <v>0.02</v>
      </c>
      <c r="E62" s="364">
        <f>+D62</f>
        <v>0.02</v>
      </c>
      <c r="F62" s="365">
        <f>+E62</f>
        <v>0.02</v>
      </c>
    </row>
    <row r="63" spans="1:6" s="131" customFormat="1" x14ac:dyDescent="0.2">
      <c r="A63" s="366" t="s">
        <v>75</v>
      </c>
      <c r="B63" s="367">
        <v>0.04</v>
      </c>
      <c r="C63" s="367">
        <v>0.04</v>
      </c>
      <c r="D63" s="367">
        <v>0.04</v>
      </c>
      <c r="E63" s="367">
        <v>0.04</v>
      </c>
      <c r="F63" s="367">
        <v>0.04</v>
      </c>
    </row>
    <row r="64" spans="1:6" s="131" customFormat="1" x14ac:dyDescent="0.2">
      <c r="A64" s="285" t="s">
        <v>0</v>
      </c>
      <c r="B64" s="353"/>
      <c r="C64" s="285"/>
      <c r="D64" s="285"/>
      <c r="E64" s="285"/>
      <c r="F64" s="284"/>
    </row>
    <row r="65" spans="1:6" s="131" customFormat="1" x14ac:dyDescent="0.2">
      <c r="A65" s="314" t="s">
        <v>90</v>
      </c>
      <c r="B65" s="359">
        <f>0.21/119.41</f>
        <v>1.7586466795075789E-3</v>
      </c>
      <c r="C65" s="368">
        <f>+B65</f>
        <v>1.7586466795075789E-3</v>
      </c>
      <c r="D65" s="368">
        <f>+C65</f>
        <v>1.7586466795075789E-3</v>
      </c>
      <c r="E65" s="368">
        <f>+D65</f>
        <v>1.7586466795075789E-3</v>
      </c>
      <c r="F65" s="369">
        <f>+E65</f>
        <v>1.7586466795075789E-3</v>
      </c>
    </row>
    <row r="66" spans="1:6" s="131" customFormat="1" x14ac:dyDescent="0.2">
      <c r="A66" s="370" t="s">
        <v>100</v>
      </c>
      <c r="B66" s="371">
        <v>3.55</v>
      </c>
      <c r="C66" s="370">
        <v>3.58</v>
      </c>
      <c r="D66" s="370">
        <v>3.65</v>
      </c>
      <c r="E66" s="370">
        <v>3.72</v>
      </c>
      <c r="F66" s="283">
        <v>3.79</v>
      </c>
    </row>
    <row r="67" spans="1:6" s="131" customFormat="1" x14ac:dyDescent="0.2">
      <c r="B67" s="154"/>
    </row>
    <row r="68" spans="1:6" s="131" customFormat="1" ht="18.75" hidden="1" customHeight="1" x14ac:dyDescent="0.2">
      <c r="A68" s="658" t="s">
        <v>101</v>
      </c>
      <c r="B68" s="651">
        <v>2020</v>
      </c>
      <c r="C68" s="651">
        <v>2021</v>
      </c>
      <c r="D68" s="651">
        <v>2022</v>
      </c>
      <c r="E68" s="651">
        <v>2023</v>
      </c>
      <c r="F68" s="651">
        <v>2024</v>
      </c>
    </row>
    <row r="69" spans="1:6" s="131" customFormat="1" ht="18.75" hidden="1" customHeight="1" x14ac:dyDescent="0.2">
      <c r="A69" s="659"/>
      <c r="B69" s="652"/>
      <c r="C69" s="652"/>
      <c r="D69" s="652"/>
      <c r="E69" s="652"/>
      <c r="F69" s="652"/>
    </row>
    <row r="70" spans="1:6" s="131" customFormat="1" hidden="1" x14ac:dyDescent="0.2">
      <c r="A70" s="155" t="s">
        <v>102</v>
      </c>
      <c r="B70" s="156">
        <v>0.37436844799572661</v>
      </c>
      <c r="C70" s="156">
        <v>0.37436844799572661</v>
      </c>
      <c r="D70" s="156">
        <v>0.37436844799572661</v>
      </c>
      <c r="E70" s="156">
        <v>0.37436844799572661</v>
      </c>
      <c r="F70" s="156">
        <v>0.37436844799572661</v>
      </c>
    </row>
    <row r="71" spans="1:6" s="131" customFormat="1" hidden="1" x14ac:dyDescent="0.2">
      <c r="A71" s="155" t="s">
        <v>103</v>
      </c>
      <c r="B71" s="156">
        <v>0</v>
      </c>
      <c r="C71" s="156">
        <v>0</v>
      </c>
      <c r="D71" s="156">
        <v>0</v>
      </c>
      <c r="E71" s="156">
        <v>0</v>
      </c>
      <c r="F71" s="156">
        <v>0</v>
      </c>
    </row>
    <row r="72" spans="1:6" s="131" customFormat="1" hidden="1" x14ac:dyDescent="0.2">
      <c r="A72" s="155" t="s">
        <v>104</v>
      </c>
      <c r="B72" s="156">
        <v>4.9856440161143139E-3</v>
      </c>
      <c r="C72" s="156">
        <v>4.9856440161143139E-3</v>
      </c>
      <c r="D72" s="156">
        <v>4.9856440161143139E-3</v>
      </c>
      <c r="E72" s="156">
        <v>4.9856440161143139E-3</v>
      </c>
      <c r="F72" s="156">
        <v>4.9856440161143139E-3</v>
      </c>
    </row>
    <row r="73" spans="1:6" s="131" customFormat="1" hidden="1" x14ac:dyDescent="0.2">
      <c r="A73" s="155" t="s">
        <v>105</v>
      </c>
      <c r="B73" s="156">
        <v>0.15402078835496005</v>
      </c>
      <c r="C73" s="156">
        <v>0.15402078835496005</v>
      </c>
      <c r="D73" s="156">
        <v>0.15402078835496005</v>
      </c>
      <c r="E73" s="156">
        <v>0.15402078835496005</v>
      </c>
      <c r="F73" s="156">
        <v>0.15402078835496005</v>
      </c>
    </row>
    <row r="74" spans="1:6" s="131" customFormat="1" hidden="1" x14ac:dyDescent="0.2">
      <c r="A74" s="155" t="s">
        <v>106</v>
      </c>
      <c r="B74" s="156">
        <v>1.53575641567807E-2</v>
      </c>
      <c r="C74" s="156">
        <v>1.53575641567807E-2</v>
      </c>
      <c r="D74" s="156">
        <v>1.53575641567807E-2</v>
      </c>
      <c r="E74" s="156">
        <v>1.53575641567807E-2</v>
      </c>
      <c r="F74" s="156">
        <v>1.53575641567807E-2</v>
      </c>
    </row>
    <row r="75" spans="1:6" s="131" customFormat="1" hidden="1" x14ac:dyDescent="0.2">
      <c r="A75" s="155" t="s">
        <v>107</v>
      </c>
      <c r="B75" s="156">
        <v>0</v>
      </c>
      <c r="C75" s="156">
        <v>0</v>
      </c>
      <c r="D75" s="156">
        <v>0</v>
      </c>
      <c r="E75" s="156">
        <v>0</v>
      </c>
      <c r="F75" s="156">
        <v>0</v>
      </c>
    </row>
    <row r="76" spans="1:6" s="131" customFormat="1" hidden="1" x14ac:dyDescent="0.2">
      <c r="A76" s="155" t="s">
        <v>108</v>
      </c>
      <c r="B76" s="156">
        <v>0</v>
      </c>
      <c r="C76" s="156">
        <v>0</v>
      </c>
      <c r="D76" s="156">
        <v>0</v>
      </c>
      <c r="E76" s="156">
        <v>0</v>
      </c>
      <c r="F76" s="156">
        <v>0</v>
      </c>
    </row>
    <row r="77" spans="1:6" s="131" customFormat="1" hidden="1" x14ac:dyDescent="0.2">
      <c r="A77" s="155" t="s">
        <v>109</v>
      </c>
      <c r="B77" s="156">
        <v>4.7853279618954355E-3</v>
      </c>
      <c r="C77" s="156">
        <v>4.7853279618954355E-3</v>
      </c>
      <c r="D77" s="156">
        <v>4.7853279618954355E-3</v>
      </c>
      <c r="E77" s="156">
        <v>4.7853279618954355E-3</v>
      </c>
      <c r="F77" s="156">
        <v>4.7853279618954355E-3</v>
      </c>
    </row>
    <row r="78" spans="1:6" s="131" customFormat="1" hidden="1" x14ac:dyDescent="0.2">
      <c r="A78" s="155" t="s">
        <v>110</v>
      </c>
      <c r="B78" s="156">
        <v>1.0683522891673531E-2</v>
      </c>
      <c r="C78" s="156">
        <v>1.0683522891673531E-2</v>
      </c>
      <c r="D78" s="156">
        <v>1.0683522891673531E-2</v>
      </c>
      <c r="E78" s="156">
        <v>1.0683522891673531E-2</v>
      </c>
      <c r="F78" s="156">
        <v>1.0683522891673531E-2</v>
      </c>
    </row>
    <row r="79" spans="1:6" s="131" customFormat="1" hidden="1" x14ac:dyDescent="0.2">
      <c r="A79" s="155" t="s">
        <v>111</v>
      </c>
      <c r="B79" s="156">
        <v>1.6247857731086827E-2</v>
      </c>
      <c r="C79" s="156">
        <v>1.6247857731086827E-2</v>
      </c>
      <c r="D79" s="156">
        <v>1.6247857731086827E-2</v>
      </c>
      <c r="E79" s="156">
        <v>1.6247857731086827E-2</v>
      </c>
      <c r="F79" s="156">
        <v>1.6247857731086827E-2</v>
      </c>
    </row>
    <row r="80" spans="1:6" s="131" customFormat="1" hidden="1" x14ac:dyDescent="0.2">
      <c r="A80" s="155" t="s">
        <v>112</v>
      </c>
      <c r="B80" s="156">
        <v>3.4498876004362439E-2</v>
      </c>
      <c r="C80" s="156">
        <v>3.4498876004362439E-2</v>
      </c>
      <c r="D80" s="156">
        <v>3.4498876004362439E-2</v>
      </c>
      <c r="E80" s="156">
        <v>3.4498876004362439E-2</v>
      </c>
      <c r="F80" s="156">
        <v>3.4498876004362439E-2</v>
      </c>
    </row>
    <row r="81" spans="1:6" s="131" customFormat="1" hidden="1" x14ac:dyDescent="0.2">
      <c r="A81" s="155" t="s">
        <v>113</v>
      </c>
      <c r="B81" s="156">
        <v>0.38505197088740017</v>
      </c>
      <c r="C81" s="156">
        <v>0.38505197088740017</v>
      </c>
      <c r="D81" s="156">
        <v>0.38505197088740017</v>
      </c>
      <c r="E81" s="156">
        <v>0.38505197088740017</v>
      </c>
      <c r="F81" s="156">
        <v>0.38505197088740017</v>
      </c>
    </row>
    <row r="82" spans="1:6" s="131" customFormat="1" hidden="1" x14ac:dyDescent="0.2">
      <c r="A82" s="155" t="s">
        <v>1</v>
      </c>
      <c r="B82" s="157">
        <f>SUM(B70:B81)</f>
        <v>1</v>
      </c>
      <c r="C82" s="157">
        <f t="shared" ref="C82:F82" si="1">SUM(C70:C81)</f>
        <v>1</v>
      </c>
      <c r="D82" s="157">
        <f t="shared" si="1"/>
        <v>1</v>
      </c>
      <c r="E82" s="157">
        <f t="shared" si="1"/>
        <v>1</v>
      </c>
      <c r="F82" s="157">
        <f t="shared" si="1"/>
        <v>1</v>
      </c>
    </row>
    <row r="83" spans="1:6" s="129" customFormat="1" ht="13.5" customHeight="1" x14ac:dyDescent="0.2">
      <c r="A83" s="132"/>
      <c r="B83" s="158"/>
      <c r="C83" s="158"/>
      <c r="D83" s="158"/>
      <c r="E83" s="158"/>
      <c r="F83" s="158"/>
    </row>
    <row r="84" spans="1:6" s="129" customFormat="1" ht="13.5" customHeight="1" x14ac:dyDescent="0.2">
      <c r="B84" s="158"/>
      <c r="C84" s="158"/>
      <c r="D84" s="158"/>
      <c r="E84" s="158"/>
      <c r="F84" s="158"/>
    </row>
    <row r="85" spans="1:6" s="129" customFormat="1" ht="13.5" customHeight="1" x14ac:dyDescent="0.2">
      <c r="B85" s="158"/>
      <c r="C85" s="158"/>
      <c r="D85" s="158"/>
      <c r="E85" s="158"/>
      <c r="F85" s="158"/>
    </row>
  </sheetData>
  <mergeCells count="9">
    <mergeCell ref="F68:F69"/>
    <mergeCell ref="A18:B18"/>
    <mergeCell ref="A17:B17"/>
    <mergeCell ref="C17:C18"/>
    <mergeCell ref="A68:A69"/>
    <mergeCell ref="B68:B69"/>
    <mergeCell ref="C68:C69"/>
    <mergeCell ref="D68:D69"/>
    <mergeCell ref="E68:E69"/>
  </mergeCells>
  <phoneticPr fontId="7" type="noConversion"/>
  <dataValidations count="1">
    <dataValidation allowBlank="1" showInputMessage="1" showErrorMessage="1" error="Favor cadastrar item na Tabela 1" promptTitle="ERRO" sqref="A21:A45"/>
  </dataValidations>
  <printOptions gridLines="1"/>
  <pageMargins left="0.7" right="0.7" top="0.75" bottom="0.75" header="0.3" footer="0.3"/>
  <pageSetup paperSize="9" scale="80" fitToWidth="0" fitToHeight="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N362"/>
  <sheetViews>
    <sheetView showGridLines="0" zoomScale="110" zoomScaleNormal="110" workbookViewId="0"/>
  </sheetViews>
  <sheetFormatPr defaultColWidth="12.85546875" defaultRowHeight="12.75" x14ac:dyDescent="0.2"/>
  <cols>
    <col min="1" max="1" width="13.140625" style="509" customWidth="1"/>
    <col min="2" max="2" width="24.7109375" style="509" customWidth="1"/>
    <col min="3" max="3" width="20.7109375" style="509" customWidth="1"/>
    <col min="4" max="4" width="13" style="509" customWidth="1"/>
    <col min="5" max="5" width="18.85546875" style="509" customWidth="1"/>
    <col min="6" max="7" width="16.7109375" style="509" customWidth="1"/>
    <col min="8" max="8" width="20.28515625" style="509" bestFit="1" customWidth="1"/>
    <col min="9" max="9" width="23" style="509" customWidth="1"/>
    <col min="10" max="10" width="15.140625" style="509" customWidth="1"/>
    <col min="11" max="11" width="14.140625" style="509" customWidth="1"/>
    <col min="12" max="12" width="17" style="509" customWidth="1"/>
    <col min="13" max="13" width="16.42578125" style="509" customWidth="1"/>
    <col min="14" max="14" width="16.28515625" style="509" customWidth="1"/>
    <col min="15" max="15" width="15.5703125" style="509" customWidth="1"/>
    <col min="16" max="16" width="15.140625" style="509" customWidth="1"/>
    <col min="17" max="17" width="15.5703125" style="509" customWidth="1"/>
    <col min="18" max="18" width="16" style="509" customWidth="1"/>
    <col min="19" max="19" width="12.85546875" style="509"/>
    <col min="20" max="20" width="15.28515625" style="509" customWidth="1"/>
    <col min="21" max="21" width="14.140625" style="509" bestFit="1" customWidth="1"/>
    <col min="22" max="22" width="15.28515625" style="509" customWidth="1"/>
    <col min="23" max="23" width="15.5703125" style="509" bestFit="1" customWidth="1"/>
    <col min="24" max="24" width="15.7109375" style="509" customWidth="1"/>
    <col min="25" max="25" width="12.85546875" style="509"/>
    <col min="26" max="26" width="15.5703125" style="509" bestFit="1" customWidth="1"/>
    <col min="27" max="27" width="14.140625" style="509" bestFit="1" customWidth="1"/>
    <col min="28" max="28" width="16" style="509" customWidth="1"/>
    <col min="29" max="29" width="15.5703125" style="509" bestFit="1" customWidth="1"/>
    <col min="30" max="30" width="14.140625" style="509" bestFit="1" customWidth="1"/>
    <col min="31" max="31" width="12.85546875" style="509"/>
    <col min="32" max="32" width="15.5703125" style="509" bestFit="1" customWidth="1"/>
    <col min="33" max="33" width="14.140625" style="509" bestFit="1" customWidth="1"/>
    <col min="34" max="34" width="21.28515625" style="509" customWidth="1"/>
    <col min="35" max="35" width="15.5703125" style="509" bestFit="1" customWidth="1"/>
    <col min="36" max="36" width="14.140625" style="509" bestFit="1" customWidth="1"/>
    <col min="37" max="37" width="12.85546875" style="509"/>
    <col min="38" max="38" width="15.5703125" style="509" bestFit="1" customWidth="1"/>
    <col min="39" max="39" width="14.140625" style="509" bestFit="1" customWidth="1"/>
    <col min="40" max="40" width="16.28515625" style="509" customWidth="1"/>
    <col min="41" max="41" width="15.5703125" style="509" bestFit="1" customWidth="1"/>
    <col min="42" max="42" width="14.140625" style="509" bestFit="1" customWidth="1"/>
    <col min="43" max="43" width="12.85546875" style="509"/>
    <col min="44" max="44" width="15.5703125" style="509" bestFit="1" customWidth="1"/>
    <col min="45" max="45" width="14.140625" style="509" bestFit="1" customWidth="1"/>
    <col min="46" max="46" width="12.85546875" style="509"/>
    <col min="47" max="47" width="18.140625" style="509" customWidth="1"/>
    <col min="48" max="49" width="12.85546875" style="509"/>
    <col min="50" max="50" width="15.5703125" style="509" bestFit="1" customWidth="1"/>
    <col min="51" max="51" width="14.140625" style="509" bestFit="1" customWidth="1"/>
    <col min="52" max="53" width="12.85546875" style="509"/>
    <col min="54" max="55" width="23" style="509" customWidth="1"/>
    <col min="56" max="56" width="15.5703125" style="509" customWidth="1"/>
    <col min="57" max="58" width="15.42578125" style="509" customWidth="1"/>
    <col min="59" max="59" width="15.5703125" style="509" customWidth="1"/>
    <col min="60" max="60" width="14.140625" style="509" customWidth="1"/>
    <col min="61" max="61" width="12.85546875" style="509"/>
    <col min="62" max="62" width="18" style="509" customWidth="1"/>
    <col min="63" max="63" width="22.28515625" style="509" customWidth="1"/>
    <col min="64" max="64" width="12.85546875" style="509"/>
    <col min="65" max="65" width="15.5703125" style="509" customWidth="1"/>
    <col min="66" max="66" width="14.140625" style="509" customWidth="1"/>
    <col min="67" max="67" width="12.85546875" style="509"/>
    <col min="68" max="68" width="15.5703125" style="509" customWidth="1"/>
    <col min="69" max="69" width="17.140625" style="509" customWidth="1"/>
    <col min="70" max="70" width="19" style="509" customWidth="1"/>
    <col min="71" max="71" width="19.85546875" style="509" customWidth="1"/>
    <col min="72" max="73" width="12.85546875" style="509"/>
    <col min="74" max="74" width="15.5703125" style="509" customWidth="1"/>
    <col min="75" max="76" width="12.85546875" style="509"/>
    <col min="77" max="77" width="15.5703125" style="509" customWidth="1"/>
    <col min="78" max="79" width="12.85546875" style="509"/>
    <col min="80" max="80" width="15.5703125" style="509" customWidth="1"/>
    <col min="81" max="82" width="12.85546875" style="509"/>
    <col min="83" max="83" width="15.5703125" style="509" customWidth="1"/>
    <col min="84" max="85" width="12.85546875" style="509"/>
    <col min="86" max="86" width="15.5703125" style="509" customWidth="1"/>
    <col min="87" max="88" width="12.85546875" style="509"/>
    <col min="89" max="89" width="15.5703125" style="509" customWidth="1"/>
    <col min="90" max="16384" width="12.85546875" style="509"/>
  </cols>
  <sheetData>
    <row r="1" spans="1:10" x14ac:dyDescent="0.2">
      <c r="A1" s="108" t="s">
        <v>381</v>
      </c>
      <c r="B1" s="107"/>
      <c r="C1" s="107"/>
      <c r="D1" s="107"/>
      <c r="E1" s="107"/>
      <c r="F1" s="107"/>
      <c r="G1" s="107"/>
      <c r="H1" s="107"/>
      <c r="I1" s="107"/>
    </row>
    <row r="2" spans="1:10" x14ac:dyDescent="0.2">
      <c r="A2" s="510"/>
      <c r="B2" s="511" t="s">
        <v>3</v>
      </c>
      <c r="C2" s="510">
        <v>2020</v>
      </c>
      <c r="D2" s="510">
        <v>2021</v>
      </c>
      <c r="E2" s="510">
        <v>2022</v>
      </c>
      <c r="F2" s="510">
        <v>2023</v>
      </c>
      <c r="G2" s="512">
        <v>2024</v>
      </c>
      <c r="H2" s="511" t="s">
        <v>41</v>
      </c>
      <c r="I2" s="511" t="s">
        <v>238</v>
      </c>
    </row>
    <row r="3" spans="1:10" x14ac:dyDescent="0.2">
      <c r="A3" s="513" t="s">
        <v>1</v>
      </c>
      <c r="B3" s="514">
        <f>SUM(B4:B5)</f>
        <v>1</v>
      </c>
      <c r="C3" s="443">
        <f>'FC E-S'!C12</f>
        <v>1017168.7984476764</v>
      </c>
      <c r="D3" s="443">
        <f>'FC E-S'!D12</f>
        <v>1014389.6487251415</v>
      </c>
      <c r="E3" s="443">
        <f>'FC E-S'!E12</f>
        <v>1014389.6487251415</v>
      </c>
      <c r="F3" s="443">
        <f>'FC E-S'!F12</f>
        <v>1014389.6487251415</v>
      </c>
      <c r="G3" s="443">
        <f>'FC E-S'!G12</f>
        <v>1017168.7984476764</v>
      </c>
      <c r="H3" s="515">
        <f>SUM(C3:G3)</f>
        <v>5077506.5430707773</v>
      </c>
      <c r="I3" s="516">
        <f>AVERAGE(C3:G3)</f>
        <v>1015501.3086141555</v>
      </c>
    </row>
    <row r="4" spans="1:10" ht="14.25" x14ac:dyDescent="0.2">
      <c r="A4" s="513" t="s">
        <v>279</v>
      </c>
      <c r="B4" s="517">
        <v>0.5</v>
      </c>
      <c r="C4" s="446">
        <f>C$3*$B$4</f>
        <v>508584.39922383818</v>
      </c>
      <c r="D4" s="446">
        <f>D$3*$B$4</f>
        <v>507194.82436257077</v>
      </c>
      <c r="E4" s="446">
        <f>E$3*$B$4</f>
        <v>507194.82436257077</v>
      </c>
      <c r="F4" s="446">
        <f>F$3*$B$4</f>
        <v>507194.82436257077</v>
      </c>
      <c r="G4" s="446">
        <f>G$3*$B$4</f>
        <v>508584.39922383818</v>
      </c>
      <c r="H4" s="518">
        <f>SUM(C4:G4)</f>
        <v>2538753.2715353887</v>
      </c>
      <c r="I4" s="279">
        <f>AVERAGE(C4:G4)</f>
        <v>507750.65430707776</v>
      </c>
    </row>
    <row r="5" spans="1:10" ht="14.25" x14ac:dyDescent="0.2">
      <c r="A5" s="513" t="s">
        <v>280</v>
      </c>
      <c r="B5" s="519">
        <f>1-B4</f>
        <v>0.5</v>
      </c>
      <c r="C5" s="446">
        <f>C$3*$B$5</f>
        <v>508584.39922383818</v>
      </c>
      <c r="D5" s="446">
        <f>D$3*$B$5</f>
        <v>507194.82436257077</v>
      </c>
      <c r="E5" s="446">
        <f>E$3*$B$5</f>
        <v>507194.82436257077</v>
      </c>
      <c r="F5" s="446">
        <f>F$3*$B$5</f>
        <v>507194.82436257077</v>
      </c>
      <c r="G5" s="446">
        <f>G$3*$B$5</f>
        <v>508584.39922383818</v>
      </c>
      <c r="H5" s="518">
        <f>SUM(C5:G5)</f>
        <v>2538753.2715353887</v>
      </c>
      <c r="I5" s="279">
        <f>AVERAGE(C5:G5)</f>
        <v>507750.65430707776</v>
      </c>
    </row>
    <row r="6" spans="1:10" ht="15" x14ac:dyDescent="0.2">
      <c r="A6" s="520"/>
    </row>
    <row r="7" spans="1:10" x14ac:dyDescent="0.2">
      <c r="A7" s="108" t="s">
        <v>381</v>
      </c>
      <c r="B7" s="107"/>
      <c r="C7" s="107"/>
      <c r="D7" s="107"/>
      <c r="E7" s="107"/>
      <c r="F7" s="107"/>
      <c r="G7" s="107"/>
      <c r="H7" s="107"/>
      <c r="I7" s="107"/>
    </row>
    <row r="8" spans="1:10" x14ac:dyDescent="0.2">
      <c r="A8" s="510"/>
      <c r="B8" s="511" t="s">
        <v>3</v>
      </c>
      <c r="C8" s="510">
        <v>2020</v>
      </c>
      <c r="D8" s="510">
        <v>2021</v>
      </c>
      <c r="E8" s="510">
        <v>2022</v>
      </c>
      <c r="F8" s="510">
        <v>2023</v>
      </c>
      <c r="G8" s="512">
        <v>2024</v>
      </c>
      <c r="H8" s="511" t="s">
        <v>41</v>
      </c>
      <c r="I8" s="511" t="s">
        <v>238</v>
      </c>
    </row>
    <row r="9" spans="1:10" x14ac:dyDescent="0.2">
      <c r="A9" s="513" t="s">
        <v>1</v>
      </c>
      <c r="B9" s="514">
        <f>B10+B13</f>
        <v>1</v>
      </c>
      <c r="C9" s="443">
        <f>C10+C13</f>
        <v>1017168.7984476764</v>
      </c>
      <c r="D9" s="443">
        <f t="shared" ref="D9:G9" si="0">D10+D13</f>
        <v>1014389.6487251415</v>
      </c>
      <c r="E9" s="443">
        <f t="shared" si="0"/>
        <v>1014389.6487251415</v>
      </c>
      <c r="F9" s="443">
        <f t="shared" si="0"/>
        <v>1014389.6487251415</v>
      </c>
      <c r="G9" s="443">
        <f t="shared" si="0"/>
        <v>1017168.7984476764</v>
      </c>
      <c r="H9" s="515">
        <f>SUM(C9:G9)</f>
        <v>5077506.5430707773</v>
      </c>
      <c r="I9" s="521">
        <f>AVERAGE(C9:G9)</f>
        <v>1015501.3086141555</v>
      </c>
    </row>
    <row r="10" spans="1:10" x14ac:dyDescent="0.2">
      <c r="A10" s="513" t="s">
        <v>391</v>
      </c>
      <c r="B10" s="641">
        <f>$H$10/$H$3</f>
        <v>0.90716626761601293</v>
      </c>
      <c r="C10" s="522">
        <f>C11+C12</f>
        <v>922741.22242324322</v>
      </c>
      <c r="D10" s="522">
        <f t="shared" ref="D10:G10" si="1">D11+D12</f>
        <v>920220.07154230517</v>
      </c>
      <c r="E10" s="522">
        <f t="shared" si="1"/>
        <v>920220.07154230517</v>
      </c>
      <c r="F10" s="522">
        <f t="shared" si="1"/>
        <v>920220.07154230517</v>
      </c>
      <c r="G10" s="522">
        <f t="shared" si="1"/>
        <v>922741.22242324322</v>
      </c>
      <c r="H10" s="523">
        <f>SUM(C10:G10)</f>
        <v>4606142.6594734015</v>
      </c>
      <c r="I10" s="524">
        <f>AVERAGE(C10:G10)</f>
        <v>921228.53189468035</v>
      </c>
      <c r="J10" s="536"/>
    </row>
    <row r="11" spans="1:10" ht="14.25" x14ac:dyDescent="0.2">
      <c r="A11" s="513" t="s">
        <v>279</v>
      </c>
      <c r="B11" s="641">
        <f>$B$4</f>
        <v>0.5</v>
      </c>
      <c r="C11" s="446">
        <f>C4*$E$25</f>
        <v>464941.96950610593</v>
      </c>
      <c r="D11" s="446">
        <f t="shared" ref="D11:G11" si="2">D4*$E$25</f>
        <v>463671.6362560892</v>
      </c>
      <c r="E11" s="446">
        <f t="shared" si="2"/>
        <v>463671.6362560892</v>
      </c>
      <c r="F11" s="446">
        <f t="shared" si="2"/>
        <v>463671.6362560892</v>
      </c>
      <c r="G11" s="446">
        <f t="shared" si="2"/>
        <v>464941.96950610593</v>
      </c>
      <c r="H11" s="518">
        <f t="shared" ref="H11:H15" si="3">SUM(C11:G11)</f>
        <v>2320898.8477804796</v>
      </c>
      <c r="I11" s="279">
        <f t="shared" ref="I11:I15" si="4">AVERAGE(C11:G11)</f>
        <v>464179.76955609594</v>
      </c>
    </row>
    <row r="12" spans="1:10" ht="14.25" x14ac:dyDescent="0.2">
      <c r="A12" s="513" t="s">
        <v>280</v>
      </c>
      <c r="B12" s="642">
        <f>1-B11</f>
        <v>0.5</v>
      </c>
      <c r="C12" s="446">
        <f>C5*$K$31</f>
        <v>457799.25291713729</v>
      </c>
      <c r="D12" s="446">
        <f t="shared" ref="D12:G12" si="5">D5*$K$31</f>
        <v>456548.43528621603</v>
      </c>
      <c r="E12" s="446">
        <f t="shared" si="5"/>
        <v>456548.43528621603</v>
      </c>
      <c r="F12" s="446">
        <f t="shared" si="5"/>
        <v>456548.43528621603</v>
      </c>
      <c r="G12" s="446">
        <f t="shared" si="5"/>
        <v>457799.25291713729</v>
      </c>
      <c r="H12" s="518">
        <f t="shared" si="3"/>
        <v>2285243.8116929228</v>
      </c>
      <c r="I12" s="279">
        <f t="shared" si="4"/>
        <v>457048.76233858458</v>
      </c>
    </row>
    <row r="13" spans="1:10" x14ac:dyDescent="0.2">
      <c r="A13" s="513" t="s">
        <v>392</v>
      </c>
      <c r="B13" s="642">
        <f>1-B10</f>
        <v>9.2833732383987067E-2</v>
      </c>
      <c r="C13" s="522">
        <f>C3-C10</f>
        <v>94427.576024433132</v>
      </c>
      <c r="D13" s="522">
        <f t="shared" ref="D13:G13" si="6">D3-D10</f>
        <v>94169.577182836365</v>
      </c>
      <c r="E13" s="522">
        <f t="shared" si="6"/>
        <v>94169.577182836365</v>
      </c>
      <c r="F13" s="522">
        <f t="shared" si="6"/>
        <v>94169.577182836365</v>
      </c>
      <c r="G13" s="522">
        <f t="shared" si="6"/>
        <v>94427.576024433132</v>
      </c>
      <c r="H13" s="523">
        <f t="shared" si="3"/>
        <v>471363.88359737536</v>
      </c>
      <c r="I13" s="524">
        <f t="shared" si="4"/>
        <v>94272.776719475078</v>
      </c>
    </row>
    <row r="14" spans="1:10" ht="14.25" x14ac:dyDescent="0.2">
      <c r="A14" s="513" t="s">
        <v>279</v>
      </c>
      <c r="B14" s="641">
        <f>$B$4</f>
        <v>0.5</v>
      </c>
      <c r="C14" s="446">
        <f>C4-C11</f>
        <v>43642.429717732244</v>
      </c>
      <c r="D14" s="446">
        <f t="shared" ref="D14:G14" si="7">D4-D11</f>
        <v>43523.188106481568</v>
      </c>
      <c r="E14" s="446">
        <f t="shared" si="7"/>
        <v>43523.188106481568</v>
      </c>
      <c r="F14" s="446">
        <f t="shared" si="7"/>
        <v>43523.188106481568</v>
      </c>
      <c r="G14" s="446">
        <f t="shared" si="7"/>
        <v>43642.429717732244</v>
      </c>
      <c r="H14" s="518">
        <f t="shared" si="3"/>
        <v>217854.42375490919</v>
      </c>
      <c r="I14" s="279">
        <f t="shared" si="4"/>
        <v>43570.884750981837</v>
      </c>
    </row>
    <row r="15" spans="1:10" ht="14.25" x14ac:dyDescent="0.2">
      <c r="A15" s="513" t="s">
        <v>280</v>
      </c>
      <c r="B15" s="642">
        <f>1-B14</f>
        <v>0.5</v>
      </c>
      <c r="C15" s="446">
        <f>C5-C12</f>
        <v>50785.146306700888</v>
      </c>
      <c r="D15" s="446">
        <f t="shared" ref="D15:G15" si="8">D5-D12</f>
        <v>50646.389076354739</v>
      </c>
      <c r="E15" s="446">
        <f t="shared" si="8"/>
        <v>50646.389076354739</v>
      </c>
      <c r="F15" s="446">
        <f t="shared" si="8"/>
        <v>50646.389076354739</v>
      </c>
      <c r="G15" s="446">
        <f t="shared" si="8"/>
        <v>50785.146306700888</v>
      </c>
      <c r="H15" s="518">
        <f t="shared" si="3"/>
        <v>253509.45984246599</v>
      </c>
      <c r="I15" s="279">
        <f t="shared" si="4"/>
        <v>50701.891968493197</v>
      </c>
    </row>
    <row r="16" spans="1:10" x14ac:dyDescent="0.2">
      <c r="B16" s="541"/>
    </row>
    <row r="17" spans="2:15" ht="35.25" customHeight="1" x14ac:dyDescent="0.25">
      <c r="B17" s="681" t="s">
        <v>393</v>
      </c>
      <c r="C17" s="681"/>
      <c r="D17" s="525"/>
    </row>
    <row r="18" spans="2:15" x14ac:dyDescent="0.2">
      <c r="C18" s="526" t="s">
        <v>394</v>
      </c>
      <c r="H18" s="527"/>
    </row>
    <row r="19" spans="2:15" ht="57" customHeight="1" x14ac:dyDescent="0.2">
      <c r="B19" s="528" t="s">
        <v>395</v>
      </c>
      <c r="C19" s="529" t="s">
        <v>396</v>
      </c>
      <c r="D19" s="529" t="s">
        <v>397</v>
      </c>
      <c r="E19" s="529" t="s">
        <v>398</v>
      </c>
      <c r="F19" s="529" t="s">
        <v>399</v>
      </c>
      <c r="H19" s="528" t="s">
        <v>400</v>
      </c>
      <c r="I19" s="529" t="s">
        <v>401</v>
      </c>
      <c r="J19" s="529" t="s">
        <v>402</v>
      </c>
      <c r="K19" s="529" t="s">
        <v>403</v>
      </c>
      <c r="L19" s="529" t="s">
        <v>404</v>
      </c>
    </row>
    <row r="20" spans="2:15" x14ac:dyDescent="0.2">
      <c r="B20" s="530" t="s">
        <v>186</v>
      </c>
      <c r="C20" s="531">
        <f>C27*'Cálculo Tarifa CWD'!$J$5</f>
        <v>6629817.5999999996</v>
      </c>
      <c r="D20" s="532">
        <f>C20/$C$23</f>
        <v>0.85811577752553914</v>
      </c>
      <c r="E20" s="531">
        <f>E27*'Cálculo Tarifa CWD'!$J$5</f>
        <v>5966835.8399999999</v>
      </c>
      <c r="F20" s="532">
        <f>E20/$E$23</f>
        <v>0.84479761609138315</v>
      </c>
      <c r="G20" s="533" t="s">
        <v>248</v>
      </c>
      <c r="H20" s="534" t="s">
        <v>176</v>
      </c>
      <c r="I20" s="531">
        <f>'C. Capacidade'!N12*'Cálculo Tarifa CWD'!$J$5</f>
        <v>1373904</v>
      </c>
      <c r="J20" s="532">
        <f t="shared" ref="J20:J28" si="9">I20/$I$29</f>
        <v>0.18062160734015467</v>
      </c>
      <c r="K20" s="531">
        <f>M20*'Cálculo Tarifa CWD'!$J$5</f>
        <v>1236513.6000000001</v>
      </c>
      <c r="L20" s="532">
        <f t="shared" ref="L20:L28" si="10">K20/$K$29</f>
        <v>0.18059268983845919</v>
      </c>
      <c r="M20" s="535">
        <f>IF($A$58=1,I20/'Cálculo Tarifa CWD'!$J$5,I20/'Cálculo Tarifa CWD'!$J$5*0.9)</f>
        <v>3384.0000000000005</v>
      </c>
      <c r="N20" s="536">
        <f>(I20/'Cálculo Tarifa CWD'!$J$5)-M20</f>
        <v>376</v>
      </c>
      <c r="O20" s="536"/>
    </row>
    <row r="21" spans="2:15" x14ac:dyDescent="0.2">
      <c r="B21" s="530" t="s">
        <v>187</v>
      </c>
      <c r="C21" s="531">
        <f>C28*'Cálculo Tarifa CWD'!$J$5</f>
        <v>1096200</v>
      </c>
      <c r="D21" s="532">
        <f>C21/$C$23</f>
        <v>0.14188422247446084</v>
      </c>
      <c r="E21" s="531">
        <f>E28*'Cálculo Tarifa CWD'!$J$5</f>
        <v>1096200</v>
      </c>
      <c r="F21" s="532">
        <f>E21/$E$23</f>
        <v>0.15520238390861685</v>
      </c>
      <c r="G21" s="533" t="s">
        <v>249</v>
      </c>
      <c r="H21" s="537" t="s">
        <v>177</v>
      </c>
      <c r="I21" s="531">
        <f>'C. Capacidade'!N13*'Cálculo Tarifa CWD'!$J$5</f>
        <v>913500</v>
      </c>
      <c r="J21" s="532">
        <f t="shared" si="9"/>
        <v>0.12009415381659219</v>
      </c>
      <c r="K21" s="531">
        <f>M21*'Cálculo Tarifa CWD'!$J$5</f>
        <v>822150</v>
      </c>
      <c r="L21" s="532">
        <f t="shared" si="10"/>
        <v>0.12007492675429468</v>
      </c>
      <c r="M21" s="535">
        <f>IF($A$58=1,I21/'Cálculo Tarifa CWD'!$J$5,I21/'Cálculo Tarifa CWD'!$J$5*0.9)</f>
        <v>2250</v>
      </c>
      <c r="N21" s="536">
        <f>(I21/'Cálculo Tarifa CWD'!$J$5)-M21</f>
        <v>250</v>
      </c>
    </row>
    <row r="22" spans="2:15" x14ac:dyDescent="0.2">
      <c r="B22" s="530" t="s">
        <v>405</v>
      </c>
      <c r="C22" s="531">
        <f>C29*'Cálculo Tarifa CWD'!$J$5</f>
        <v>0</v>
      </c>
      <c r="D22" s="532">
        <f>C22/$C$23</f>
        <v>0</v>
      </c>
      <c r="E22" s="531">
        <f>E29*'Cálculo Tarifa CWD'!$J$5</f>
        <v>0</v>
      </c>
      <c r="F22" s="532">
        <f>E22/$E$23</f>
        <v>0</v>
      </c>
      <c r="G22" s="533" t="s">
        <v>250</v>
      </c>
      <c r="H22" s="534" t="s">
        <v>406</v>
      </c>
      <c r="I22" s="531">
        <f>'C. Capacidade'!N14*'Cálculo Tarifa CWD'!$J$5</f>
        <v>4129019.9999999995</v>
      </c>
      <c r="J22" s="532">
        <f t="shared" si="9"/>
        <v>0.54282557525099662</v>
      </c>
      <c r="K22" s="531">
        <f>M22*'Cálculo Tarifa CWD'!$J$5</f>
        <v>3716118</v>
      </c>
      <c r="L22" s="532">
        <f t="shared" si="10"/>
        <v>0.54273866892941192</v>
      </c>
      <c r="M22" s="535">
        <f>IF($A$58=1,I22/'Cálculo Tarifa CWD'!$J$5,I22/'Cálculo Tarifa CWD'!$J$5*0.9)</f>
        <v>10170</v>
      </c>
      <c r="N22" s="536">
        <f>(I22/'Cálculo Tarifa CWD'!$J$5)-M22</f>
        <v>1130</v>
      </c>
    </row>
    <row r="23" spans="2:15" x14ac:dyDescent="0.2">
      <c r="B23" s="538" t="s">
        <v>1</v>
      </c>
      <c r="C23" s="539">
        <f>SUM(C20:C22)</f>
        <v>7726017.5999999996</v>
      </c>
      <c r="D23" s="539"/>
      <c r="E23" s="539">
        <f>SUM(E20:E22)</f>
        <v>7063035.8399999999</v>
      </c>
      <c r="F23" s="539"/>
      <c r="G23" s="533" t="s">
        <v>251</v>
      </c>
      <c r="H23" s="534" t="s">
        <v>407</v>
      </c>
      <c r="I23" s="531">
        <f>'C. Capacidade'!N15*'Cálculo Tarifa CWD'!$J$5</f>
        <v>3654</v>
      </c>
      <c r="J23" s="532">
        <f t="shared" si="9"/>
        <v>4.803766152663688E-4</v>
      </c>
      <c r="K23" s="531">
        <f>M23*'Cálculo Tarifa CWD'!$J$5</f>
        <v>3654</v>
      </c>
      <c r="L23" s="532">
        <f t="shared" si="10"/>
        <v>5.3366634113019855E-4</v>
      </c>
      <c r="M23" s="535">
        <f>IF($A$58=1,I23/'Cálculo Tarifa CWD'!$J$5,I23/'Cálculo Tarifa CWD'!$J$5)</f>
        <v>10</v>
      </c>
      <c r="N23" s="536">
        <f>(I23/'Cálculo Tarifa CWD'!$J$5)-M23</f>
        <v>0</v>
      </c>
    </row>
    <row r="24" spans="2:15" x14ac:dyDescent="0.2">
      <c r="C24" s="540">
        <f>C23/365.4</f>
        <v>21144</v>
      </c>
      <c r="D24" s="541"/>
      <c r="E24" s="540">
        <f>E23/365.4</f>
        <v>19329.600000000002</v>
      </c>
      <c r="G24" s="533" t="s">
        <v>252</v>
      </c>
      <c r="H24" s="534" t="s">
        <v>179</v>
      </c>
      <c r="I24" s="531">
        <f>'C. Capacidade'!N16*'Cálculo Tarifa CWD'!$J$5</f>
        <v>482327.99999999994</v>
      </c>
      <c r="J24" s="532">
        <f t="shared" si="9"/>
        <v>6.3409713215160673E-2</v>
      </c>
      <c r="K24" s="531">
        <f>M24*'Cálculo Tarifa CWD'!$J$5</f>
        <v>434095.19999999995</v>
      </c>
      <c r="L24" s="532">
        <f t="shared" si="10"/>
        <v>6.3399561326267576E-2</v>
      </c>
      <c r="M24" s="535">
        <f>IF($A$58=1,I24/'Cálculo Tarifa CWD'!$J$5,I24/'Cálculo Tarifa CWD'!$J$5*0.9)</f>
        <v>1188</v>
      </c>
      <c r="N24" s="536">
        <f>(I24/'Cálculo Tarifa CWD'!$J$5)-M24</f>
        <v>132</v>
      </c>
    </row>
    <row r="25" spans="2:15" x14ac:dyDescent="0.2">
      <c r="E25" s="631">
        <f>E24/C24</f>
        <v>0.91418842224744623</v>
      </c>
      <c r="G25" s="533" t="s">
        <v>253</v>
      </c>
      <c r="H25" s="534" t="s">
        <v>180</v>
      </c>
      <c r="I25" s="531">
        <f>'C. Capacidade'!N17*'Cálculo Tarifa CWD'!$J$5</f>
        <v>3654</v>
      </c>
      <c r="J25" s="532">
        <f t="shared" si="9"/>
        <v>4.803766152663688E-4</v>
      </c>
      <c r="K25" s="531">
        <f>M25*'Cálculo Tarifa CWD'!$J$5</f>
        <v>3654</v>
      </c>
      <c r="L25" s="532">
        <f t="shared" si="10"/>
        <v>5.3366634113019855E-4</v>
      </c>
      <c r="M25" s="535">
        <f>IF($A$58=1,I25/'Cálculo Tarifa CWD'!$J$5,I25/'Cálculo Tarifa CWD'!$J$5)</f>
        <v>10</v>
      </c>
      <c r="N25" s="536">
        <f>(I25/'Cálculo Tarifa CWD'!$J$5)-M25</f>
        <v>0</v>
      </c>
    </row>
    <row r="26" spans="2:15" x14ac:dyDescent="0.2">
      <c r="G26" s="533" t="s">
        <v>254</v>
      </c>
      <c r="H26" s="534" t="s">
        <v>408</v>
      </c>
      <c r="I26" s="531">
        <f>'C. Capacidade'!N18*'Cálculo Tarifa CWD'!$J$5</f>
        <v>449807.39999999997</v>
      </c>
      <c r="J26" s="532">
        <f t="shared" si="9"/>
        <v>5.9134361339289995E-2</v>
      </c>
      <c r="K26" s="531">
        <f>M26*'Cálculo Tarifa CWD'!$J$5</f>
        <v>404826.66000000003</v>
      </c>
      <c r="L26" s="532">
        <f t="shared" si="10"/>
        <v>5.9124893933814704E-2</v>
      </c>
      <c r="M26" s="535">
        <f>IF($A$58=1,I26/'Cálculo Tarifa CWD'!$J$5,I26/'Cálculo Tarifa CWD'!$J$5*0.9)</f>
        <v>1107.9000000000001</v>
      </c>
      <c r="N26" s="536">
        <f>(I26/'Cálculo Tarifa CWD'!$J$5)-M26</f>
        <v>123.09999999999991</v>
      </c>
    </row>
    <row r="27" spans="2:15" x14ac:dyDescent="0.2">
      <c r="C27" s="540">
        <f>'C. Capacidade'!N6</f>
        <v>18144</v>
      </c>
      <c r="E27" s="540">
        <f>IF($A$58=1,C27,C27*0.9)</f>
        <v>16329.6</v>
      </c>
      <c r="F27" s="536">
        <f>C27-E27</f>
        <v>1814.3999999999996</v>
      </c>
      <c r="G27" s="533" t="s">
        <v>255</v>
      </c>
      <c r="H27" s="534" t="s">
        <v>409</v>
      </c>
      <c r="I27" s="531">
        <f>'C. Capacidade'!N19*'Cálculo Tarifa CWD'!$J$5</f>
        <v>247010.4</v>
      </c>
      <c r="J27" s="532">
        <f t="shared" si="9"/>
        <v>3.2473459192006532E-2</v>
      </c>
      <c r="K27" s="531">
        <f>M27*'Cálculo Tarifa CWD'!$J$5</f>
        <v>222309.36</v>
      </c>
      <c r="L27" s="532">
        <f t="shared" si="10"/>
        <v>3.2468260194361276E-2</v>
      </c>
      <c r="M27" s="535">
        <f>IF($A$58=1,I27/'Cálculo Tarifa CWD'!$J$5,I27/'Cálculo Tarifa CWD'!$J$5*0.9)</f>
        <v>608.4</v>
      </c>
      <c r="N27" s="536">
        <f>(I27/'Cálculo Tarifa CWD'!$J$5)-M27</f>
        <v>67.600000000000023</v>
      </c>
    </row>
    <row r="28" spans="2:15" x14ac:dyDescent="0.2">
      <c r="C28" s="540">
        <f>'C. Capacidade'!N7</f>
        <v>3000</v>
      </c>
      <c r="E28" s="540">
        <v>3000</v>
      </c>
      <c r="F28" s="536">
        <f>C28-E28</f>
        <v>0</v>
      </c>
      <c r="G28" s="533" t="s">
        <v>256</v>
      </c>
      <c r="H28" s="534" t="s">
        <v>182</v>
      </c>
      <c r="I28" s="531">
        <f>'C. Capacidade'!N20*'Cálculo Tarifa CWD'!$J$5</f>
        <v>3654</v>
      </c>
      <c r="J28" s="532">
        <f t="shared" si="9"/>
        <v>4.803766152663688E-4</v>
      </c>
      <c r="K28" s="531">
        <f>M28*'Cálculo Tarifa CWD'!$J$5</f>
        <v>3654</v>
      </c>
      <c r="L28" s="532">
        <f t="shared" si="10"/>
        <v>5.3366634113019855E-4</v>
      </c>
      <c r="M28" s="535">
        <f>IF($A$58=1,I28/'Cálculo Tarifa CWD'!$J$5,I28/'Cálculo Tarifa CWD'!$J$5)</f>
        <v>10</v>
      </c>
      <c r="N28" s="536">
        <f>(I28/'Cálculo Tarifa CWD'!$J$5)-M28</f>
        <v>0</v>
      </c>
    </row>
    <row r="29" spans="2:15" x14ac:dyDescent="0.2">
      <c r="C29" s="542">
        <v>0</v>
      </c>
      <c r="E29" s="540">
        <v>0</v>
      </c>
      <c r="F29" s="536">
        <f>C29-E29</f>
        <v>0</v>
      </c>
      <c r="H29" s="543" t="s">
        <v>1</v>
      </c>
      <c r="I29" s="544">
        <f>SUM(I20:I28)</f>
        <v>7606531.8000000007</v>
      </c>
      <c r="J29" s="539"/>
      <c r="K29" s="544">
        <f>SUM(K20:K28)</f>
        <v>6846974.8200000003</v>
      </c>
      <c r="L29" s="532"/>
      <c r="N29" s="545"/>
    </row>
    <row r="30" spans="2:15" x14ac:dyDescent="0.2">
      <c r="I30" s="541">
        <f>I29/365.4</f>
        <v>20817.000000000004</v>
      </c>
      <c r="K30" s="541">
        <f>K29/365.4</f>
        <v>18738.300000000003</v>
      </c>
      <c r="M30" s="546"/>
      <c r="N30" s="546"/>
    </row>
    <row r="31" spans="2:15" x14ac:dyDescent="0.2">
      <c r="J31" s="541"/>
      <c r="K31" s="547">
        <f>K30/I30</f>
        <v>0.90014411298457986</v>
      </c>
    </row>
    <row r="32" spans="2:15" x14ac:dyDescent="0.2">
      <c r="J32" s="541"/>
      <c r="K32" s="546"/>
    </row>
    <row r="33" spans="1:83" x14ac:dyDescent="0.2">
      <c r="D33" s="548">
        <v>1</v>
      </c>
      <c r="E33" s="548">
        <v>2</v>
      </c>
      <c r="F33" s="548">
        <v>3</v>
      </c>
      <c r="G33" s="548">
        <v>4</v>
      </c>
      <c r="H33" s="548">
        <v>5</v>
      </c>
      <c r="I33" s="548">
        <v>6</v>
      </c>
      <c r="J33" s="548">
        <v>7</v>
      </c>
      <c r="K33" s="548">
        <v>8</v>
      </c>
      <c r="L33" s="548">
        <v>9</v>
      </c>
      <c r="M33" s="548"/>
      <c r="N33" s="548"/>
      <c r="O33" s="548"/>
      <c r="P33" s="548"/>
      <c r="Q33" s="548"/>
      <c r="R33" s="548"/>
      <c r="S33" s="548"/>
      <c r="T33" s="548"/>
      <c r="U33" s="548"/>
      <c r="V33" s="548"/>
      <c r="W33" s="548"/>
      <c r="X33" s="548"/>
      <c r="Y33" s="548"/>
      <c r="Z33" s="548"/>
      <c r="AA33" s="548"/>
      <c r="AB33" s="548"/>
      <c r="AC33" s="548"/>
      <c r="AD33" s="548"/>
      <c r="AE33" s="548"/>
      <c r="AF33" s="548"/>
      <c r="AG33" s="548"/>
      <c r="AH33" s="548"/>
      <c r="AI33" s="548"/>
      <c r="AJ33" s="548"/>
      <c r="AK33" s="548"/>
      <c r="AL33" s="548"/>
      <c r="AM33" s="548"/>
      <c r="AN33" s="548"/>
      <c r="AO33" s="548"/>
      <c r="AP33" s="548"/>
      <c r="AQ33" s="548"/>
      <c r="AR33" s="548"/>
      <c r="AS33" s="548"/>
      <c r="AT33" s="548"/>
      <c r="AU33" s="548"/>
      <c r="AV33" s="548"/>
      <c r="AW33" s="548"/>
      <c r="AX33" s="548"/>
      <c r="AY33" s="548"/>
      <c r="AZ33" s="548"/>
      <c r="BA33" s="548"/>
      <c r="BB33" s="548"/>
      <c r="BC33" s="548"/>
      <c r="BD33" s="548"/>
      <c r="BE33" s="548"/>
      <c r="BF33" s="548"/>
      <c r="BG33" s="548"/>
      <c r="BH33" s="548"/>
      <c r="BI33" s="548"/>
      <c r="BJ33" s="548"/>
      <c r="BK33" s="548"/>
      <c r="BL33" s="548"/>
      <c r="BM33" s="548"/>
      <c r="BN33" s="548"/>
      <c r="BO33" s="548"/>
      <c r="BP33" s="548"/>
      <c r="BQ33" s="548"/>
      <c r="BR33" s="548"/>
      <c r="BS33" s="548"/>
      <c r="BT33" s="548"/>
      <c r="BU33" s="548"/>
      <c r="BV33" s="548"/>
      <c r="BW33" s="548"/>
      <c r="BX33" s="548"/>
      <c r="BY33" s="548"/>
      <c r="BZ33" s="548"/>
      <c r="CA33" s="548"/>
      <c r="CB33" s="548"/>
      <c r="CC33" s="548"/>
      <c r="CD33" s="548"/>
      <c r="CE33" s="548"/>
    </row>
    <row r="34" spans="1:83" ht="18" x14ac:dyDescent="0.2">
      <c r="A34" s="548"/>
      <c r="B34" s="549" t="s">
        <v>199</v>
      </c>
      <c r="C34" s="529" t="s">
        <v>410</v>
      </c>
      <c r="D34" s="550" t="str">
        <f t="array" ref="D34:L34">TRANSPOSE(H20:H28)</f>
        <v>MSgás</v>
      </c>
      <c r="E34" s="551" t="str">
        <v>Gás Brasiliano</v>
      </c>
      <c r="F34" s="550" t="str">
        <v>Comgás (Trecho Norte)</v>
      </c>
      <c r="G34" s="550" t="str">
        <v>Comgás (Trecho Sul)</v>
      </c>
      <c r="H34" s="550" t="str">
        <v>Gás Natural São Paulo</v>
      </c>
      <c r="I34" s="550" t="str">
        <v>Compagás</v>
      </c>
      <c r="J34" s="550" t="str">
        <v>SCGás 1</v>
      </c>
      <c r="K34" s="550" t="str">
        <v>SCGás 2</v>
      </c>
      <c r="L34" s="550" t="str">
        <v>Sulgás</v>
      </c>
      <c r="M34" s="548"/>
      <c r="N34" s="548"/>
      <c r="O34" s="548"/>
      <c r="P34" s="548"/>
      <c r="Q34" s="548"/>
      <c r="R34" s="548"/>
      <c r="S34" s="548"/>
      <c r="T34" s="548"/>
      <c r="U34" s="548"/>
      <c r="V34" s="548"/>
      <c r="W34" s="548"/>
      <c r="X34" s="548"/>
      <c r="Y34" s="548"/>
      <c r="Z34" s="548"/>
      <c r="AA34" s="548"/>
      <c r="AB34" s="548"/>
      <c r="AC34" s="548"/>
      <c r="AD34" s="548"/>
      <c r="AE34" s="548"/>
      <c r="AF34" s="548"/>
      <c r="AG34" s="548"/>
      <c r="AH34" s="548"/>
      <c r="AI34" s="548"/>
      <c r="AJ34" s="548"/>
      <c r="AK34" s="548"/>
      <c r="AL34" s="548"/>
      <c r="AM34" s="548"/>
      <c r="AN34" s="548"/>
      <c r="AO34" s="548"/>
      <c r="AP34" s="548"/>
      <c r="AQ34" s="548"/>
      <c r="AR34" s="548"/>
      <c r="AS34" s="548"/>
      <c r="AT34" s="548"/>
      <c r="AU34" s="548"/>
      <c r="AV34" s="548"/>
      <c r="AW34" s="548"/>
      <c r="AX34" s="548"/>
      <c r="AY34" s="548"/>
      <c r="AZ34" s="548"/>
      <c r="BA34" s="548"/>
      <c r="BB34" s="548"/>
      <c r="BC34" s="548"/>
      <c r="BD34" s="548"/>
      <c r="BE34" s="548"/>
      <c r="BF34" s="548"/>
      <c r="BG34" s="548"/>
      <c r="BH34" s="548"/>
      <c r="BI34" s="548"/>
      <c r="BJ34" s="548"/>
      <c r="BK34" s="548"/>
      <c r="BL34" s="548"/>
      <c r="BM34" s="548"/>
      <c r="BN34" s="548"/>
      <c r="BO34" s="548"/>
      <c r="BP34" s="548"/>
      <c r="BQ34" s="548"/>
      <c r="BR34" s="548"/>
      <c r="BS34" s="548"/>
      <c r="BT34" s="548"/>
      <c r="BU34" s="548"/>
      <c r="BV34" s="548"/>
      <c r="BW34" s="548"/>
      <c r="BX34" s="548"/>
      <c r="BY34" s="548"/>
      <c r="BZ34" s="548"/>
      <c r="CA34" s="548"/>
      <c r="CB34" s="548"/>
      <c r="CC34" s="548"/>
      <c r="CD34" s="548"/>
      <c r="CE34" s="548"/>
    </row>
    <row r="35" spans="1:83" x14ac:dyDescent="0.2">
      <c r="A35" s="552">
        <v>1</v>
      </c>
      <c r="B35" s="553" t="str">
        <f>B20</f>
        <v>EMED CORUMBÁ</v>
      </c>
      <c r="C35" s="554">
        <f>SUM(D35:L35)</f>
        <v>1171.7138582553482</v>
      </c>
      <c r="D35" s="555">
        <f>D44*D38</f>
        <v>82.634385358120753</v>
      </c>
      <c r="E35" s="555">
        <f t="shared" ref="E35:L35" si="11">E44*E38</f>
        <v>118.48146089391226</v>
      </c>
      <c r="F35" s="555">
        <f t="shared" si="11"/>
        <v>696.55377816207886</v>
      </c>
      <c r="G35" s="555">
        <f t="shared" si="11"/>
        <v>0.61898928760147964</v>
      </c>
      <c r="H35" s="555">
        <f t="shared" si="11"/>
        <v>86.107220060527453</v>
      </c>
      <c r="I35" s="555">
        <f t="shared" si="11"/>
        <v>0.834438199548446</v>
      </c>
      <c r="J35" s="555">
        <f t="shared" si="11"/>
        <v>119.62618479554637</v>
      </c>
      <c r="K35" s="555">
        <f t="shared" si="11"/>
        <v>65.692364680576247</v>
      </c>
      <c r="L35" s="555">
        <f t="shared" si="11"/>
        <v>1.1650368174362986</v>
      </c>
      <c r="M35" s="556"/>
      <c r="N35" s="556"/>
      <c r="O35" s="556"/>
      <c r="P35" s="556"/>
      <c r="Q35" s="556"/>
      <c r="R35" s="556"/>
      <c r="S35" s="556"/>
      <c r="T35" s="556"/>
      <c r="U35" s="556"/>
      <c r="V35" s="556"/>
      <c r="W35" s="556"/>
      <c r="X35" s="556"/>
      <c r="Y35" s="556"/>
      <c r="Z35" s="556"/>
      <c r="AA35" s="556"/>
      <c r="AB35" s="556"/>
      <c r="AC35" s="556"/>
      <c r="AD35" s="556"/>
      <c r="AE35" s="556"/>
      <c r="AF35" s="556"/>
      <c r="AG35" s="556"/>
      <c r="AH35" s="556"/>
      <c r="AI35" s="556"/>
      <c r="AJ35" s="556"/>
      <c r="AK35" s="556"/>
      <c r="AL35" s="556"/>
      <c r="AM35" s="556"/>
      <c r="AN35" s="556"/>
      <c r="AO35" s="556"/>
      <c r="AP35" s="556"/>
      <c r="AQ35" s="556"/>
      <c r="AR35" s="556"/>
      <c r="AS35" s="556"/>
      <c r="AT35" s="556"/>
      <c r="AU35" s="556"/>
      <c r="AV35" s="556"/>
      <c r="AW35" s="556"/>
      <c r="AX35" s="556"/>
      <c r="AY35" s="556"/>
      <c r="AZ35" s="548"/>
      <c r="BA35" s="548"/>
      <c r="BB35" s="548"/>
      <c r="BC35" s="548"/>
      <c r="BD35" s="548"/>
      <c r="BE35" s="548"/>
      <c r="BF35" s="548"/>
      <c r="BG35" s="548"/>
      <c r="BH35" s="548"/>
      <c r="BI35" s="548"/>
      <c r="BJ35" s="548"/>
      <c r="BK35" s="548"/>
      <c r="BL35" s="548"/>
      <c r="BM35" s="548"/>
      <c r="BN35" s="548"/>
      <c r="BO35" s="548"/>
      <c r="BP35" s="548"/>
      <c r="BQ35" s="548"/>
      <c r="BR35" s="548"/>
      <c r="BS35" s="548"/>
      <c r="BT35" s="548"/>
      <c r="BU35" s="548"/>
      <c r="BV35" s="548"/>
      <c r="BW35" s="548"/>
      <c r="BX35" s="548"/>
      <c r="BY35" s="548"/>
      <c r="BZ35" s="548"/>
      <c r="CA35" s="548"/>
      <c r="CB35" s="548"/>
      <c r="CC35" s="548"/>
      <c r="CD35" s="548"/>
      <c r="CE35" s="548"/>
    </row>
    <row r="36" spans="1:83" x14ac:dyDescent="0.2">
      <c r="A36" s="552">
        <v>2</v>
      </c>
      <c r="B36" s="553" t="str">
        <f>B21</f>
        <v>EMED GASCAR</v>
      </c>
      <c r="C36" s="554">
        <f>SUM(D36:L36)</f>
        <v>277.25721498988543</v>
      </c>
      <c r="D36" s="557">
        <f>D45*D38</f>
        <v>145.74357496277082</v>
      </c>
      <c r="E36" s="557">
        <f t="shared" ref="E36:L36" si="12">E45*E38</f>
        <v>33.365587191786943</v>
      </c>
      <c r="F36" s="557">
        <f t="shared" si="12"/>
        <v>21.930153240140267</v>
      </c>
      <c r="G36" s="557">
        <f t="shared" si="12"/>
        <v>1.1601095258682822E-2</v>
      </c>
      <c r="H36" s="557">
        <f t="shared" si="12"/>
        <v>5.9319786712782818</v>
      </c>
      <c r="I36" s="557">
        <f t="shared" si="12"/>
        <v>0.22705000720564922</v>
      </c>
      <c r="J36" s="557">
        <f t="shared" si="12"/>
        <v>44.856698318148091</v>
      </c>
      <c r="K36" s="557">
        <f t="shared" si="12"/>
        <v>24.632922878203175</v>
      </c>
      <c r="L36" s="557">
        <f t="shared" si="12"/>
        <v>0.55764862509350177</v>
      </c>
      <c r="M36" s="558"/>
      <c r="N36" s="558"/>
      <c r="O36" s="558"/>
      <c r="P36" s="558"/>
      <c r="Q36" s="558"/>
      <c r="R36" s="558"/>
      <c r="S36" s="558"/>
      <c r="T36" s="558"/>
      <c r="U36" s="558"/>
      <c r="V36" s="558"/>
      <c r="W36" s="558"/>
      <c r="X36" s="558"/>
      <c r="Y36" s="558"/>
      <c r="Z36" s="558"/>
      <c r="AA36" s="558"/>
      <c r="AB36" s="558"/>
      <c r="AC36" s="558"/>
      <c r="AD36" s="558"/>
      <c r="AE36" s="558"/>
      <c r="AF36" s="558"/>
      <c r="AG36" s="558"/>
      <c r="AH36" s="558"/>
      <c r="AI36" s="558"/>
      <c r="AJ36" s="558"/>
      <c r="AK36" s="558"/>
      <c r="AL36" s="558"/>
      <c r="AM36" s="558"/>
      <c r="AN36" s="558"/>
      <c r="AO36" s="558"/>
      <c r="AP36" s="558"/>
      <c r="AQ36" s="558"/>
      <c r="AR36" s="558"/>
      <c r="AS36" s="558"/>
      <c r="AT36" s="558"/>
      <c r="AU36" s="558"/>
      <c r="AV36" s="558"/>
      <c r="AW36" s="558"/>
      <c r="AX36" s="558"/>
      <c r="AY36" s="558"/>
      <c r="AZ36" s="548"/>
      <c r="BA36" s="548"/>
      <c r="BB36" s="548"/>
      <c r="BC36" s="548"/>
      <c r="BD36" s="548"/>
      <c r="BE36" s="548"/>
      <c r="BF36" s="548"/>
      <c r="BG36" s="548"/>
      <c r="BH36" s="548"/>
      <c r="BI36" s="548"/>
      <c r="BJ36" s="548"/>
      <c r="BK36" s="548"/>
      <c r="BL36" s="548"/>
      <c r="BM36" s="548"/>
      <c r="BN36" s="548"/>
      <c r="BO36" s="548"/>
      <c r="BP36" s="548"/>
      <c r="BQ36" s="548"/>
      <c r="BR36" s="548"/>
      <c r="BS36" s="548"/>
      <c r="BT36" s="548"/>
      <c r="BU36" s="548"/>
      <c r="BV36" s="548"/>
      <c r="BW36" s="548"/>
      <c r="BX36" s="548"/>
      <c r="BY36" s="548"/>
      <c r="BZ36" s="548"/>
      <c r="CA36" s="548"/>
      <c r="CB36" s="548"/>
      <c r="CC36" s="548"/>
      <c r="CD36" s="548"/>
      <c r="CE36" s="548"/>
    </row>
    <row r="37" spans="1:83" x14ac:dyDescent="0.2">
      <c r="A37" s="552">
        <v>3</v>
      </c>
      <c r="B37" s="553" t="str">
        <f>B22</f>
        <v>[NOVO PTR]</v>
      </c>
      <c r="C37" s="554">
        <f>SUM(D37:L37)</f>
        <v>0</v>
      </c>
      <c r="D37" s="557">
        <f>IF($C$29=0,0,D46*D38)</f>
        <v>0</v>
      </c>
      <c r="E37" s="557">
        <f t="shared" ref="E37:L37" si="13">IF($C$29=0,0,E46*E38)</f>
        <v>0</v>
      </c>
      <c r="F37" s="557">
        <f t="shared" si="13"/>
        <v>0</v>
      </c>
      <c r="G37" s="557">
        <f t="shared" si="13"/>
        <v>0</v>
      </c>
      <c r="H37" s="557">
        <f t="shared" si="13"/>
        <v>0</v>
      </c>
      <c r="I37" s="557">
        <f t="shared" si="13"/>
        <v>0</v>
      </c>
      <c r="J37" s="557">
        <f t="shared" si="13"/>
        <v>0</v>
      </c>
      <c r="K37" s="557">
        <f t="shared" si="13"/>
        <v>0</v>
      </c>
      <c r="L37" s="557">
        <f t="shared" si="13"/>
        <v>0</v>
      </c>
      <c r="M37" s="558"/>
      <c r="N37" s="558"/>
      <c r="O37" s="558"/>
      <c r="P37" s="558"/>
      <c r="Q37" s="558"/>
      <c r="R37" s="558"/>
      <c r="S37" s="558"/>
      <c r="T37" s="558"/>
      <c r="U37" s="558"/>
      <c r="V37" s="558"/>
      <c r="W37" s="558"/>
      <c r="X37" s="558"/>
      <c r="Y37" s="558"/>
      <c r="Z37" s="558"/>
      <c r="AA37" s="558"/>
      <c r="AB37" s="558"/>
      <c r="AC37" s="558"/>
      <c r="AD37" s="558"/>
      <c r="AE37" s="558"/>
      <c r="AF37" s="558"/>
      <c r="AG37" s="558"/>
      <c r="AH37" s="558"/>
      <c r="AI37" s="558"/>
      <c r="AJ37" s="558"/>
      <c r="AK37" s="558"/>
      <c r="AL37" s="558"/>
      <c r="AM37" s="558"/>
      <c r="AN37" s="558"/>
      <c r="AO37" s="558"/>
      <c r="AP37" s="558"/>
      <c r="AQ37" s="558"/>
      <c r="AR37" s="558"/>
      <c r="AS37" s="558"/>
      <c r="AT37" s="558"/>
      <c r="AU37" s="558"/>
      <c r="AV37" s="558"/>
      <c r="AW37" s="558"/>
      <c r="AX37" s="558"/>
      <c r="AY37" s="558"/>
      <c r="AZ37" s="548"/>
      <c r="BA37" s="548"/>
      <c r="BB37" s="548"/>
      <c r="BC37" s="548"/>
      <c r="BD37" s="548"/>
      <c r="BE37" s="548"/>
      <c r="BF37" s="548"/>
      <c r="BG37" s="548"/>
      <c r="BH37" s="548"/>
      <c r="BI37" s="548"/>
      <c r="BJ37" s="548"/>
      <c r="BK37" s="548"/>
      <c r="BL37" s="548"/>
      <c r="BM37" s="548"/>
      <c r="BN37" s="548"/>
      <c r="BO37" s="548"/>
      <c r="BP37" s="548"/>
      <c r="BQ37" s="548"/>
      <c r="BR37" s="548"/>
      <c r="BS37" s="548"/>
      <c r="BT37" s="548"/>
      <c r="BU37" s="548"/>
      <c r="BV37" s="548"/>
      <c r="BW37" s="548"/>
      <c r="BX37" s="548"/>
      <c r="BY37" s="548"/>
      <c r="BZ37" s="548"/>
      <c r="CA37" s="548"/>
      <c r="CB37" s="548"/>
      <c r="CC37" s="548"/>
      <c r="CD37" s="548"/>
      <c r="CE37" s="548"/>
    </row>
    <row r="38" spans="1:83" x14ac:dyDescent="0.2">
      <c r="B38" s="559"/>
      <c r="C38" s="560"/>
      <c r="D38" s="561">
        <f>VLOOKUP(D34,$H$20:$J$28,3,FALSE)</f>
        <v>0.18062160734015467</v>
      </c>
      <c r="E38" s="561">
        <f>VLOOKUP(E34,$H$20:$J$28,3,FALSE)</f>
        <v>0.12009415381659219</v>
      </c>
      <c r="F38" s="561">
        <f>VLOOKUP(F34,$H$20:$J$28,3,FALSE)</f>
        <v>0.54282557525099662</v>
      </c>
      <c r="G38" s="561">
        <f>J23</f>
        <v>4.803766152663688E-4</v>
      </c>
      <c r="H38" s="561">
        <f>VLOOKUP(H34,$H$20:$J$28,3,FALSE)</f>
        <v>6.3409713215160673E-2</v>
      </c>
      <c r="I38" s="561">
        <f>VLOOKUP(I34,$H$20:$J$28,3,FALSE)</f>
        <v>4.803766152663688E-4</v>
      </c>
      <c r="J38" s="561">
        <f>VLOOKUP(J34,$H$20:$J$28,3,FALSE)</f>
        <v>5.9134361339289995E-2</v>
      </c>
      <c r="K38" s="561">
        <f>J27</f>
        <v>3.2473459192006532E-2</v>
      </c>
      <c r="L38" s="561">
        <f>VLOOKUP(L34,$H$20:$J$28,3,FALSE)</f>
        <v>4.803766152663688E-4</v>
      </c>
      <c r="M38" s="562"/>
      <c r="N38" s="562"/>
      <c r="O38" s="562"/>
      <c r="P38" s="562"/>
      <c r="Q38" s="562"/>
      <c r="R38" s="562"/>
      <c r="S38" s="562"/>
      <c r="T38" s="562"/>
      <c r="U38" s="562"/>
      <c r="V38" s="562"/>
      <c r="W38" s="562"/>
      <c r="X38" s="562"/>
      <c r="Y38" s="562"/>
      <c r="Z38" s="562"/>
      <c r="AA38" s="562"/>
      <c r="AB38" s="562"/>
      <c r="AC38" s="562"/>
      <c r="AD38" s="562"/>
      <c r="AE38" s="562"/>
      <c r="AF38" s="562"/>
      <c r="AG38" s="562"/>
      <c r="AH38" s="562"/>
      <c r="AI38" s="562"/>
      <c r="AJ38" s="562"/>
      <c r="AK38" s="562"/>
      <c r="AL38" s="562"/>
      <c r="AM38" s="562"/>
      <c r="AN38" s="562"/>
      <c r="AO38" s="562"/>
      <c r="AP38" s="562"/>
      <c r="AQ38" s="562"/>
      <c r="AR38" s="562"/>
      <c r="AS38" s="562"/>
      <c r="AT38" s="562"/>
      <c r="AU38" s="562"/>
      <c r="AV38" s="562"/>
      <c r="AW38" s="562"/>
      <c r="AX38" s="562"/>
      <c r="AY38" s="562"/>
      <c r="AZ38" s="562"/>
      <c r="BA38" s="562"/>
      <c r="BB38" s="562"/>
      <c r="BC38" s="562"/>
      <c r="BD38" s="562"/>
      <c r="BE38" s="562"/>
      <c r="BF38" s="562"/>
      <c r="BG38" s="562"/>
      <c r="BH38" s="562"/>
      <c r="BI38" s="562"/>
      <c r="BJ38" s="562"/>
      <c r="BK38" s="562"/>
      <c r="BL38" s="562"/>
      <c r="BM38" s="562"/>
      <c r="BN38" s="562"/>
      <c r="BO38" s="562"/>
      <c r="BP38" s="562"/>
      <c r="BQ38" s="562"/>
      <c r="BR38" s="562"/>
      <c r="BS38" s="562"/>
      <c r="BT38" s="562"/>
      <c r="BU38" s="562"/>
      <c r="BV38" s="562"/>
      <c r="BW38" s="562"/>
      <c r="BX38" s="562"/>
      <c r="BY38" s="562"/>
      <c r="BZ38" s="562"/>
      <c r="CA38" s="562"/>
      <c r="CB38" s="562"/>
      <c r="CC38" s="562"/>
      <c r="CD38" s="562"/>
      <c r="CE38" s="562"/>
    </row>
    <row r="41" spans="1:83" ht="32.25" customHeight="1" x14ac:dyDescent="0.2">
      <c r="B41" s="682" t="s">
        <v>411</v>
      </c>
      <c r="C41" s="559"/>
      <c r="D41" s="549" t="s">
        <v>412</v>
      </c>
      <c r="E41" s="559"/>
      <c r="F41" s="559"/>
      <c r="G41" s="559"/>
      <c r="H41" s="559"/>
      <c r="I41" s="559"/>
      <c r="J41" s="559"/>
      <c r="K41" s="559"/>
      <c r="L41" s="559"/>
    </row>
    <row r="42" spans="1:83" x14ac:dyDescent="0.2">
      <c r="B42" s="682"/>
      <c r="C42" s="559"/>
      <c r="D42" s="553">
        <v>1</v>
      </c>
      <c r="E42" s="553">
        <v>2</v>
      </c>
      <c r="F42" s="553">
        <v>3</v>
      </c>
      <c r="G42" s="553">
        <v>4</v>
      </c>
      <c r="H42" s="553">
        <v>5</v>
      </c>
      <c r="I42" s="553">
        <v>6</v>
      </c>
      <c r="J42" s="553">
        <v>7</v>
      </c>
      <c r="K42" s="553">
        <v>8</v>
      </c>
      <c r="L42" s="553">
        <v>9</v>
      </c>
      <c r="M42" s="548"/>
      <c r="N42" s="548"/>
      <c r="O42" s="548"/>
      <c r="P42" s="548"/>
      <c r="Q42" s="548"/>
      <c r="R42" s="548"/>
      <c r="S42" s="548"/>
      <c r="T42" s="548"/>
      <c r="U42" s="548"/>
      <c r="V42" s="548"/>
      <c r="W42" s="548"/>
      <c r="X42" s="548"/>
      <c r="Y42" s="548"/>
      <c r="Z42" s="548"/>
      <c r="AA42" s="548"/>
      <c r="AB42" s="548"/>
      <c r="AC42" s="548"/>
      <c r="AD42" s="548"/>
      <c r="AE42" s="548"/>
      <c r="AF42" s="548"/>
      <c r="AG42" s="548"/>
      <c r="AH42" s="548"/>
      <c r="AI42" s="548"/>
      <c r="AJ42" s="548"/>
      <c r="AK42" s="548"/>
      <c r="AL42" s="548"/>
      <c r="AM42" s="548"/>
      <c r="AN42" s="548"/>
      <c r="AO42" s="548"/>
      <c r="AP42" s="548"/>
      <c r="AQ42" s="548"/>
      <c r="AR42" s="548"/>
      <c r="AS42" s="548"/>
      <c r="AT42" s="548"/>
      <c r="AU42" s="548"/>
      <c r="AV42" s="548"/>
      <c r="AW42" s="548"/>
      <c r="AX42" s="548"/>
      <c r="AY42" s="548"/>
      <c r="AZ42" s="548"/>
      <c r="BA42" s="548"/>
      <c r="BB42" s="548"/>
      <c r="BC42" s="548"/>
      <c r="BD42" s="548"/>
      <c r="BE42" s="548"/>
      <c r="BF42" s="548"/>
      <c r="BG42" s="548"/>
      <c r="BH42" s="548"/>
      <c r="BI42" s="548"/>
      <c r="BJ42" s="548"/>
      <c r="BK42" s="548"/>
      <c r="BL42" s="548"/>
      <c r="BM42" s="548"/>
      <c r="BN42" s="548"/>
      <c r="BO42" s="548"/>
      <c r="BP42" s="548"/>
      <c r="BQ42" s="548"/>
      <c r="BR42" s="548"/>
      <c r="BS42" s="548"/>
      <c r="BT42" s="548"/>
      <c r="BU42" s="548"/>
      <c r="BV42" s="548"/>
      <c r="BW42" s="548"/>
      <c r="BX42" s="548"/>
      <c r="BY42" s="548"/>
      <c r="BZ42" s="548"/>
      <c r="CA42" s="548"/>
      <c r="CB42" s="548"/>
      <c r="CC42" s="548"/>
      <c r="CD42" s="548"/>
      <c r="CE42" s="548"/>
    </row>
    <row r="43" spans="1:83" x14ac:dyDescent="0.2">
      <c r="B43" s="549" t="s">
        <v>199</v>
      </c>
      <c r="C43" s="559"/>
      <c r="D43" s="550" t="str">
        <f t="array" ref="D43:L43">TRANSPOSE(H20:H28)</f>
        <v>MSgás</v>
      </c>
      <c r="E43" s="551" t="str">
        <v>Gás Brasiliano</v>
      </c>
      <c r="F43" s="550" t="str">
        <v>Comgás (Trecho Norte)</v>
      </c>
      <c r="G43" s="550" t="str">
        <v>Comgás (Trecho Sul)</v>
      </c>
      <c r="H43" s="550" t="str">
        <v>Gás Natural São Paulo</v>
      </c>
      <c r="I43" s="550" t="str">
        <v>Compagás</v>
      </c>
      <c r="J43" s="550" t="str">
        <v>SCGás 1</v>
      </c>
      <c r="K43" s="550" t="str">
        <v>SCGás 2</v>
      </c>
      <c r="L43" s="550" t="str">
        <v>Sulgás</v>
      </c>
      <c r="M43" s="548"/>
      <c r="N43" s="548"/>
      <c r="O43" s="548"/>
      <c r="P43" s="548"/>
      <c r="Q43" s="548"/>
      <c r="R43" s="548"/>
      <c r="S43" s="548"/>
      <c r="T43" s="548"/>
      <c r="U43" s="548"/>
      <c r="V43" s="548"/>
      <c r="W43" s="548"/>
      <c r="X43" s="548"/>
      <c r="Y43" s="548"/>
      <c r="Z43" s="548"/>
      <c r="AA43" s="548"/>
      <c r="AB43" s="548"/>
      <c r="AC43" s="548"/>
      <c r="AD43" s="548"/>
      <c r="AE43" s="548"/>
      <c r="AF43" s="548"/>
      <c r="AG43" s="548"/>
      <c r="AH43" s="548"/>
      <c r="AI43" s="548"/>
      <c r="AJ43" s="548"/>
      <c r="AK43" s="548"/>
      <c r="AL43" s="548"/>
      <c r="AM43" s="548"/>
      <c r="AN43" s="548"/>
      <c r="AO43" s="548"/>
      <c r="AP43" s="548"/>
      <c r="AQ43" s="548"/>
      <c r="AR43" s="548"/>
      <c r="AS43" s="548"/>
      <c r="AT43" s="548"/>
      <c r="AU43" s="548"/>
      <c r="AV43" s="548"/>
      <c r="AW43" s="548"/>
      <c r="AX43" s="548"/>
      <c r="AY43" s="548"/>
    </row>
    <row r="44" spans="1:83" x14ac:dyDescent="0.2">
      <c r="A44" s="509">
        <f>A35</f>
        <v>1</v>
      </c>
      <c r="B44" s="553" t="str">
        <f>B35</f>
        <v>EMED CORUMBÁ</v>
      </c>
      <c r="C44" s="554">
        <f>AVERAGE(D44:L44)</f>
        <v>1509.1099647266317</v>
      </c>
      <c r="D44" s="555">
        <f>'Cálculo Tarifa CWD'!C11</f>
        <v>457.49999999999994</v>
      </c>
      <c r="E44" s="555">
        <f>'Cálculo Tarifa CWD'!C12</f>
        <v>986.57142857142867</v>
      </c>
      <c r="F44" s="555">
        <f>'Cálculo Tarifa CWD'!C13</f>
        <v>1283.2</v>
      </c>
      <c r="G44" s="555">
        <f>'Cálculo Tarifa CWD'!C14</f>
        <v>1288.5500000000002</v>
      </c>
      <c r="H44" s="555">
        <f>'Cálculo Tarifa CWD'!C15</f>
        <v>1357.9500000000003</v>
      </c>
      <c r="I44" s="555">
        <f>'Cálculo Tarifa CWD'!C16</f>
        <v>1737.0500000000002</v>
      </c>
      <c r="J44" s="555">
        <f>AVERAGE(Gasoduto!G39:G47)</f>
        <v>2022.9555555555557</v>
      </c>
      <c r="K44" s="555">
        <f>J44</f>
        <v>2022.9555555555557</v>
      </c>
      <c r="L44" s="555">
        <f>'Cálculo Tarifa CWD'!C19</f>
        <v>2425.2571428571432</v>
      </c>
      <c r="M44" s="556">
        <v>1922.38</v>
      </c>
      <c r="N44" s="556">
        <v>2148.6750000000002</v>
      </c>
      <c r="P44" s="556"/>
      <c r="Q44" s="556"/>
      <c r="R44" s="556"/>
      <c r="S44" s="556"/>
      <c r="T44" s="556"/>
      <c r="U44" s="563"/>
      <c r="V44" s="563"/>
      <c r="W44" s="563"/>
      <c r="X44" s="563"/>
      <c r="Y44" s="563"/>
      <c r="Z44" s="563"/>
      <c r="AA44" s="563"/>
      <c r="AB44" s="563"/>
      <c r="AC44" s="563"/>
      <c r="AD44" s="563"/>
      <c r="AE44" s="563"/>
      <c r="AF44" s="563"/>
      <c r="AG44" s="563"/>
      <c r="AH44" s="563"/>
      <c r="AI44" s="563"/>
      <c r="AJ44" s="563"/>
      <c r="AK44" s="563"/>
      <c r="AL44" s="563"/>
      <c r="AM44" s="563"/>
      <c r="AN44" s="563"/>
      <c r="AO44" s="563"/>
      <c r="AP44" s="563"/>
      <c r="AQ44" s="563"/>
      <c r="AR44" s="563"/>
      <c r="AS44" s="563"/>
      <c r="AT44" s="563"/>
      <c r="AU44" s="563"/>
      <c r="AV44" s="563"/>
      <c r="AW44" s="563"/>
      <c r="AX44" s="563"/>
      <c r="AY44" s="563"/>
      <c r="AZ44" s="548"/>
      <c r="BA44" s="548"/>
      <c r="BB44" s="548"/>
      <c r="BC44" s="548"/>
      <c r="BD44" s="548"/>
      <c r="BE44" s="548"/>
      <c r="BF44" s="548"/>
      <c r="BG44" s="548"/>
      <c r="BH44" s="548"/>
      <c r="BI44" s="548"/>
      <c r="BJ44" s="548"/>
      <c r="BK44" s="548"/>
      <c r="BL44" s="548"/>
      <c r="BM44" s="548"/>
      <c r="BN44" s="548"/>
      <c r="BO44" s="548"/>
      <c r="BP44" s="548"/>
      <c r="BQ44" s="548"/>
      <c r="BR44" s="548"/>
      <c r="BS44" s="548"/>
      <c r="BT44" s="548"/>
      <c r="BU44" s="548"/>
      <c r="BV44" s="548"/>
      <c r="BW44" s="548"/>
      <c r="BX44" s="548"/>
      <c r="BY44" s="548"/>
      <c r="BZ44" s="548"/>
      <c r="CA44" s="548"/>
      <c r="CB44" s="548"/>
      <c r="CC44" s="548"/>
      <c r="CD44" s="548"/>
      <c r="CE44" s="548"/>
    </row>
    <row r="45" spans="1:83" x14ac:dyDescent="0.2">
      <c r="A45" s="509">
        <f>A36</f>
        <v>2</v>
      </c>
      <c r="B45" s="553" t="str">
        <f>B36</f>
        <v>EMED GASCAR</v>
      </c>
      <c r="C45" s="554">
        <f>AVERAGE(D45:L45)</f>
        <v>488.16075837742511</v>
      </c>
      <c r="D45" s="564">
        <f>'Cálculo Tarifa CWD'!D11</f>
        <v>806.90000000000009</v>
      </c>
      <c r="E45" s="564">
        <f>'Cálculo Tarifa CWD'!D12</f>
        <v>277.82857142857154</v>
      </c>
      <c r="F45" s="564">
        <f>'Cálculo Tarifa CWD'!D13</f>
        <v>40.400000000000006</v>
      </c>
      <c r="G45" s="564">
        <f>'Cálculo Tarifa CWD'!D14</f>
        <v>24.150000000000034</v>
      </c>
      <c r="H45" s="564">
        <f>'Cálculo Tarifa CWD'!D15</f>
        <v>93.550000000000011</v>
      </c>
      <c r="I45" s="564">
        <f>'Cálculo Tarifa CWD'!D16</f>
        <v>472.65000000000003</v>
      </c>
      <c r="J45" s="555">
        <f>AVERAGE(Gasoduto!H39:H47)</f>
        <v>758.55555555555554</v>
      </c>
      <c r="K45" s="555">
        <f>J45</f>
        <v>758.55555555555554</v>
      </c>
      <c r="L45" s="564">
        <f>'Cálculo Tarifa CWD'!D19</f>
        <v>1160.8571428571427</v>
      </c>
      <c r="M45" s="565">
        <v>657.98</v>
      </c>
      <c r="N45" s="565">
        <v>884.27499999999986</v>
      </c>
      <c r="P45" s="566"/>
      <c r="Q45" s="566"/>
      <c r="R45" s="566"/>
      <c r="S45" s="566"/>
      <c r="T45" s="566"/>
      <c r="U45" s="563"/>
      <c r="V45" s="563"/>
      <c r="W45" s="563"/>
      <c r="X45" s="563"/>
      <c r="Y45" s="563"/>
      <c r="Z45" s="563"/>
      <c r="AA45" s="563"/>
      <c r="AB45" s="563"/>
      <c r="AC45" s="563"/>
      <c r="AD45" s="563"/>
      <c r="AE45" s="563"/>
      <c r="AF45" s="563"/>
      <c r="AG45" s="563"/>
      <c r="AH45" s="563"/>
      <c r="AI45" s="563"/>
      <c r="AJ45" s="563"/>
      <c r="AK45" s="563"/>
      <c r="AL45" s="563"/>
      <c r="AM45" s="563"/>
      <c r="AN45" s="563"/>
      <c r="AO45" s="563"/>
      <c r="AP45" s="563"/>
      <c r="AQ45" s="563"/>
      <c r="AR45" s="563"/>
      <c r="AS45" s="563"/>
      <c r="AT45" s="563"/>
      <c r="AU45" s="563"/>
      <c r="AV45" s="563"/>
      <c r="AW45" s="563"/>
      <c r="AX45" s="563"/>
      <c r="AY45" s="563"/>
    </row>
    <row r="46" spans="1:83" x14ac:dyDescent="0.2">
      <c r="A46" s="509">
        <v>3</v>
      </c>
      <c r="B46" s="553" t="str">
        <f>B22</f>
        <v>[NOVO PTR]</v>
      </c>
      <c r="C46" s="554" t="str">
        <f>IF($C$29=0," ",AVERAGE(D46:L46))</f>
        <v xml:space="preserve"> </v>
      </c>
      <c r="D46" s="564"/>
      <c r="E46" s="564"/>
      <c r="F46" s="564"/>
      <c r="G46" s="567">
        <f t="shared" ref="G46:I46" si="14">$L$44-G44</f>
        <v>1136.707142857143</v>
      </c>
      <c r="H46" s="567">
        <f t="shared" si="14"/>
        <v>1067.3071428571429</v>
      </c>
      <c r="I46" s="567">
        <f t="shared" si="14"/>
        <v>688.20714285714303</v>
      </c>
      <c r="J46" s="567">
        <f>$L$44-J44</f>
        <v>402.30158730158746</v>
      </c>
      <c r="K46" s="567">
        <f>$L$44-K44</f>
        <v>402.30158730158746</v>
      </c>
      <c r="L46" s="567">
        <v>150</v>
      </c>
      <c r="M46" s="565"/>
      <c r="N46" s="565"/>
      <c r="P46" s="566"/>
      <c r="Q46" s="566"/>
      <c r="R46" s="566"/>
      <c r="S46" s="566"/>
      <c r="T46" s="566"/>
      <c r="U46" s="563"/>
      <c r="V46" s="563"/>
      <c r="W46" s="563"/>
      <c r="X46" s="563"/>
      <c r="Y46" s="563"/>
      <c r="Z46" s="563"/>
      <c r="AA46" s="563"/>
      <c r="AB46" s="563"/>
      <c r="AC46" s="563"/>
      <c r="AD46" s="563"/>
      <c r="AE46" s="563"/>
      <c r="AF46" s="563"/>
      <c r="AG46" s="563"/>
      <c r="AH46" s="563"/>
      <c r="AI46" s="563"/>
      <c r="AJ46" s="563"/>
      <c r="AK46" s="563"/>
      <c r="AL46" s="563"/>
      <c r="AM46" s="563"/>
      <c r="AN46" s="563"/>
      <c r="AO46" s="563"/>
      <c r="AP46" s="563"/>
      <c r="AQ46" s="563"/>
      <c r="AR46" s="563"/>
      <c r="AS46" s="563"/>
      <c r="AT46" s="563"/>
      <c r="AU46" s="563"/>
      <c r="AV46" s="563"/>
      <c r="AW46" s="563"/>
      <c r="AX46" s="563"/>
      <c r="AY46" s="563"/>
    </row>
    <row r="47" spans="1:83" x14ac:dyDescent="0.2">
      <c r="D47" s="533" t="s">
        <v>248</v>
      </c>
      <c r="E47" s="533" t="s">
        <v>249</v>
      </c>
      <c r="F47" s="533" t="s">
        <v>250</v>
      </c>
      <c r="G47" s="533" t="s">
        <v>251</v>
      </c>
      <c r="H47" s="533" t="s">
        <v>252</v>
      </c>
      <c r="I47" s="533" t="s">
        <v>253</v>
      </c>
      <c r="J47" s="533" t="s">
        <v>254</v>
      </c>
      <c r="K47" s="533" t="s">
        <v>255</v>
      </c>
      <c r="L47" s="533" t="s">
        <v>256</v>
      </c>
    </row>
    <row r="49" spans="1:51" x14ac:dyDescent="0.2">
      <c r="B49" s="559"/>
      <c r="C49" s="559"/>
      <c r="D49" s="553">
        <v>1</v>
      </c>
      <c r="E49" s="553">
        <v>2</v>
      </c>
      <c r="F49" s="553">
        <v>3</v>
      </c>
      <c r="G49" s="553">
        <v>4</v>
      </c>
      <c r="H49" s="553">
        <v>5</v>
      </c>
      <c r="I49" s="553">
        <v>6</v>
      </c>
      <c r="J49" s="553">
        <v>7</v>
      </c>
      <c r="K49" s="553">
        <v>8</v>
      </c>
      <c r="L49" s="553">
        <v>9</v>
      </c>
      <c r="M49" s="548"/>
      <c r="N49" s="548"/>
      <c r="O49" s="548"/>
      <c r="P49" s="548"/>
      <c r="Q49" s="548"/>
      <c r="R49" s="548"/>
      <c r="S49" s="548"/>
      <c r="T49" s="548"/>
      <c r="U49" s="548"/>
      <c r="V49" s="548"/>
      <c r="W49" s="548"/>
      <c r="X49" s="548"/>
      <c r="Y49" s="548"/>
      <c r="Z49" s="548"/>
      <c r="AA49" s="548"/>
      <c r="AB49" s="548"/>
      <c r="AC49" s="548"/>
      <c r="AD49" s="548"/>
      <c r="AE49" s="548"/>
      <c r="AF49" s="548"/>
      <c r="AG49" s="548"/>
      <c r="AH49" s="548"/>
      <c r="AI49" s="548"/>
      <c r="AJ49" s="548"/>
      <c r="AK49" s="548"/>
      <c r="AL49" s="548"/>
      <c r="AM49" s="548"/>
      <c r="AN49" s="548"/>
      <c r="AO49" s="548"/>
      <c r="AP49" s="548"/>
      <c r="AQ49" s="548"/>
      <c r="AR49" s="548"/>
      <c r="AS49" s="548"/>
      <c r="AT49" s="548"/>
      <c r="AU49" s="548"/>
      <c r="AV49" s="548"/>
      <c r="AW49" s="548"/>
      <c r="AX49" s="548"/>
      <c r="AY49" s="548"/>
    </row>
    <row r="50" spans="1:51" x14ac:dyDescent="0.2">
      <c r="A50" s="548"/>
      <c r="B50" s="549" t="s">
        <v>199</v>
      </c>
      <c r="C50" s="559"/>
      <c r="D50" s="550" t="str">
        <f>D43</f>
        <v>MSgás</v>
      </c>
      <c r="E50" s="550" t="str">
        <f t="shared" ref="E50:L50" si="15">E43</f>
        <v>Gás Brasiliano</v>
      </c>
      <c r="F50" s="550" t="str">
        <f t="shared" si="15"/>
        <v>Comgás (Trecho Norte)</v>
      </c>
      <c r="G50" s="550" t="str">
        <f t="shared" si="15"/>
        <v>Comgás (Trecho Sul)</v>
      </c>
      <c r="H50" s="550" t="str">
        <f t="shared" si="15"/>
        <v>Gás Natural São Paulo</v>
      </c>
      <c r="I50" s="550" t="str">
        <f t="shared" si="15"/>
        <v>Compagás</v>
      </c>
      <c r="J50" s="550" t="str">
        <f t="shared" si="15"/>
        <v>SCGás 1</v>
      </c>
      <c r="K50" s="550" t="str">
        <f t="shared" si="15"/>
        <v>SCGás 2</v>
      </c>
      <c r="L50" s="550" t="str">
        <f t="shared" si="15"/>
        <v>Sulgás</v>
      </c>
      <c r="M50" s="548"/>
      <c r="N50" s="548"/>
      <c r="O50" s="548"/>
      <c r="P50" s="548"/>
      <c r="Q50" s="548"/>
      <c r="R50" s="548"/>
      <c r="S50" s="548"/>
      <c r="T50" s="548"/>
      <c r="U50" s="548"/>
      <c r="V50" s="548"/>
      <c r="W50" s="548"/>
      <c r="X50" s="548"/>
      <c r="Y50" s="548"/>
      <c r="Z50" s="548"/>
      <c r="AA50" s="548"/>
      <c r="AB50" s="548"/>
      <c r="AC50" s="548"/>
      <c r="AD50" s="548"/>
      <c r="AE50" s="548"/>
      <c r="AF50" s="548"/>
      <c r="AG50" s="548"/>
      <c r="AH50" s="548"/>
      <c r="AI50" s="548"/>
      <c r="AJ50" s="548"/>
      <c r="AK50" s="548"/>
      <c r="AL50" s="548"/>
      <c r="AM50" s="548"/>
      <c r="AN50" s="548"/>
      <c r="AO50" s="548"/>
      <c r="AP50" s="548"/>
      <c r="AQ50" s="548"/>
      <c r="AR50" s="548"/>
      <c r="AS50" s="548"/>
      <c r="AT50" s="548"/>
      <c r="AU50" s="548"/>
      <c r="AV50" s="548"/>
      <c r="AW50" s="548"/>
      <c r="AX50" s="548"/>
      <c r="AY50" s="548"/>
    </row>
    <row r="51" spans="1:51" x14ac:dyDescent="0.2">
      <c r="A51" s="552">
        <v>1</v>
      </c>
      <c r="B51" s="553" t="str">
        <f>B35</f>
        <v>EMED CORUMBÁ</v>
      </c>
      <c r="C51" s="530"/>
      <c r="D51" s="554">
        <f>D44*$D$20</f>
        <v>392.58796821793413</v>
      </c>
      <c r="E51" s="554">
        <f t="shared" ref="E51:L51" si="16">E44*$D$20</f>
        <v>846.59250851305342</v>
      </c>
      <c r="F51" s="554">
        <f t="shared" si="16"/>
        <v>1101.1341657207718</v>
      </c>
      <c r="G51" s="554">
        <f t="shared" si="16"/>
        <v>1105.7250851305337</v>
      </c>
      <c r="H51" s="554">
        <f t="shared" si="16"/>
        <v>1165.2783200908061</v>
      </c>
      <c r="I51" s="554">
        <f t="shared" si="16"/>
        <v>1490.590011350738</v>
      </c>
      <c r="J51" s="554">
        <f t="shared" si="16"/>
        <v>1735.9300794551648</v>
      </c>
      <c r="K51" s="554">
        <f t="shared" si="16"/>
        <v>1735.9300794551648</v>
      </c>
      <c r="L51" s="554">
        <f t="shared" si="16"/>
        <v>2081.1514188422252</v>
      </c>
      <c r="M51" s="546"/>
      <c r="N51" s="546"/>
      <c r="O51" s="546"/>
      <c r="P51" s="546"/>
      <c r="Q51" s="546"/>
      <c r="R51" s="546"/>
      <c r="S51" s="546"/>
      <c r="T51" s="546"/>
      <c r="U51" s="546"/>
      <c r="V51" s="546"/>
      <c r="W51" s="546"/>
      <c r="X51" s="546"/>
      <c r="Y51" s="546"/>
      <c r="Z51" s="546"/>
      <c r="AA51" s="546"/>
      <c r="AB51" s="546"/>
      <c r="AC51" s="546"/>
      <c r="AD51" s="546"/>
      <c r="AE51" s="546"/>
      <c r="AF51" s="546"/>
      <c r="AG51" s="546"/>
      <c r="AH51" s="546"/>
      <c r="AI51" s="546"/>
      <c r="AJ51" s="546"/>
      <c r="AK51" s="546"/>
      <c r="AL51" s="546"/>
      <c r="AM51" s="546"/>
      <c r="AN51" s="546"/>
      <c r="AO51" s="546"/>
      <c r="AP51" s="546"/>
      <c r="AQ51" s="546"/>
      <c r="AR51" s="546"/>
      <c r="AS51" s="546"/>
      <c r="AT51" s="546"/>
      <c r="AU51" s="546"/>
      <c r="AV51" s="546"/>
      <c r="AW51" s="546"/>
      <c r="AX51" s="546"/>
      <c r="AY51" s="546"/>
    </row>
    <row r="52" spans="1:51" x14ac:dyDescent="0.2">
      <c r="A52" s="552">
        <v>2</v>
      </c>
      <c r="B52" s="553" t="str">
        <f>B36</f>
        <v>EMED GASCAR</v>
      </c>
      <c r="C52" s="530"/>
      <c r="D52" s="554">
        <f t="shared" ref="D52:L52" si="17">D45*$D$21</f>
        <v>114.48637911464246</v>
      </c>
      <c r="E52" s="554">
        <f t="shared" si="17"/>
        <v>39.419490838333076</v>
      </c>
      <c r="F52" s="554">
        <f t="shared" si="17"/>
        <v>5.7321225879682185</v>
      </c>
      <c r="G52" s="554">
        <f t="shared" si="17"/>
        <v>3.4265039727582338</v>
      </c>
      <c r="H52" s="554">
        <f t="shared" si="17"/>
        <v>13.273269012485812</v>
      </c>
      <c r="I52" s="554">
        <f t="shared" si="17"/>
        <v>67.061577752553916</v>
      </c>
      <c r="J52" s="554">
        <f t="shared" si="17"/>
        <v>107.62706520368268</v>
      </c>
      <c r="K52" s="554">
        <f t="shared" si="17"/>
        <v>107.62706520368268</v>
      </c>
      <c r="L52" s="554">
        <f t="shared" si="17"/>
        <v>164.70731311820978</v>
      </c>
      <c r="M52" s="546"/>
      <c r="N52" s="546"/>
      <c r="O52" s="546"/>
      <c r="P52" s="546"/>
      <c r="Q52" s="546"/>
      <c r="R52" s="546"/>
      <c r="S52" s="546"/>
      <c r="T52" s="546"/>
      <c r="U52" s="546"/>
      <c r="V52" s="546"/>
      <c r="W52" s="546"/>
      <c r="X52" s="546"/>
      <c r="Y52" s="546"/>
      <c r="Z52" s="546"/>
      <c r="AA52" s="546"/>
      <c r="AB52" s="546"/>
      <c r="AC52" s="546"/>
      <c r="AD52" s="546"/>
      <c r="AE52" s="546"/>
      <c r="AF52" s="546"/>
      <c r="AG52" s="546"/>
      <c r="AH52" s="546"/>
      <c r="AI52" s="546"/>
      <c r="AJ52" s="546"/>
      <c r="AK52" s="546"/>
      <c r="AL52" s="546"/>
      <c r="AM52" s="546"/>
      <c r="AN52" s="546"/>
      <c r="AO52" s="546"/>
      <c r="AP52" s="546"/>
      <c r="AQ52" s="546"/>
      <c r="AR52" s="546"/>
      <c r="AS52" s="546"/>
      <c r="AT52" s="546"/>
      <c r="AU52" s="546"/>
      <c r="AV52" s="546"/>
      <c r="AW52" s="546"/>
      <c r="AX52" s="546"/>
      <c r="AY52" s="546"/>
    </row>
    <row r="53" spans="1:51" x14ac:dyDescent="0.2">
      <c r="A53" s="552">
        <v>3</v>
      </c>
      <c r="B53" s="553" t="str">
        <f>B22</f>
        <v>[NOVO PTR]</v>
      </c>
      <c r="C53" s="530"/>
      <c r="D53" s="554">
        <f>D46*$D$22</f>
        <v>0</v>
      </c>
      <c r="E53" s="554">
        <f t="shared" ref="E53:L53" si="18">E46*$D$22</f>
        <v>0</v>
      </c>
      <c r="F53" s="554">
        <f t="shared" si="18"/>
        <v>0</v>
      </c>
      <c r="G53" s="554">
        <f t="shared" si="18"/>
        <v>0</v>
      </c>
      <c r="H53" s="554">
        <f t="shared" si="18"/>
        <v>0</v>
      </c>
      <c r="I53" s="554">
        <f t="shared" si="18"/>
        <v>0</v>
      </c>
      <c r="J53" s="554">
        <f t="shared" si="18"/>
        <v>0</v>
      </c>
      <c r="K53" s="554">
        <f t="shared" si="18"/>
        <v>0</v>
      </c>
      <c r="L53" s="554">
        <f t="shared" si="18"/>
        <v>0</v>
      </c>
      <c r="M53" s="546"/>
      <c r="N53" s="546"/>
      <c r="O53" s="546"/>
      <c r="P53" s="546"/>
      <c r="Q53" s="546"/>
      <c r="R53" s="546"/>
      <c r="S53" s="546"/>
      <c r="T53" s="546"/>
      <c r="U53" s="546"/>
      <c r="V53" s="546"/>
      <c r="W53" s="546"/>
      <c r="X53" s="546"/>
      <c r="Y53" s="546"/>
      <c r="Z53" s="546"/>
      <c r="AA53" s="546"/>
      <c r="AB53" s="546"/>
      <c r="AC53" s="546"/>
      <c r="AD53" s="546"/>
      <c r="AE53" s="546"/>
      <c r="AF53" s="546"/>
      <c r="AG53" s="546"/>
      <c r="AH53" s="546"/>
      <c r="AI53" s="546"/>
      <c r="AJ53" s="546"/>
      <c r="AK53" s="546"/>
      <c r="AL53" s="546"/>
      <c r="AM53" s="546"/>
      <c r="AN53" s="546"/>
      <c r="AO53" s="546"/>
      <c r="AP53" s="546"/>
      <c r="AQ53" s="546"/>
      <c r="AR53" s="546"/>
      <c r="AS53" s="546"/>
      <c r="AT53" s="546"/>
      <c r="AU53" s="546"/>
      <c r="AV53" s="546"/>
      <c r="AW53" s="546"/>
      <c r="AX53" s="546"/>
      <c r="AY53" s="546"/>
    </row>
    <row r="54" spans="1:51" ht="18" x14ac:dyDescent="0.2">
      <c r="B54" s="559"/>
      <c r="C54" s="568" t="s">
        <v>413</v>
      </c>
      <c r="D54" s="569">
        <f t="shared" ref="D54:L54" si="19">SUM(D51:D52)</f>
        <v>507.07434733257662</v>
      </c>
      <c r="E54" s="569">
        <f t="shared" si="19"/>
        <v>886.01199935138652</v>
      </c>
      <c r="F54" s="569">
        <f t="shared" si="19"/>
        <v>1106.86628830874</v>
      </c>
      <c r="G54" s="569">
        <f t="shared" si="19"/>
        <v>1109.1515891032918</v>
      </c>
      <c r="H54" s="569">
        <f t="shared" si="19"/>
        <v>1178.5515891032919</v>
      </c>
      <c r="I54" s="569">
        <f t="shared" si="19"/>
        <v>1557.6515891032918</v>
      </c>
      <c r="J54" s="569">
        <f t="shared" si="19"/>
        <v>1843.5571446588474</v>
      </c>
      <c r="K54" s="569">
        <f t="shared" si="19"/>
        <v>1843.5571446588474</v>
      </c>
      <c r="L54" s="569">
        <f t="shared" si="19"/>
        <v>2245.8587319604349</v>
      </c>
      <c r="M54" s="546"/>
      <c r="N54" s="546"/>
      <c r="O54" s="546"/>
      <c r="P54" s="546"/>
      <c r="Q54" s="546"/>
      <c r="R54" s="546"/>
      <c r="S54" s="546"/>
      <c r="T54" s="546"/>
      <c r="U54" s="546"/>
      <c r="V54" s="546"/>
      <c r="W54" s="546"/>
      <c r="X54" s="546"/>
      <c r="Y54" s="546"/>
      <c r="Z54" s="546"/>
      <c r="AA54" s="546"/>
      <c r="AB54" s="546"/>
      <c r="AC54" s="546"/>
      <c r="AD54" s="546"/>
      <c r="AE54" s="546"/>
      <c r="AF54" s="546"/>
      <c r="AG54" s="546"/>
      <c r="AH54" s="546"/>
      <c r="AI54" s="546"/>
      <c r="AJ54" s="546"/>
      <c r="AK54" s="546"/>
      <c r="AL54" s="546"/>
      <c r="AM54" s="546"/>
      <c r="AN54" s="546"/>
      <c r="AO54" s="546"/>
      <c r="AP54" s="546"/>
      <c r="AQ54" s="546"/>
      <c r="AR54" s="546"/>
      <c r="AS54" s="546"/>
      <c r="AT54" s="546"/>
      <c r="AU54" s="546"/>
      <c r="AV54" s="546"/>
      <c r="AW54" s="546"/>
      <c r="AX54" s="546"/>
      <c r="AY54" s="546"/>
    </row>
    <row r="57" spans="1:51" ht="13.5" thickBot="1" x14ac:dyDescent="0.25"/>
    <row r="58" spans="1:51" ht="18" customHeight="1" thickBot="1" x14ac:dyDescent="0.25">
      <c r="A58" s="570">
        <v>0</v>
      </c>
      <c r="B58" s="683" t="s">
        <v>414</v>
      </c>
      <c r="C58" s="685" t="s">
        <v>415</v>
      </c>
      <c r="D58" s="685" t="s">
        <v>416</v>
      </c>
      <c r="E58" s="686" t="s">
        <v>417</v>
      </c>
      <c r="F58" s="687"/>
      <c r="N58" s="533"/>
    </row>
    <row r="59" spans="1:51" ht="18" x14ac:dyDescent="0.2">
      <c r="B59" s="684"/>
      <c r="C59" s="685"/>
      <c r="D59" s="685"/>
      <c r="E59" s="571" t="s">
        <v>418</v>
      </c>
      <c r="F59" s="572" t="s">
        <v>419</v>
      </c>
      <c r="G59" s="573"/>
      <c r="I59" s="574"/>
    </row>
    <row r="60" spans="1:51" x14ac:dyDescent="0.2">
      <c r="A60" s="552">
        <v>1</v>
      </c>
      <c r="B60" s="575" t="str">
        <f>B51</f>
        <v>EMED CORUMBÁ</v>
      </c>
      <c r="C60" s="576">
        <f>E20*C35</f>
        <v>6991424243.6626911</v>
      </c>
      <c r="D60" s="576">
        <f>C60/$C$63</f>
        <v>0.95833932450402581</v>
      </c>
      <c r="E60" s="576">
        <f>D60*(IF($A$58=1,$I$4,$I$11)*$C$80)</f>
        <v>311389.20876337629</v>
      </c>
      <c r="F60" s="576">
        <f>(IF(C60=0,0,E60/E20*1000)/Premissas!$B$57/10^3)</f>
        <v>1.4305574513628792</v>
      </c>
      <c r="G60" s="577">
        <f>F60+$D$81</f>
        <v>1.9710153755292859</v>
      </c>
      <c r="H60" s="577"/>
      <c r="I60" s="578"/>
      <c r="J60" s="578"/>
      <c r="K60" s="578"/>
      <c r="L60" s="578"/>
      <c r="M60" s="578"/>
      <c r="N60" s="574"/>
      <c r="O60" s="536"/>
      <c r="P60" s="579"/>
      <c r="Q60" s="536"/>
    </row>
    <row r="61" spans="1:51" x14ac:dyDescent="0.2">
      <c r="A61" s="552">
        <v>2</v>
      </c>
      <c r="B61" s="575" t="str">
        <f>B52</f>
        <v>EMED GASCAR</v>
      </c>
      <c r="C61" s="576">
        <f>E21*C36</f>
        <v>303929359.07191241</v>
      </c>
      <c r="D61" s="576">
        <f>C61/$C$63</f>
        <v>4.1660675495974173E-2</v>
      </c>
      <c r="E61" s="576">
        <f>D61*(IF($A$58=1,$I$4,$I$11)*$C$80)</f>
        <v>13536.629925890807</v>
      </c>
      <c r="F61" s="576">
        <f>(IF(C61=0,0,E61/E21*1000)/Premissas!$B$57/10^3)</f>
        <v>0.33850617371588976</v>
      </c>
      <c r="G61" s="577">
        <f>F61+$D$81</f>
        <v>0.87896409788229657</v>
      </c>
      <c r="H61" s="577"/>
      <c r="I61" s="578"/>
      <c r="J61" s="578"/>
      <c r="K61" s="578"/>
      <c r="L61" s="578"/>
      <c r="M61" s="578"/>
      <c r="N61" s="574"/>
      <c r="O61" s="536"/>
      <c r="P61" s="579"/>
      <c r="Q61" s="536"/>
    </row>
    <row r="62" spans="1:51" x14ac:dyDescent="0.2">
      <c r="A62" s="552">
        <v>3</v>
      </c>
      <c r="B62" s="575" t="str">
        <f>B53</f>
        <v>[NOVO PTR]</v>
      </c>
      <c r="C62" s="576">
        <f>E22*C37</f>
        <v>0</v>
      </c>
      <c r="D62" s="576">
        <f>C62/$C$63</f>
        <v>0</v>
      </c>
      <c r="E62" s="576">
        <f>D62*(IF($A$58=1,$I$4,$I$11)*$C$80)</f>
        <v>0</v>
      </c>
      <c r="F62" s="576">
        <f>(IF(C62=0,0,E62/E22*1000)/Premissas!$B$57/10^3)</f>
        <v>0</v>
      </c>
      <c r="G62" s="577">
        <f>IF(F62=0,0,F62+$D$81)</f>
        <v>0</v>
      </c>
      <c r="H62" s="577"/>
      <c r="I62" s="578"/>
      <c r="J62" s="578"/>
      <c r="K62" s="578"/>
      <c r="L62" s="578"/>
      <c r="M62" s="578"/>
      <c r="N62" s="574"/>
      <c r="O62" s="536"/>
      <c r="P62" s="579"/>
      <c r="Q62" s="536"/>
    </row>
    <row r="63" spans="1:51" x14ac:dyDescent="0.2">
      <c r="B63" s="580" t="s">
        <v>1</v>
      </c>
      <c r="C63" s="576">
        <f>SUM(C60:C62)</f>
        <v>7295353602.7346039</v>
      </c>
      <c r="D63" s="576">
        <f>SUM(D60:D62)</f>
        <v>1</v>
      </c>
      <c r="E63" s="576">
        <f>SUM(E60:E62)</f>
        <v>324925.83868926711</v>
      </c>
      <c r="F63" s="576">
        <f>((E63/E23*1000)/Premissas!$B$57/10^3)+$D$81</f>
        <v>1.8015264138880225</v>
      </c>
      <c r="G63" s="577"/>
      <c r="I63" s="578"/>
      <c r="J63" s="578"/>
      <c r="K63" s="578"/>
      <c r="L63" s="578"/>
      <c r="M63" s="578"/>
      <c r="N63" s="578"/>
      <c r="O63" s="536"/>
      <c r="P63" s="581"/>
      <c r="Q63" s="536"/>
    </row>
    <row r="64" spans="1:51" x14ac:dyDescent="0.2">
      <c r="B64" s="582"/>
      <c r="C64" s="583"/>
      <c r="D64" s="583"/>
      <c r="E64" s="584">
        <f>(E63+D80)/(E63+D80+E76+D83)</f>
        <v>0.50387037904853271</v>
      </c>
      <c r="F64" s="583"/>
      <c r="G64" s="577"/>
      <c r="I64" s="578"/>
      <c r="J64" s="578"/>
      <c r="K64" s="578"/>
      <c r="L64" s="578"/>
      <c r="M64" s="578"/>
      <c r="N64" s="574"/>
      <c r="P64" s="585"/>
    </row>
    <row r="65" spans="1:92" ht="15" x14ac:dyDescent="0.2">
      <c r="B65" s="684" t="s">
        <v>420</v>
      </c>
      <c r="C65" s="685" t="s">
        <v>421</v>
      </c>
      <c r="D65" s="685" t="s">
        <v>422</v>
      </c>
      <c r="E65" s="686" t="s">
        <v>417</v>
      </c>
      <c r="F65" s="687"/>
      <c r="I65" s="578"/>
      <c r="J65" s="578"/>
      <c r="K65" s="578"/>
      <c r="L65" s="578"/>
      <c r="M65" s="578"/>
      <c r="N65" s="578"/>
      <c r="O65" s="536"/>
      <c r="P65" s="581"/>
    </row>
    <row r="66" spans="1:92" ht="18" x14ac:dyDescent="0.2">
      <c r="B66" s="684"/>
      <c r="C66" s="685"/>
      <c r="D66" s="685"/>
      <c r="E66" s="571" t="s">
        <v>423</v>
      </c>
      <c r="F66" s="572" t="s">
        <v>424</v>
      </c>
      <c r="I66" s="578"/>
      <c r="J66" s="578"/>
      <c r="K66" s="578"/>
      <c r="L66" s="578"/>
      <c r="M66" s="578"/>
      <c r="N66" s="586"/>
      <c r="P66" s="585"/>
    </row>
    <row r="67" spans="1:92" x14ac:dyDescent="0.2">
      <c r="A67" s="509">
        <v>1</v>
      </c>
      <c r="B67" s="587" t="str">
        <f t="shared" ref="B67:B76" si="20">H20</f>
        <v>MSgás</v>
      </c>
      <c r="C67" s="583">
        <f t="shared" ref="C67:C75" si="21">HLOOKUP(A67,$D$49:$L$54,6,FALSE)*K20</f>
        <v>627004326.68785477</v>
      </c>
      <c r="D67" s="583">
        <f t="shared" ref="D67:D75" si="22">C67/$C$76</f>
        <v>8.7638976557998252E-2</v>
      </c>
      <c r="E67" s="583">
        <f t="shared" ref="E67:E75" si="23">D67*(IF($A$58=1,$I$5,$I$12)*$C$83)</f>
        <v>28038.70003791733</v>
      </c>
      <c r="F67" s="588">
        <f>((IF(E67=0,0,E67/K20)*1000)/Premissas!$B$57/10^3)</f>
        <v>0.62159113589399728</v>
      </c>
      <c r="G67" s="589">
        <f>F67+$D$84</f>
        <v>1.1705387435499754</v>
      </c>
      <c r="H67" s="577"/>
      <c r="I67" s="578"/>
      <c r="J67" s="578"/>
      <c r="K67" s="578"/>
      <c r="L67" s="578"/>
      <c r="M67" s="578"/>
      <c r="N67" s="574"/>
      <c r="O67" s="536"/>
      <c r="P67" s="581"/>
      <c r="Q67" s="536"/>
      <c r="R67" s="577"/>
      <c r="S67" s="590"/>
    </row>
    <row r="68" spans="1:92" x14ac:dyDescent="0.2">
      <c r="A68" s="509">
        <v>2</v>
      </c>
      <c r="B68" s="591" t="str">
        <f t="shared" si="20"/>
        <v>Gás Brasiliano</v>
      </c>
      <c r="C68" s="583">
        <f t="shared" si="21"/>
        <v>728434765.26674247</v>
      </c>
      <c r="D68" s="583">
        <f t="shared" si="22"/>
        <v>0.10181632661846762</v>
      </c>
      <c r="E68" s="583">
        <f t="shared" si="23"/>
        <v>32574.518246782198</v>
      </c>
      <c r="F68" s="592">
        <f>((IF(E68=0,0,E68/K21)*1000)/Premissas!$B$57/10^3)</f>
        <v>1.0861074080943911</v>
      </c>
      <c r="G68" s="589">
        <f t="shared" ref="G68:G75" si="24">F68+$D$84</f>
        <v>1.6350550157503694</v>
      </c>
      <c r="H68" s="577"/>
      <c r="I68" s="578"/>
      <c r="J68" s="578"/>
      <c r="K68" s="578"/>
      <c r="L68" s="578"/>
      <c r="M68" s="578"/>
      <c r="N68" s="574"/>
      <c r="O68" s="536"/>
      <c r="P68" s="581"/>
      <c r="Q68" s="536"/>
      <c r="R68" s="577"/>
      <c r="S68" s="590"/>
    </row>
    <row r="69" spans="1:92" x14ac:dyDescent="0.2">
      <c r="A69" s="509">
        <v>3</v>
      </c>
      <c r="B69" s="587" t="str">
        <f t="shared" si="20"/>
        <v>Comgás (Trecho Norte)</v>
      </c>
      <c r="C69" s="583">
        <f t="shared" si="21"/>
        <v>4113245737.5772982</v>
      </c>
      <c r="D69" s="583">
        <f t="shared" si="22"/>
        <v>0.57492529386050506</v>
      </c>
      <c r="E69" s="583">
        <f t="shared" si="23"/>
        <v>183938.22579726361</v>
      </c>
      <c r="F69" s="592">
        <f>((IF(E69=0,0,E69/K22)*1000)/Premissas!$B$57/10^3)</f>
        <v>1.3568390455006576</v>
      </c>
      <c r="G69" s="589">
        <f t="shared" si="24"/>
        <v>1.9057866531566359</v>
      </c>
      <c r="H69" s="577"/>
      <c r="I69" s="578"/>
      <c r="J69" s="578"/>
      <c r="K69" s="578"/>
      <c r="L69" s="578"/>
      <c r="M69" s="578"/>
      <c r="N69" s="574"/>
      <c r="O69" s="536"/>
      <c r="P69" s="581"/>
      <c r="Q69" s="536"/>
      <c r="R69" s="577"/>
      <c r="S69" s="590"/>
    </row>
    <row r="70" spans="1:92" x14ac:dyDescent="0.2">
      <c r="A70" s="509">
        <v>4</v>
      </c>
      <c r="B70" s="587" t="str">
        <f t="shared" si="20"/>
        <v>Comgás (Trecho Sul)</v>
      </c>
      <c r="C70" s="583">
        <f t="shared" si="21"/>
        <v>4052839.9065834284</v>
      </c>
      <c r="D70" s="583">
        <f t="shared" si="22"/>
        <v>5.6648212212929365E-4</v>
      </c>
      <c r="E70" s="583">
        <f t="shared" si="23"/>
        <v>181.23696696428999</v>
      </c>
      <c r="F70" s="592">
        <f>((IF(E70=0,0,E70/K23)*1000)/Premissas!$B$57/10^3)</f>
        <v>1.3596404546514409</v>
      </c>
      <c r="G70" s="589">
        <f t="shared" si="24"/>
        <v>1.9085880623074192</v>
      </c>
      <c r="H70" s="577"/>
      <c r="I70" s="578"/>
      <c r="J70" s="578"/>
      <c r="K70" s="578"/>
      <c r="L70" s="578"/>
      <c r="M70" s="578"/>
      <c r="N70" s="574"/>
      <c r="O70" s="536"/>
      <c r="P70" s="581"/>
      <c r="Q70" s="536"/>
      <c r="R70" s="577"/>
      <c r="S70" s="590"/>
      <c r="CN70" s="593"/>
    </row>
    <row r="71" spans="1:92" ht="15" customHeight="1" x14ac:dyDescent="0.2">
      <c r="A71" s="509">
        <v>5</v>
      </c>
      <c r="B71" s="587" t="str">
        <f t="shared" si="20"/>
        <v>Gás Natural São Paulo</v>
      </c>
      <c r="C71" s="583">
        <f t="shared" si="21"/>
        <v>511603587.78211129</v>
      </c>
      <c r="D71" s="583">
        <f t="shared" si="22"/>
        <v>7.1508940095313611E-2</v>
      </c>
      <c r="E71" s="583">
        <f t="shared" si="23"/>
        <v>22878.15079669495</v>
      </c>
      <c r="F71" s="592">
        <f>((IF(E71=0,0,E71/K24)*1000)/Premissas!$B$57/10^3)</f>
        <v>1.4447136299322842</v>
      </c>
      <c r="G71" s="589">
        <f t="shared" si="24"/>
        <v>1.9936612375882625</v>
      </c>
      <c r="H71" s="577"/>
      <c r="I71" s="578"/>
      <c r="J71" s="578"/>
      <c r="K71" s="578"/>
      <c r="L71" s="578"/>
      <c r="M71" s="578"/>
      <c r="N71" s="574"/>
      <c r="O71" s="536"/>
      <c r="P71" s="581"/>
      <c r="Q71" s="536"/>
      <c r="R71" s="577"/>
      <c r="S71" s="590"/>
      <c r="AM71" s="593"/>
      <c r="AN71" s="558"/>
      <c r="AO71" s="593"/>
      <c r="AP71" s="558"/>
      <c r="AQ71" s="593"/>
      <c r="AR71" s="558"/>
      <c r="AS71" s="593"/>
      <c r="AT71" s="558"/>
      <c r="AU71" s="593"/>
      <c r="AV71" s="558"/>
      <c r="AW71" s="593"/>
      <c r="AX71" s="558"/>
      <c r="AY71" s="593"/>
      <c r="AZ71" s="558"/>
      <c r="BA71" s="593"/>
      <c r="BB71" s="558"/>
      <c r="BC71" s="593"/>
      <c r="BD71" s="558"/>
      <c r="BE71" s="593"/>
      <c r="BF71" s="558"/>
      <c r="BG71" s="593"/>
      <c r="BH71" s="558"/>
      <c r="CN71" s="593"/>
    </row>
    <row r="72" spans="1:92" x14ac:dyDescent="0.2">
      <c r="A72" s="509">
        <v>6</v>
      </c>
      <c r="B72" s="587" t="str">
        <f t="shared" si="20"/>
        <v>Compagás</v>
      </c>
      <c r="C72" s="583">
        <f t="shared" si="21"/>
        <v>5691658.9065834284</v>
      </c>
      <c r="D72" s="583">
        <f t="shared" si="22"/>
        <v>7.9554660192721939E-4</v>
      </c>
      <c r="E72" s="583">
        <f t="shared" si="23"/>
        <v>254.52251285545157</v>
      </c>
      <c r="F72" s="592">
        <f>((IF(E72=0,0,E72/K25)*1000)/Premissas!$B$57/10^3)</f>
        <v>1.9094289144995407</v>
      </c>
      <c r="G72" s="589">
        <f t="shared" si="24"/>
        <v>2.4583765221555192</v>
      </c>
      <c r="H72" s="577"/>
      <c r="I72" s="578"/>
      <c r="J72" s="578"/>
      <c r="K72" s="578"/>
      <c r="L72" s="578"/>
      <c r="M72" s="578"/>
      <c r="N72" s="574"/>
      <c r="O72" s="536"/>
      <c r="P72" s="581"/>
      <c r="Q72" s="536"/>
      <c r="R72" s="577"/>
      <c r="S72" s="590"/>
      <c r="CN72" s="593"/>
    </row>
    <row r="73" spans="1:92" x14ac:dyDescent="0.2">
      <c r="A73" s="509">
        <v>7</v>
      </c>
      <c r="B73" s="587" t="str">
        <f t="shared" si="20"/>
        <v>SCGás 1</v>
      </c>
      <c r="C73" s="583">
        <f t="shared" si="21"/>
        <v>746321081.39137805</v>
      </c>
      <c r="D73" s="583">
        <f t="shared" si="22"/>
        <v>0.10431637067372382</v>
      </c>
      <c r="E73" s="583">
        <f t="shared" si="23"/>
        <v>33374.367675654939</v>
      </c>
      <c r="F73" s="592">
        <f>((IF(E73=0,0,E73/K26)*1000)/Premissas!$B$57/10^3)</f>
        <v>2.2599028833978778</v>
      </c>
      <c r="G73" s="589">
        <f t="shared" si="24"/>
        <v>2.8088504910538559</v>
      </c>
      <c r="H73" s="577"/>
      <c r="I73" s="578"/>
      <c r="J73" s="578"/>
      <c r="K73" s="578"/>
      <c r="L73" s="578"/>
      <c r="M73" s="578"/>
      <c r="N73" s="574"/>
      <c r="O73" s="536"/>
      <c r="P73" s="581"/>
      <c r="Q73" s="536"/>
      <c r="R73" s="577"/>
      <c r="S73" s="590"/>
      <c r="CN73" s="593"/>
    </row>
    <row r="74" spans="1:92" x14ac:dyDescent="0.2">
      <c r="A74" s="509">
        <v>8</v>
      </c>
      <c r="B74" s="587" t="str">
        <f t="shared" si="20"/>
        <v>SCGás 2</v>
      </c>
      <c r="C74" s="583">
        <f t="shared" si="21"/>
        <v>409840008.95253575</v>
      </c>
      <c r="D74" s="583">
        <f t="shared" si="22"/>
        <v>5.7285025650233384E-2</v>
      </c>
      <c r="E74" s="583">
        <f t="shared" si="23"/>
        <v>18327.435051781267</v>
      </c>
      <c r="F74" s="592">
        <f>((IF(E74=0,0,E74/K27)*1000)/Premissas!$B$57/10^3)</f>
        <v>2.2599028833978778</v>
      </c>
      <c r="G74" s="589">
        <f t="shared" si="24"/>
        <v>2.8088504910538559</v>
      </c>
      <c r="H74" s="577"/>
      <c r="I74" s="578"/>
      <c r="J74" s="578"/>
      <c r="K74" s="578"/>
      <c r="L74" s="578"/>
      <c r="M74" s="578"/>
      <c r="N74" s="574"/>
      <c r="O74" s="536"/>
      <c r="P74" s="581"/>
      <c r="Q74" s="536"/>
      <c r="R74" s="577"/>
      <c r="S74" s="590"/>
      <c r="CN74" s="593"/>
    </row>
    <row r="75" spans="1:92" x14ac:dyDescent="0.2">
      <c r="A75" s="509">
        <v>9</v>
      </c>
      <c r="B75" s="587" t="str">
        <f t="shared" si="20"/>
        <v>Sulgás</v>
      </c>
      <c r="C75" s="583">
        <f t="shared" si="21"/>
        <v>8206367.8065834288</v>
      </c>
      <c r="D75" s="583">
        <f t="shared" si="22"/>
        <v>1.1470378197015521E-3</v>
      </c>
      <c r="E75" s="583">
        <f t="shared" si="23"/>
        <v>366.97655109510004</v>
      </c>
      <c r="F75" s="592">
        <f>((IF(E75=0,0,E75/K28)*1000)/Premissas!$B$57/10^3)</f>
        <v>2.7530595613844682</v>
      </c>
      <c r="G75" s="589">
        <f t="shared" si="24"/>
        <v>3.3020071690404462</v>
      </c>
      <c r="H75" s="577"/>
      <c r="I75" s="578"/>
      <c r="J75" s="578"/>
      <c r="K75" s="578"/>
      <c r="L75" s="578"/>
      <c r="M75" s="578"/>
      <c r="N75" s="574"/>
      <c r="O75" s="536"/>
      <c r="P75" s="581"/>
      <c r="Q75" s="536"/>
      <c r="R75" s="577"/>
      <c r="S75" s="590"/>
      <c r="CN75" s="593"/>
    </row>
    <row r="76" spans="1:92" x14ac:dyDescent="0.2">
      <c r="B76" s="594" t="str">
        <f t="shared" si="20"/>
        <v>TOTAL</v>
      </c>
      <c r="C76" s="595">
        <f>SUM(C67:C75)</f>
        <v>7154400374.2776718</v>
      </c>
      <c r="D76" s="595">
        <f>SUM(D67:D75)</f>
        <v>0.99999999999999989</v>
      </c>
      <c r="E76" s="596">
        <f>SUM(E67:E75)</f>
        <v>319934.13363700913</v>
      </c>
      <c r="F76" s="597">
        <v>1.8298253588532607</v>
      </c>
      <c r="H76" s="598"/>
      <c r="I76" s="574"/>
      <c r="J76" s="574"/>
      <c r="K76" s="574"/>
      <c r="L76" s="574"/>
      <c r="M76" s="574"/>
      <c r="N76" s="574"/>
      <c r="O76" s="599"/>
      <c r="P76" s="600"/>
      <c r="CN76" s="593"/>
    </row>
    <row r="77" spans="1:92" x14ac:dyDescent="0.2">
      <c r="B77" s="593"/>
      <c r="C77" s="558"/>
      <c r="D77" s="558"/>
      <c r="E77" s="601">
        <f>(E76+D83)/(E63+D80+E76+D83)</f>
        <v>0.49612962095146734</v>
      </c>
      <c r="F77" s="558"/>
      <c r="I77" s="578"/>
      <c r="J77" s="578"/>
      <c r="K77" s="578"/>
      <c r="L77" s="578"/>
      <c r="M77" s="578"/>
      <c r="N77" s="574"/>
      <c r="O77" s="602"/>
      <c r="P77" s="585"/>
      <c r="CN77" s="593"/>
    </row>
    <row r="78" spans="1:92" ht="13.5" thickBot="1" x14ac:dyDescent="0.25">
      <c r="D78" s="598"/>
      <c r="I78" s="578"/>
      <c r="J78" s="578"/>
      <c r="K78" s="578"/>
      <c r="L78" s="578"/>
      <c r="M78" s="578"/>
      <c r="N78" s="536"/>
      <c r="O78" s="599"/>
      <c r="P78" s="581"/>
      <c r="CN78" s="593"/>
    </row>
    <row r="79" spans="1:92" x14ac:dyDescent="0.2">
      <c r="B79" s="603" t="s">
        <v>425</v>
      </c>
      <c r="C79" s="604" t="s">
        <v>235</v>
      </c>
      <c r="O79" s="599"/>
      <c r="P79" s="600"/>
      <c r="CN79" s="593"/>
    </row>
    <row r="80" spans="1:92" ht="13.5" thickBot="1" x14ac:dyDescent="0.25">
      <c r="B80" s="605">
        <v>0.3</v>
      </c>
      <c r="C80" s="606">
        <f>1-B80</f>
        <v>0.7</v>
      </c>
      <c r="D80" s="607">
        <f>B80*(IF($A$58=1,$I$4,$I$11))</f>
        <v>139253.93086682877</v>
      </c>
      <c r="O80" s="599"/>
      <c r="P80" s="600"/>
      <c r="CN80" s="593"/>
    </row>
    <row r="81" spans="1:92" ht="13.5" thickBot="1" x14ac:dyDescent="0.25">
      <c r="D81" s="598">
        <f>(D80/E23*1000)/Premissas!$B$57/10^3</f>
        <v>0.54045792416640681</v>
      </c>
      <c r="I81" s="535"/>
      <c r="J81" s="535"/>
      <c r="K81" s="535"/>
      <c r="L81" s="535"/>
      <c r="M81" s="535"/>
      <c r="N81" s="535"/>
      <c r="O81" s="602"/>
      <c r="CN81" s="593"/>
    </row>
    <row r="82" spans="1:92" x14ac:dyDescent="0.2">
      <c r="B82" s="603" t="s">
        <v>425</v>
      </c>
      <c r="C82" s="604" t="s">
        <v>236</v>
      </c>
      <c r="I82" s="536"/>
      <c r="J82" s="536"/>
      <c r="K82" s="536"/>
      <c r="L82" s="536"/>
      <c r="M82" s="536"/>
      <c r="N82" s="536"/>
      <c r="O82" s="602"/>
      <c r="CN82" s="593"/>
    </row>
    <row r="83" spans="1:92" ht="13.5" thickBot="1" x14ac:dyDescent="0.25">
      <c r="B83" s="605">
        <v>0.3</v>
      </c>
      <c r="C83" s="606">
        <f>1-B83</f>
        <v>0.7</v>
      </c>
      <c r="D83" s="607">
        <f>B83*(IF($A$58=1,$I$5,$I$12))</f>
        <v>137114.62870157536</v>
      </c>
      <c r="I83" s="608"/>
      <c r="J83" s="608"/>
      <c r="K83" s="608"/>
      <c r="L83" s="608"/>
      <c r="M83" s="608"/>
      <c r="N83" s="608"/>
      <c r="O83" s="602"/>
      <c r="CN83" s="593"/>
    </row>
    <row r="84" spans="1:92" x14ac:dyDescent="0.2">
      <c r="D84" s="598">
        <f>(D83/K29*1000)/Premissas!$B$57/10^3</f>
        <v>0.54894760765597828</v>
      </c>
      <c r="CN84" s="593"/>
    </row>
    <row r="85" spans="1:92" x14ac:dyDescent="0.2">
      <c r="B85" s="609"/>
      <c r="C85" s="610"/>
      <c r="BA85" s="593"/>
      <c r="CN85" s="593"/>
    </row>
    <row r="86" spans="1:92" ht="15" customHeight="1" x14ac:dyDescent="0.2">
      <c r="B86" s="682" t="s">
        <v>426</v>
      </c>
      <c r="C86" s="611"/>
      <c r="D86" s="612" t="s">
        <v>420</v>
      </c>
      <c r="E86" s="559"/>
      <c r="F86" s="559"/>
      <c r="G86" s="559"/>
      <c r="H86" s="559"/>
      <c r="I86" s="559"/>
      <c r="J86" s="559"/>
      <c r="K86" s="559"/>
      <c r="L86" s="559"/>
      <c r="P86" s="613"/>
      <c r="Q86" s="680"/>
      <c r="R86" s="680"/>
      <c r="S86" s="680"/>
      <c r="BA86" s="593"/>
      <c r="CN86" s="593"/>
    </row>
    <row r="87" spans="1:92" ht="15" customHeight="1" x14ac:dyDescent="0.2">
      <c r="B87" s="682"/>
      <c r="C87" s="553" t="s">
        <v>427</v>
      </c>
      <c r="D87" s="553">
        <v>1</v>
      </c>
      <c r="E87" s="553">
        <v>2</v>
      </c>
      <c r="F87" s="553">
        <v>3</v>
      </c>
      <c r="G87" s="553">
        <v>4</v>
      </c>
      <c r="H87" s="553">
        <v>5</v>
      </c>
      <c r="I87" s="553">
        <v>6</v>
      </c>
      <c r="J87" s="553">
        <v>7</v>
      </c>
      <c r="K87" s="553">
        <v>8</v>
      </c>
      <c r="L87" s="553">
        <v>9</v>
      </c>
      <c r="M87" s="614"/>
      <c r="N87" s="548"/>
      <c r="O87" s="548"/>
      <c r="P87" s="615"/>
      <c r="Q87" s="616"/>
      <c r="R87" s="616"/>
      <c r="S87" s="616"/>
      <c r="BA87" s="593"/>
      <c r="CN87" s="593"/>
    </row>
    <row r="88" spans="1:92" ht="15" customHeight="1" x14ac:dyDescent="0.2">
      <c r="B88" s="617" t="s">
        <v>414</v>
      </c>
      <c r="C88" s="529" t="s">
        <v>428</v>
      </c>
      <c r="D88" s="550" t="str">
        <f t="shared" ref="D88:L88" si="25">D50</f>
        <v>MSgás</v>
      </c>
      <c r="E88" s="550" t="str">
        <f t="shared" si="25"/>
        <v>Gás Brasiliano</v>
      </c>
      <c r="F88" s="550" t="str">
        <f t="shared" si="25"/>
        <v>Comgás (Trecho Norte)</v>
      </c>
      <c r="G88" s="550" t="str">
        <f t="shared" si="25"/>
        <v>Comgás (Trecho Sul)</v>
      </c>
      <c r="H88" s="550" t="str">
        <f t="shared" si="25"/>
        <v>Gás Natural São Paulo</v>
      </c>
      <c r="I88" s="550" t="str">
        <f t="shared" si="25"/>
        <v>Compagás</v>
      </c>
      <c r="J88" s="550" t="str">
        <f t="shared" si="25"/>
        <v>SCGás 1</v>
      </c>
      <c r="K88" s="550" t="str">
        <f t="shared" si="25"/>
        <v>SCGás 2</v>
      </c>
      <c r="L88" s="550" t="str">
        <f t="shared" si="25"/>
        <v>Sulgás</v>
      </c>
      <c r="M88" s="589"/>
      <c r="N88" s="548"/>
      <c r="O88" s="548"/>
      <c r="P88" s="563"/>
      <c r="Q88" s="558"/>
      <c r="R88" s="558"/>
      <c r="S88" s="558"/>
      <c r="BA88" s="593"/>
      <c r="CN88" s="593"/>
    </row>
    <row r="89" spans="1:92" x14ac:dyDescent="0.2">
      <c r="A89" s="552">
        <v>1</v>
      </c>
      <c r="B89" s="553" t="str">
        <f>$B$60</f>
        <v>EMED CORUMBÁ</v>
      </c>
      <c r="C89" s="618">
        <f>$G$60</f>
        <v>1.9710153755292859</v>
      </c>
      <c r="D89" s="532">
        <f>$C$89+D92</f>
        <v>3.1415541190792613</v>
      </c>
      <c r="E89" s="532">
        <f t="shared" ref="E89:L89" si="26">$C$89+E92</f>
        <v>3.6060703912796552</v>
      </c>
      <c r="F89" s="532">
        <f t="shared" si="26"/>
        <v>3.8768020286859217</v>
      </c>
      <c r="G89" s="532">
        <f t="shared" si="26"/>
        <v>3.879603437836705</v>
      </c>
      <c r="H89" s="532">
        <f t="shared" si="26"/>
        <v>3.9646766131175486</v>
      </c>
      <c r="I89" s="532">
        <f t="shared" si="26"/>
        <v>4.4293918976848055</v>
      </c>
      <c r="J89" s="532">
        <f t="shared" si="26"/>
        <v>4.7798658665831422</v>
      </c>
      <c r="K89" s="532">
        <f t="shared" si="26"/>
        <v>4.7798658665831422</v>
      </c>
      <c r="L89" s="532">
        <f t="shared" si="26"/>
        <v>5.2730225445697325</v>
      </c>
      <c r="N89" s="546"/>
      <c r="O89" s="548"/>
      <c r="P89" s="616"/>
      <c r="Q89" s="558"/>
      <c r="R89" s="558"/>
      <c r="S89" s="558"/>
      <c r="BA89" s="593"/>
      <c r="CN89" s="593"/>
    </row>
    <row r="90" spans="1:92" x14ac:dyDescent="0.2">
      <c r="A90" s="552">
        <v>2</v>
      </c>
      <c r="B90" s="553" t="str">
        <f>$B$61</f>
        <v>EMED GASCAR</v>
      </c>
      <c r="C90" s="618">
        <f>$G$61</f>
        <v>0.87896409788229657</v>
      </c>
      <c r="D90" s="532">
        <f>$C$90+D92</f>
        <v>2.0495028414322718</v>
      </c>
      <c r="E90" s="532">
        <f t="shared" ref="E90:L90" si="27">$C$90+E92</f>
        <v>2.5140191136326662</v>
      </c>
      <c r="F90" s="532">
        <f t="shared" si="27"/>
        <v>2.7847507510389322</v>
      </c>
      <c r="G90" s="532">
        <f t="shared" si="27"/>
        <v>2.7875521601897155</v>
      </c>
      <c r="H90" s="532">
        <f t="shared" si="27"/>
        <v>2.8726253354705591</v>
      </c>
      <c r="I90" s="532">
        <f t="shared" si="27"/>
        <v>3.337340620037816</v>
      </c>
      <c r="J90" s="532">
        <f t="shared" si="27"/>
        <v>3.6878145889361527</v>
      </c>
      <c r="K90" s="532">
        <f t="shared" si="27"/>
        <v>3.6878145889361527</v>
      </c>
      <c r="L90" s="532">
        <f t="shared" si="27"/>
        <v>4.180971266922743</v>
      </c>
      <c r="N90" s="546"/>
      <c r="O90" s="548"/>
      <c r="P90" s="563"/>
      <c r="Q90" s="558"/>
      <c r="R90" s="558"/>
      <c r="S90" s="558"/>
      <c r="BA90" s="593"/>
      <c r="CN90" s="593"/>
    </row>
    <row r="91" spans="1:92" x14ac:dyDescent="0.2">
      <c r="A91" s="552">
        <v>3</v>
      </c>
      <c r="B91" s="553" t="str">
        <f>$B$22</f>
        <v>[NOVO PTR]</v>
      </c>
      <c r="C91" s="618">
        <f>$F$62</f>
        <v>0</v>
      </c>
      <c r="D91" s="532">
        <f>IF($C$91=0,0,$C$91+D92+#REF!+#REF!)</f>
        <v>0</v>
      </c>
      <c r="E91" s="532">
        <f>IF($C$91=0,0,$C$91+E92+#REF!+#REF!)</f>
        <v>0</v>
      </c>
      <c r="F91" s="532">
        <f>IF($C$91=0,0,$C$91+F92+#REF!+#REF!)</f>
        <v>0</v>
      </c>
      <c r="G91" s="532">
        <f>IF($C$91=0,0,$C$91+G92+#REF!+#REF!)</f>
        <v>0</v>
      </c>
      <c r="H91" s="532">
        <f>IF($C$91=0,0,$C$91+H92+#REF!+#REF!)</f>
        <v>0</v>
      </c>
      <c r="I91" s="532">
        <f>IF($C$91=0,0,$C$91+I92+#REF!+#REF!)</f>
        <v>0</v>
      </c>
      <c r="J91" s="532">
        <f>IF($C$91=0,0,$C$91+J92+#REF!+#REF!)</f>
        <v>0</v>
      </c>
      <c r="K91" s="532">
        <f>IF($C$91=0,0,$C$91+K92+#REF!+#REF!)</f>
        <v>0</v>
      </c>
      <c r="L91" s="532">
        <f>IF($C$91=0,0,$C$91+L92+#REF!+#REF!)</f>
        <v>0</v>
      </c>
      <c r="N91" s="546"/>
      <c r="O91" s="548"/>
      <c r="P91" s="563"/>
      <c r="Q91" s="558"/>
      <c r="R91" s="558"/>
      <c r="S91" s="558"/>
      <c r="BA91" s="593"/>
      <c r="CN91" s="593"/>
    </row>
    <row r="92" spans="1:92" ht="18" x14ac:dyDescent="0.2">
      <c r="B92" s="559"/>
      <c r="C92" s="529" t="s">
        <v>429</v>
      </c>
      <c r="D92" s="618">
        <f t="array" ref="D92:L92">TRANSPOSE(G67:G75)</f>
        <v>1.1705387435499754</v>
      </c>
      <c r="E92" s="618">
        <v>1.6350550157503694</v>
      </c>
      <c r="F92" s="618">
        <v>1.9057866531566359</v>
      </c>
      <c r="G92" s="618">
        <v>1.9085880623074192</v>
      </c>
      <c r="H92" s="618">
        <v>1.9936612375882625</v>
      </c>
      <c r="I92" s="618">
        <v>2.4583765221555192</v>
      </c>
      <c r="J92" s="618">
        <v>2.8088504910538559</v>
      </c>
      <c r="K92" s="618">
        <v>2.8088504910538559</v>
      </c>
      <c r="L92" s="618">
        <v>3.3020071690404462</v>
      </c>
      <c r="N92" s="546"/>
      <c r="O92" s="548"/>
      <c r="P92" s="563"/>
      <c r="Q92" s="558"/>
      <c r="R92" s="558"/>
      <c r="S92" s="558"/>
      <c r="BA92" s="593"/>
      <c r="CN92" s="593"/>
    </row>
    <row r="93" spans="1:92" x14ac:dyDescent="0.2">
      <c r="B93" s="619"/>
      <c r="C93" s="546"/>
      <c r="O93" s="548"/>
      <c r="P93" s="563"/>
      <c r="Q93" s="558"/>
      <c r="R93" s="558"/>
      <c r="S93" s="558"/>
      <c r="BA93" s="593"/>
      <c r="CN93" s="593"/>
    </row>
    <row r="94" spans="1:92" x14ac:dyDescent="0.2">
      <c r="B94" s="619"/>
      <c r="C94" s="546"/>
      <c r="O94" s="548"/>
      <c r="P94" s="563"/>
      <c r="Q94" s="558"/>
      <c r="R94" s="558"/>
      <c r="S94" s="558"/>
      <c r="BA94" s="593"/>
      <c r="CN94" s="593"/>
    </row>
    <row r="95" spans="1:92" x14ac:dyDescent="0.2">
      <c r="B95" s="619"/>
      <c r="C95" s="546"/>
      <c r="O95" s="548"/>
      <c r="P95" s="563"/>
      <c r="Q95" s="558"/>
      <c r="R95" s="558"/>
      <c r="S95" s="558"/>
      <c r="BA95" s="593"/>
      <c r="CN95" s="593"/>
    </row>
    <row r="96" spans="1:92" x14ac:dyDescent="0.2">
      <c r="B96" s="619"/>
      <c r="C96" s="546"/>
      <c r="D96" s="629"/>
      <c r="N96" s="548"/>
      <c r="O96" s="548"/>
      <c r="P96" s="548"/>
      <c r="Q96" s="548"/>
      <c r="R96" s="548"/>
      <c r="S96" s="548"/>
      <c r="T96" s="548"/>
      <c r="U96" s="548"/>
      <c r="V96" s="548"/>
      <c r="W96" s="548"/>
      <c r="X96" s="548"/>
      <c r="Y96" s="548"/>
      <c r="Z96" s="548"/>
      <c r="AA96" s="548"/>
      <c r="AB96" s="548"/>
      <c r="AC96" s="548"/>
      <c r="AD96" s="548"/>
      <c r="AE96" s="548"/>
      <c r="AF96" s="548"/>
      <c r="AG96" s="548"/>
      <c r="AH96" s="548"/>
      <c r="AI96" s="548"/>
      <c r="AJ96" s="548"/>
      <c r="AK96" s="548"/>
      <c r="AL96" s="548"/>
      <c r="AM96" s="548"/>
      <c r="AN96" s="548"/>
      <c r="AO96" s="548"/>
      <c r="AP96" s="548"/>
      <c r="AQ96" s="548"/>
      <c r="AR96" s="548"/>
      <c r="AS96" s="548"/>
      <c r="AT96" s="548"/>
      <c r="AU96" s="548"/>
      <c r="AV96" s="548"/>
      <c r="AW96" s="548"/>
      <c r="AX96" s="548"/>
      <c r="AY96" s="548"/>
      <c r="BC96" s="616"/>
      <c r="BD96" s="546"/>
      <c r="BE96" s="546"/>
      <c r="BF96" s="546"/>
    </row>
    <row r="97" spans="2:58" x14ac:dyDescent="0.2">
      <c r="B97" s="619"/>
      <c r="C97" s="546"/>
      <c r="D97" s="629"/>
      <c r="N97" s="546"/>
      <c r="O97" s="546"/>
      <c r="P97" s="546"/>
      <c r="Q97" s="546"/>
      <c r="R97" s="546"/>
      <c r="S97" s="546"/>
      <c r="T97" s="546"/>
      <c r="U97" s="546"/>
      <c r="V97" s="546"/>
      <c r="W97" s="546"/>
      <c r="X97" s="546"/>
      <c r="Y97" s="546"/>
      <c r="Z97" s="546"/>
      <c r="AA97" s="546"/>
      <c r="AB97" s="546"/>
      <c r="AC97" s="546"/>
      <c r="AD97" s="546"/>
      <c r="AE97" s="546"/>
      <c r="AF97" s="546"/>
      <c r="AG97" s="546"/>
      <c r="AH97" s="546"/>
      <c r="AI97" s="546"/>
      <c r="AJ97" s="546"/>
      <c r="AK97" s="546"/>
      <c r="AL97" s="546"/>
      <c r="AM97" s="546"/>
      <c r="AN97" s="546"/>
      <c r="AO97" s="546"/>
      <c r="AP97" s="546"/>
      <c r="AQ97" s="546"/>
      <c r="AR97" s="546"/>
      <c r="AS97" s="546"/>
      <c r="AT97" s="546"/>
      <c r="AU97" s="546"/>
      <c r="AV97" s="546"/>
      <c r="AW97" s="546"/>
      <c r="AX97" s="546"/>
      <c r="AY97" s="546"/>
      <c r="BC97" s="616"/>
      <c r="BD97" s="546"/>
      <c r="BE97" s="546"/>
      <c r="BF97" s="546"/>
    </row>
    <row r="98" spans="2:58" x14ac:dyDescent="0.2">
      <c r="B98" s="619"/>
      <c r="C98" s="546"/>
      <c r="N98" s="546"/>
      <c r="O98" s="546"/>
      <c r="P98" s="546"/>
      <c r="Q98" s="546"/>
      <c r="R98" s="546"/>
      <c r="S98" s="546"/>
      <c r="T98" s="546"/>
      <c r="U98" s="546"/>
      <c r="V98" s="546"/>
      <c r="W98" s="546"/>
      <c r="X98" s="546"/>
      <c r="Y98" s="546"/>
      <c r="Z98" s="546"/>
      <c r="AA98" s="546"/>
      <c r="AB98" s="546"/>
      <c r="AC98" s="546"/>
      <c r="AD98" s="546"/>
      <c r="AE98" s="546"/>
      <c r="AF98" s="546"/>
      <c r="AG98" s="546"/>
      <c r="AH98" s="546"/>
      <c r="AI98" s="546"/>
      <c r="AJ98" s="546"/>
      <c r="AK98" s="546"/>
      <c r="AL98" s="546"/>
      <c r="AM98" s="546"/>
      <c r="AN98" s="546"/>
      <c r="AO98" s="546"/>
      <c r="AP98" s="546"/>
      <c r="AQ98" s="546"/>
      <c r="AR98" s="546"/>
      <c r="AS98" s="546"/>
      <c r="AT98" s="546"/>
      <c r="AU98" s="546"/>
      <c r="AV98" s="546"/>
      <c r="AW98" s="546"/>
      <c r="AX98" s="546"/>
      <c r="AY98" s="546"/>
      <c r="BC98" s="616"/>
      <c r="BD98" s="546"/>
      <c r="BE98" s="546"/>
      <c r="BF98" s="546"/>
    </row>
    <row r="99" spans="2:58" x14ac:dyDescent="0.2">
      <c r="B99" s="619"/>
      <c r="C99" s="546"/>
      <c r="D99" s="630"/>
      <c r="N99" s="546"/>
      <c r="O99" s="546"/>
      <c r="P99" s="546"/>
      <c r="Q99" s="546"/>
      <c r="R99" s="546"/>
      <c r="S99" s="546"/>
      <c r="T99" s="546"/>
      <c r="U99" s="546"/>
      <c r="V99" s="546"/>
      <c r="W99" s="546"/>
      <c r="X99" s="546"/>
      <c r="Y99" s="546"/>
      <c r="Z99" s="546"/>
      <c r="AA99" s="546"/>
      <c r="AB99" s="546"/>
      <c r="AC99" s="546"/>
      <c r="AD99" s="546"/>
      <c r="AE99" s="546"/>
      <c r="AF99" s="546"/>
      <c r="AG99" s="546"/>
      <c r="AH99" s="546"/>
      <c r="AI99" s="546"/>
      <c r="AJ99" s="546"/>
      <c r="AK99" s="546"/>
      <c r="AL99" s="546"/>
      <c r="AM99" s="546"/>
      <c r="AN99" s="546"/>
      <c r="AO99" s="546"/>
      <c r="AP99" s="546"/>
      <c r="AQ99" s="546"/>
      <c r="AR99" s="546"/>
      <c r="AS99" s="546"/>
      <c r="AT99" s="546"/>
      <c r="AU99" s="546"/>
      <c r="AV99" s="546"/>
      <c r="AW99" s="546"/>
      <c r="AX99" s="546"/>
      <c r="AY99" s="546"/>
      <c r="BC99" s="616"/>
      <c r="BD99" s="546"/>
      <c r="BE99" s="546"/>
      <c r="BF99" s="546"/>
    </row>
    <row r="100" spans="2:58" x14ac:dyDescent="0.2">
      <c r="B100" s="619"/>
      <c r="C100" s="546"/>
      <c r="D100" s="630"/>
      <c r="BC100" s="616"/>
      <c r="BD100" s="546"/>
      <c r="BE100" s="546"/>
      <c r="BF100" s="546"/>
    </row>
    <row r="101" spans="2:58" x14ac:dyDescent="0.2">
      <c r="B101" s="619"/>
      <c r="C101" s="546"/>
      <c r="D101" s="630"/>
      <c r="BC101" s="616"/>
      <c r="BD101" s="546"/>
      <c r="BE101" s="546"/>
      <c r="BF101" s="546"/>
    </row>
    <row r="102" spans="2:58" x14ac:dyDescent="0.2">
      <c r="B102" s="619"/>
      <c r="C102" s="546"/>
      <c r="BC102" s="616"/>
      <c r="BD102" s="546"/>
      <c r="BE102" s="546"/>
      <c r="BF102" s="546"/>
    </row>
    <row r="103" spans="2:58" x14ac:dyDescent="0.2">
      <c r="B103" s="619"/>
      <c r="C103" s="546"/>
      <c r="BC103" s="616"/>
      <c r="BD103" s="546"/>
      <c r="BE103" s="546"/>
      <c r="BF103" s="546"/>
    </row>
    <row r="104" spans="2:58" ht="15" customHeight="1" x14ac:dyDescent="0.2">
      <c r="B104" s="619"/>
      <c r="C104" s="546"/>
      <c r="BC104" s="616"/>
    </row>
    <row r="105" spans="2:58" ht="13.5" customHeight="1" x14ac:dyDescent="0.2">
      <c r="B105" s="619"/>
      <c r="C105" s="546"/>
      <c r="N105" s="548"/>
      <c r="O105" s="548"/>
      <c r="P105" s="548"/>
      <c r="Q105" s="548"/>
      <c r="R105" s="548"/>
      <c r="S105" s="548"/>
      <c r="T105" s="548"/>
      <c r="U105" s="548"/>
      <c r="V105" s="548"/>
      <c r="W105" s="548"/>
      <c r="X105" s="548"/>
      <c r="Y105" s="548"/>
      <c r="Z105" s="548"/>
      <c r="AA105" s="548"/>
      <c r="AB105" s="548"/>
      <c r="AC105" s="548"/>
      <c r="AD105" s="548"/>
      <c r="AE105" s="548"/>
      <c r="AF105" s="548"/>
      <c r="AG105" s="548"/>
      <c r="AH105" s="548"/>
      <c r="AI105" s="548"/>
      <c r="AJ105" s="548"/>
      <c r="AK105" s="548"/>
      <c r="AL105" s="548"/>
      <c r="AM105" s="548"/>
      <c r="AN105" s="548"/>
      <c r="AO105" s="548"/>
      <c r="AP105" s="548"/>
      <c r="AQ105" s="548"/>
      <c r="AR105" s="548"/>
      <c r="AS105" s="548"/>
      <c r="AT105" s="548"/>
      <c r="AU105" s="548"/>
      <c r="AV105" s="548"/>
      <c r="AW105" s="548"/>
      <c r="AX105" s="548"/>
      <c r="AY105" s="548"/>
      <c r="BC105" s="616"/>
    </row>
    <row r="106" spans="2:58" x14ac:dyDescent="0.2">
      <c r="B106" s="619"/>
      <c r="C106" s="546"/>
      <c r="N106" s="548"/>
      <c r="O106" s="548"/>
      <c r="P106" s="548"/>
      <c r="Q106" s="548"/>
      <c r="R106" s="548"/>
      <c r="S106" s="548"/>
      <c r="T106" s="548"/>
      <c r="U106" s="548"/>
      <c r="V106" s="548"/>
      <c r="W106" s="548"/>
      <c r="X106" s="548"/>
      <c r="Y106" s="548"/>
      <c r="Z106" s="548"/>
      <c r="AA106" s="548"/>
      <c r="AB106" s="548"/>
      <c r="AC106" s="548"/>
      <c r="AD106" s="548"/>
      <c r="AE106" s="548"/>
      <c r="AF106" s="548"/>
      <c r="AG106" s="548"/>
      <c r="AH106" s="548"/>
      <c r="AI106" s="548"/>
      <c r="AJ106" s="548"/>
      <c r="AK106" s="548"/>
      <c r="AL106" s="548"/>
      <c r="AM106" s="548"/>
      <c r="AN106" s="548"/>
      <c r="AO106" s="548"/>
      <c r="AP106" s="548"/>
      <c r="AQ106" s="548"/>
      <c r="AR106" s="548"/>
      <c r="AS106" s="548"/>
      <c r="AT106" s="548"/>
      <c r="AU106" s="548"/>
      <c r="AV106" s="548"/>
      <c r="AW106" s="548"/>
      <c r="AX106" s="548"/>
      <c r="AY106" s="548"/>
    </row>
    <row r="107" spans="2:58" x14ac:dyDescent="0.2">
      <c r="B107" s="619"/>
      <c r="C107" s="546"/>
      <c r="N107" s="546"/>
      <c r="O107" s="546"/>
      <c r="P107" s="546"/>
      <c r="Q107" s="546"/>
      <c r="R107" s="546"/>
      <c r="S107" s="546"/>
      <c r="T107" s="546"/>
      <c r="U107" s="546"/>
      <c r="V107" s="546"/>
      <c r="W107" s="546"/>
      <c r="X107" s="546"/>
      <c r="Y107" s="546"/>
      <c r="Z107" s="546"/>
      <c r="AA107" s="546"/>
      <c r="AB107" s="546"/>
      <c r="AC107" s="546"/>
      <c r="AD107" s="546"/>
      <c r="AE107" s="546"/>
      <c r="AF107" s="546"/>
      <c r="AG107" s="546"/>
      <c r="AH107" s="546"/>
      <c r="AI107" s="546"/>
      <c r="AJ107" s="546"/>
      <c r="AK107" s="546"/>
      <c r="AL107" s="546"/>
      <c r="AM107" s="546"/>
      <c r="AN107" s="546"/>
      <c r="AO107" s="546"/>
      <c r="AP107" s="546"/>
      <c r="AQ107" s="546"/>
      <c r="AR107" s="546"/>
      <c r="AS107" s="546"/>
      <c r="AT107" s="546"/>
      <c r="AU107" s="546"/>
      <c r="AV107" s="546"/>
      <c r="AW107" s="546"/>
      <c r="AX107" s="546"/>
      <c r="AY107" s="546"/>
    </row>
    <row r="108" spans="2:58" x14ac:dyDescent="0.2">
      <c r="B108" s="619"/>
      <c r="C108" s="546"/>
      <c r="N108" s="546"/>
      <c r="O108" s="546"/>
      <c r="P108" s="546"/>
      <c r="Q108" s="546"/>
      <c r="R108" s="546"/>
      <c r="S108" s="546"/>
      <c r="T108" s="546"/>
      <c r="U108" s="546"/>
      <c r="V108" s="546"/>
      <c r="W108" s="546"/>
      <c r="X108" s="546"/>
      <c r="Y108" s="546"/>
      <c r="Z108" s="546"/>
      <c r="AA108" s="546"/>
      <c r="AB108" s="546"/>
      <c r="AC108" s="546"/>
      <c r="AD108" s="546"/>
      <c r="AE108" s="546"/>
      <c r="AF108" s="546"/>
      <c r="AG108" s="546"/>
      <c r="AH108" s="546"/>
      <c r="AI108" s="546"/>
      <c r="AJ108" s="546"/>
      <c r="AK108" s="546"/>
      <c r="AL108" s="546"/>
      <c r="AM108" s="546"/>
      <c r="AN108" s="546"/>
      <c r="AO108" s="546"/>
      <c r="AP108" s="546"/>
      <c r="AQ108" s="546"/>
      <c r="AR108" s="546"/>
      <c r="AS108" s="546"/>
      <c r="AT108" s="546"/>
      <c r="AU108" s="546"/>
      <c r="AV108" s="546"/>
      <c r="AW108" s="546"/>
      <c r="AX108" s="546"/>
      <c r="AY108" s="546"/>
    </row>
    <row r="109" spans="2:58" x14ac:dyDescent="0.2">
      <c r="B109" s="619"/>
      <c r="C109" s="546"/>
      <c r="N109" s="546"/>
      <c r="O109" s="546"/>
      <c r="P109" s="546"/>
      <c r="Q109" s="546"/>
      <c r="R109" s="546"/>
      <c r="S109" s="546"/>
      <c r="T109" s="546"/>
      <c r="U109" s="546"/>
      <c r="V109" s="546"/>
      <c r="W109" s="546"/>
      <c r="X109" s="546"/>
      <c r="Y109" s="546"/>
      <c r="Z109" s="546"/>
      <c r="AA109" s="546"/>
      <c r="AB109" s="546"/>
      <c r="AC109" s="546"/>
      <c r="AD109" s="546"/>
      <c r="AE109" s="546"/>
      <c r="AF109" s="546"/>
      <c r="AG109" s="546"/>
      <c r="AH109" s="546"/>
      <c r="AI109" s="546"/>
      <c r="AJ109" s="546"/>
      <c r="AK109" s="546"/>
      <c r="AL109" s="546"/>
      <c r="AM109" s="546"/>
      <c r="AN109" s="546"/>
      <c r="AO109" s="546"/>
      <c r="AP109" s="546"/>
      <c r="AQ109" s="546"/>
      <c r="AR109" s="546"/>
      <c r="AS109" s="546"/>
      <c r="AT109" s="546"/>
      <c r="AU109" s="546"/>
      <c r="AV109" s="546"/>
      <c r="AW109" s="546"/>
      <c r="AX109" s="546"/>
      <c r="AY109" s="546"/>
    </row>
    <row r="110" spans="2:58" x14ac:dyDescent="0.2">
      <c r="B110" s="619"/>
      <c r="C110" s="546"/>
    </row>
    <row r="111" spans="2:58" x14ac:dyDescent="0.2">
      <c r="B111" s="619"/>
      <c r="C111" s="546"/>
    </row>
    <row r="112" spans="2:58" x14ac:dyDescent="0.2">
      <c r="B112" s="619"/>
      <c r="C112" s="546"/>
    </row>
    <row r="113" spans="2:51" x14ac:dyDescent="0.2">
      <c r="B113" s="619"/>
      <c r="C113" s="546"/>
    </row>
    <row r="114" spans="2:51" ht="15" customHeight="1" x14ac:dyDescent="0.2">
      <c r="B114" s="619"/>
      <c r="C114" s="546"/>
    </row>
    <row r="115" spans="2:51" ht="13.5" customHeight="1" x14ac:dyDescent="0.2">
      <c r="B115" s="619"/>
      <c r="C115" s="546"/>
      <c r="N115" s="548"/>
      <c r="O115" s="548"/>
      <c r="P115" s="548"/>
      <c r="Q115" s="548"/>
      <c r="R115" s="548"/>
      <c r="S115" s="548"/>
      <c r="T115" s="548"/>
      <c r="U115" s="548"/>
      <c r="V115" s="548"/>
      <c r="W115" s="548"/>
      <c r="X115" s="548"/>
      <c r="Y115" s="548"/>
      <c r="Z115" s="548"/>
      <c r="AA115" s="548"/>
      <c r="AB115" s="548"/>
      <c r="AC115" s="548"/>
      <c r="AD115" s="548"/>
      <c r="AE115" s="548"/>
      <c r="AF115" s="548"/>
      <c r="AG115" s="548"/>
      <c r="AH115" s="548"/>
      <c r="AI115" s="548"/>
      <c r="AJ115" s="548"/>
      <c r="AK115" s="548"/>
      <c r="AL115" s="548"/>
      <c r="AM115" s="548"/>
      <c r="AN115" s="548"/>
      <c r="AO115" s="548"/>
      <c r="AP115" s="548"/>
      <c r="AQ115" s="548"/>
      <c r="AR115" s="548"/>
      <c r="AS115" s="548"/>
      <c r="AT115" s="548"/>
      <c r="AU115" s="548"/>
      <c r="AV115" s="548"/>
      <c r="AW115" s="548"/>
      <c r="AX115" s="548"/>
      <c r="AY115" s="548"/>
    </row>
    <row r="116" spans="2:51" x14ac:dyDescent="0.2">
      <c r="B116" s="619"/>
      <c r="C116" s="546"/>
      <c r="N116" s="548"/>
      <c r="O116" s="548"/>
      <c r="P116" s="548"/>
      <c r="Q116" s="548"/>
      <c r="R116" s="548"/>
      <c r="S116" s="548"/>
      <c r="T116" s="548"/>
      <c r="U116" s="548"/>
      <c r="V116" s="548"/>
      <c r="W116" s="548"/>
      <c r="X116" s="548"/>
      <c r="Y116" s="548"/>
      <c r="Z116" s="548"/>
      <c r="AA116" s="548"/>
      <c r="AB116" s="548"/>
      <c r="AC116" s="548"/>
      <c r="AD116" s="548"/>
      <c r="AE116" s="548"/>
      <c r="AF116" s="548"/>
      <c r="AG116" s="548"/>
      <c r="AH116" s="548"/>
      <c r="AI116" s="548"/>
      <c r="AJ116" s="548"/>
      <c r="AK116" s="548"/>
      <c r="AL116" s="548"/>
      <c r="AM116" s="548"/>
      <c r="AN116" s="548"/>
      <c r="AO116" s="548"/>
      <c r="AP116" s="548"/>
      <c r="AQ116" s="548"/>
      <c r="AR116" s="548"/>
      <c r="AS116" s="548"/>
      <c r="AT116" s="548"/>
      <c r="AU116" s="548"/>
      <c r="AV116" s="548"/>
      <c r="AW116" s="548"/>
      <c r="AX116" s="548"/>
      <c r="AY116" s="548"/>
    </row>
    <row r="117" spans="2:51" x14ac:dyDescent="0.2">
      <c r="B117" s="619"/>
      <c r="C117" s="546"/>
      <c r="N117" s="546"/>
      <c r="O117" s="546"/>
      <c r="P117" s="546"/>
      <c r="Q117" s="546"/>
      <c r="R117" s="546"/>
      <c r="S117" s="546"/>
      <c r="T117" s="546"/>
      <c r="U117" s="546"/>
      <c r="V117" s="546"/>
      <c r="W117" s="546"/>
      <c r="X117" s="546"/>
      <c r="Y117" s="546"/>
      <c r="Z117" s="546"/>
      <c r="AA117" s="546"/>
      <c r="AB117" s="546"/>
      <c r="AC117" s="546"/>
      <c r="AD117" s="546"/>
      <c r="AE117" s="546"/>
      <c r="AF117" s="546"/>
      <c r="AG117" s="546"/>
      <c r="AH117" s="546"/>
      <c r="AI117" s="546"/>
      <c r="AJ117" s="546"/>
      <c r="AK117" s="546"/>
      <c r="AL117" s="546"/>
      <c r="AM117" s="546"/>
      <c r="AN117" s="546"/>
      <c r="AO117" s="546"/>
      <c r="AP117" s="546"/>
      <c r="AQ117" s="546"/>
      <c r="AR117" s="546"/>
      <c r="AS117" s="546"/>
      <c r="AT117" s="546"/>
      <c r="AU117" s="546"/>
      <c r="AV117" s="546"/>
      <c r="AW117" s="546"/>
      <c r="AX117" s="546"/>
      <c r="AY117" s="546"/>
    </row>
    <row r="118" spans="2:51" x14ac:dyDescent="0.2">
      <c r="B118" s="619"/>
      <c r="C118" s="546"/>
      <c r="N118" s="546"/>
      <c r="O118" s="546"/>
      <c r="P118" s="546"/>
      <c r="Q118" s="546"/>
      <c r="R118" s="546"/>
      <c r="S118" s="546"/>
      <c r="T118" s="546"/>
      <c r="U118" s="546"/>
      <c r="V118" s="546"/>
      <c r="W118" s="546"/>
      <c r="X118" s="546"/>
      <c r="Y118" s="546"/>
      <c r="Z118" s="546"/>
      <c r="AA118" s="546"/>
      <c r="AB118" s="546"/>
      <c r="AC118" s="546"/>
      <c r="AD118" s="546"/>
      <c r="AE118" s="546"/>
      <c r="AF118" s="546"/>
      <c r="AG118" s="546"/>
      <c r="AH118" s="546"/>
      <c r="AI118" s="546"/>
      <c r="AJ118" s="546"/>
      <c r="AK118" s="546"/>
      <c r="AL118" s="546"/>
      <c r="AM118" s="546"/>
      <c r="AN118" s="546"/>
      <c r="AO118" s="546"/>
      <c r="AP118" s="546"/>
      <c r="AQ118" s="546"/>
      <c r="AR118" s="546"/>
      <c r="AS118" s="546"/>
      <c r="AT118" s="546"/>
      <c r="AU118" s="546"/>
      <c r="AV118" s="546"/>
      <c r="AW118" s="546"/>
      <c r="AX118" s="546"/>
      <c r="AY118" s="546"/>
    </row>
    <row r="119" spans="2:51" x14ac:dyDescent="0.2">
      <c r="B119" s="619"/>
      <c r="C119" s="546"/>
      <c r="N119" s="546"/>
      <c r="O119" s="546"/>
      <c r="P119" s="546"/>
      <c r="Q119" s="546"/>
      <c r="R119" s="546"/>
      <c r="S119" s="546"/>
      <c r="T119" s="546"/>
      <c r="U119" s="546"/>
      <c r="V119" s="546"/>
      <c r="W119" s="546"/>
      <c r="X119" s="546"/>
      <c r="Y119" s="546"/>
      <c r="Z119" s="546"/>
      <c r="AA119" s="546"/>
      <c r="AB119" s="546"/>
      <c r="AC119" s="546"/>
      <c r="AD119" s="546"/>
      <c r="AE119" s="546"/>
      <c r="AF119" s="546"/>
      <c r="AG119" s="546"/>
      <c r="AH119" s="546"/>
      <c r="AI119" s="546"/>
      <c r="AJ119" s="546"/>
      <c r="AK119" s="546"/>
      <c r="AL119" s="546"/>
      <c r="AM119" s="546"/>
      <c r="AN119" s="546"/>
      <c r="AO119" s="546"/>
      <c r="AP119" s="546"/>
      <c r="AQ119" s="546"/>
      <c r="AR119" s="546"/>
      <c r="AS119" s="546"/>
      <c r="AT119" s="546"/>
      <c r="AU119" s="546"/>
      <c r="AV119" s="546"/>
      <c r="AW119" s="546"/>
      <c r="AX119" s="546"/>
      <c r="AY119" s="546"/>
    </row>
    <row r="120" spans="2:51" x14ac:dyDescent="0.2">
      <c r="B120" s="619"/>
      <c r="C120" s="546"/>
    </row>
    <row r="121" spans="2:51" x14ac:dyDescent="0.2">
      <c r="B121" s="619"/>
      <c r="C121" s="546"/>
    </row>
    <row r="122" spans="2:51" x14ac:dyDescent="0.2">
      <c r="B122" s="619"/>
      <c r="C122" s="546"/>
    </row>
    <row r="123" spans="2:51" x14ac:dyDescent="0.2">
      <c r="B123" s="619"/>
      <c r="C123" s="546"/>
    </row>
    <row r="124" spans="2:51" x14ac:dyDescent="0.2">
      <c r="B124" s="619"/>
      <c r="C124" s="546"/>
    </row>
    <row r="125" spans="2:51" x14ac:dyDescent="0.2">
      <c r="B125" s="619"/>
      <c r="C125" s="546"/>
    </row>
    <row r="126" spans="2:51" x14ac:dyDescent="0.2">
      <c r="B126" s="619"/>
      <c r="C126" s="546"/>
    </row>
    <row r="127" spans="2:51" x14ac:dyDescent="0.2">
      <c r="B127" s="619"/>
      <c r="C127" s="546"/>
    </row>
    <row r="128" spans="2:51" x14ac:dyDescent="0.2">
      <c r="B128" s="619"/>
      <c r="C128" s="546"/>
    </row>
    <row r="129" spans="2:3" x14ac:dyDescent="0.2">
      <c r="B129" s="619"/>
      <c r="C129" s="546"/>
    </row>
    <row r="130" spans="2:3" x14ac:dyDescent="0.2">
      <c r="B130" s="619"/>
      <c r="C130" s="546"/>
    </row>
    <row r="131" spans="2:3" x14ac:dyDescent="0.2">
      <c r="B131" s="619"/>
      <c r="C131" s="546"/>
    </row>
    <row r="132" spans="2:3" x14ac:dyDescent="0.2">
      <c r="B132" s="619"/>
      <c r="C132" s="546"/>
    </row>
    <row r="133" spans="2:3" x14ac:dyDescent="0.2">
      <c r="B133" s="619"/>
      <c r="C133" s="546"/>
    </row>
    <row r="134" spans="2:3" x14ac:dyDescent="0.2">
      <c r="B134" s="619"/>
      <c r="C134" s="546"/>
    </row>
    <row r="135" spans="2:3" x14ac:dyDescent="0.2">
      <c r="B135" s="619"/>
      <c r="C135" s="546"/>
    </row>
    <row r="136" spans="2:3" x14ac:dyDescent="0.2">
      <c r="B136" s="619"/>
      <c r="C136" s="546"/>
    </row>
    <row r="137" spans="2:3" x14ac:dyDescent="0.2">
      <c r="B137" s="619"/>
      <c r="C137" s="546"/>
    </row>
    <row r="138" spans="2:3" x14ac:dyDescent="0.2">
      <c r="B138" s="619"/>
      <c r="C138" s="546"/>
    </row>
    <row r="139" spans="2:3" x14ac:dyDescent="0.2">
      <c r="B139" s="619"/>
      <c r="C139" s="546"/>
    </row>
    <row r="140" spans="2:3" x14ac:dyDescent="0.2">
      <c r="B140" s="619"/>
      <c r="C140" s="546"/>
    </row>
    <row r="141" spans="2:3" x14ac:dyDescent="0.2">
      <c r="B141" s="619"/>
      <c r="C141" s="546"/>
    </row>
    <row r="142" spans="2:3" x14ac:dyDescent="0.2">
      <c r="B142" s="619"/>
      <c r="C142" s="546"/>
    </row>
    <row r="143" spans="2:3" x14ac:dyDescent="0.2">
      <c r="B143" s="619"/>
      <c r="C143" s="546"/>
    </row>
    <row r="144" spans="2:3" x14ac:dyDescent="0.2">
      <c r="B144" s="619"/>
      <c r="C144" s="546"/>
    </row>
    <row r="145" spans="2:3" x14ac:dyDescent="0.2">
      <c r="B145" s="619"/>
      <c r="C145" s="546"/>
    </row>
    <row r="146" spans="2:3" x14ac:dyDescent="0.2">
      <c r="B146" s="619"/>
      <c r="C146" s="546"/>
    </row>
    <row r="147" spans="2:3" x14ac:dyDescent="0.2">
      <c r="B147" s="619"/>
      <c r="C147" s="546"/>
    </row>
    <row r="148" spans="2:3" x14ac:dyDescent="0.2">
      <c r="B148" s="619"/>
      <c r="C148" s="546"/>
    </row>
    <row r="149" spans="2:3" x14ac:dyDescent="0.2">
      <c r="B149" s="619"/>
      <c r="C149" s="546"/>
    </row>
    <row r="150" spans="2:3" x14ac:dyDescent="0.2">
      <c r="B150" s="619"/>
      <c r="C150" s="546"/>
    </row>
    <row r="151" spans="2:3" x14ac:dyDescent="0.2">
      <c r="B151" s="619"/>
      <c r="C151" s="546"/>
    </row>
    <row r="152" spans="2:3" x14ac:dyDescent="0.2">
      <c r="B152" s="619"/>
      <c r="C152" s="546"/>
    </row>
    <row r="153" spans="2:3" x14ac:dyDescent="0.2">
      <c r="B153" s="619"/>
      <c r="C153" s="546"/>
    </row>
    <row r="154" spans="2:3" x14ac:dyDescent="0.2">
      <c r="B154" s="619"/>
      <c r="C154" s="546"/>
    </row>
    <row r="155" spans="2:3" x14ac:dyDescent="0.2">
      <c r="B155" s="619"/>
      <c r="C155" s="546"/>
    </row>
    <row r="156" spans="2:3" x14ac:dyDescent="0.2">
      <c r="B156" s="619"/>
      <c r="C156" s="546"/>
    </row>
    <row r="157" spans="2:3" x14ac:dyDescent="0.2">
      <c r="B157" s="619"/>
      <c r="C157" s="546"/>
    </row>
    <row r="158" spans="2:3" x14ac:dyDescent="0.2">
      <c r="B158" s="619"/>
      <c r="C158" s="546"/>
    </row>
    <row r="159" spans="2:3" x14ac:dyDescent="0.2">
      <c r="B159" s="619"/>
      <c r="C159" s="546"/>
    </row>
    <row r="160" spans="2:3" x14ac:dyDescent="0.2">
      <c r="B160" s="619"/>
      <c r="C160" s="546"/>
    </row>
    <row r="161" spans="2:3" x14ac:dyDescent="0.2">
      <c r="B161" s="619"/>
      <c r="C161" s="546"/>
    </row>
    <row r="162" spans="2:3" x14ac:dyDescent="0.2">
      <c r="B162" s="619"/>
      <c r="C162" s="546"/>
    </row>
    <row r="163" spans="2:3" x14ac:dyDescent="0.2">
      <c r="B163" s="619"/>
      <c r="C163" s="546"/>
    </row>
    <row r="164" spans="2:3" x14ac:dyDescent="0.2">
      <c r="B164" s="619"/>
      <c r="C164" s="546"/>
    </row>
    <row r="165" spans="2:3" x14ac:dyDescent="0.2">
      <c r="B165" s="619"/>
      <c r="C165" s="546"/>
    </row>
    <row r="166" spans="2:3" x14ac:dyDescent="0.2">
      <c r="B166" s="619"/>
      <c r="C166" s="546"/>
    </row>
    <row r="167" spans="2:3" x14ac:dyDescent="0.2">
      <c r="B167" s="619"/>
      <c r="C167" s="546"/>
    </row>
    <row r="168" spans="2:3" x14ac:dyDescent="0.2">
      <c r="B168" s="619"/>
      <c r="C168" s="546"/>
    </row>
    <row r="169" spans="2:3" x14ac:dyDescent="0.2">
      <c r="B169" s="619"/>
      <c r="C169" s="546"/>
    </row>
    <row r="170" spans="2:3" x14ac:dyDescent="0.2">
      <c r="B170" s="619"/>
      <c r="C170" s="546"/>
    </row>
    <row r="171" spans="2:3" x14ac:dyDescent="0.2">
      <c r="B171" s="619"/>
      <c r="C171" s="546"/>
    </row>
    <row r="172" spans="2:3" x14ac:dyDescent="0.2">
      <c r="B172" s="619"/>
      <c r="C172" s="546"/>
    </row>
    <row r="173" spans="2:3" x14ac:dyDescent="0.2">
      <c r="B173" s="619"/>
      <c r="C173" s="546"/>
    </row>
    <row r="174" spans="2:3" x14ac:dyDescent="0.2">
      <c r="B174" s="619"/>
      <c r="C174" s="546"/>
    </row>
    <row r="175" spans="2:3" x14ac:dyDescent="0.2">
      <c r="B175" s="619"/>
      <c r="C175" s="546"/>
    </row>
    <row r="176" spans="2:3" x14ac:dyDescent="0.2">
      <c r="B176" s="619"/>
      <c r="C176" s="546"/>
    </row>
    <row r="177" spans="2:3" x14ac:dyDescent="0.2">
      <c r="B177" s="619"/>
      <c r="C177" s="546"/>
    </row>
    <row r="178" spans="2:3" x14ac:dyDescent="0.2">
      <c r="B178" s="619"/>
      <c r="C178" s="546"/>
    </row>
    <row r="179" spans="2:3" x14ac:dyDescent="0.2">
      <c r="B179" s="619"/>
      <c r="C179" s="546"/>
    </row>
    <row r="180" spans="2:3" x14ac:dyDescent="0.2">
      <c r="B180" s="619"/>
      <c r="C180" s="546"/>
    </row>
    <row r="181" spans="2:3" x14ac:dyDescent="0.2">
      <c r="B181" s="619"/>
      <c r="C181" s="546"/>
    </row>
    <row r="182" spans="2:3" x14ac:dyDescent="0.2">
      <c r="B182" s="619"/>
      <c r="C182" s="546"/>
    </row>
    <row r="183" spans="2:3" x14ac:dyDescent="0.2">
      <c r="B183" s="619"/>
      <c r="C183" s="546"/>
    </row>
    <row r="184" spans="2:3" x14ac:dyDescent="0.2">
      <c r="B184" s="619"/>
      <c r="C184" s="546"/>
    </row>
    <row r="185" spans="2:3" x14ac:dyDescent="0.2">
      <c r="B185" s="619"/>
      <c r="C185" s="546"/>
    </row>
    <row r="186" spans="2:3" x14ac:dyDescent="0.2">
      <c r="B186" s="619"/>
      <c r="C186" s="546"/>
    </row>
    <row r="187" spans="2:3" x14ac:dyDescent="0.2">
      <c r="B187" s="619"/>
      <c r="C187" s="546"/>
    </row>
    <row r="188" spans="2:3" x14ac:dyDescent="0.2">
      <c r="B188" s="619"/>
      <c r="C188" s="546"/>
    </row>
    <row r="189" spans="2:3" x14ac:dyDescent="0.2">
      <c r="B189" s="619"/>
      <c r="C189" s="546"/>
    </row>
    <row r="190" spans="2:3" x14ac:dyDescent="0.2">
      <c r="B190" s="619"/>
      <c r="C190" s="546"/>
    </row>
    <row r="191" spans="2:3" x14ac:dyDescent="0.2">
      <c r="B191" s="619"/>
      <c r="C191" s="546"/>
    </row>
    <row r="192" spans="2:3" x14ac:dyDescent="0.2">
      <c r="B192" s="619"/>
      <c r="C192" s="546"/>
    </row>
    <row r="193" spans="2:3" x14ac:dyDescent="0.2">
      <c r="B193" s="619"/>
      <c r="C193" s="546"/>
    </row>
    <row r="194" spans="2:3" x14ac:dyDescent="0.2">
      <c r="B194" s="619"/>
      <c r="C194" s="546"/>
    </row>
    <row r="195" spans="2:3" x14ac:dyDescent="0.2">
      <c r="B195" s="619"/>
      <c r="C195" s="546"/>
    </row>
    <row r="196" spans="2:3" x14ac:dyDescent="0.2">
      <c r="B196" s="619"/>
      <c r="C196" s="546"/>
    </row>
    <row r="197" spans="2:3" x14ac:dyDescent="0.2">
      <c r="B197" s="619"/>
      <c r="C197" s="546"/>
    </row>
    <row r="198" spans="2:3" x14ac:dyDescent="0.2">
      <c r="B198" s="619"/>
      <c r="C198" s="546"/>
    </row>
    <row r="199" spans="2:3" x14ac:dyDescent="0.2">
      <c r="B199" s="619"/>
      <c r="C199" s="546"/>
    </row>
    <row r="200" spans="2:3" x14ac:dyDescent="0.2">
      <c r="B200" s="619"/>
      <c r="C200" s="546"/>
    </row>
    <row r="201" spans="2:3" x14ac:dyDescent="0.2">
      <c r="B201" s="619"/>
      <c r="C201" s="546"/>
    </row>
    <row r="202" spans="2:3" x14ac:dyDescent="0.2">
      <c r="B202" s="619"/>
      <c r="C202" s="546"/>
    </row>
    <row r="203" spans="2:3" x14ac:dyDescent="0.2">
      <c r="B203" s="619"/>
      <c r="C203" s="546"/>
    </row>
    <row r="204" spans="2:3" x14ac:dyDescent="0.2">
      <c r="B204" s="619"/>
      <c r="C204" s="546"/>
    </row>
    <row r="205" spans="2:3" x14ac:dyDescent="0.2">
      <c r="B205" s="619"/>
      <c r="C205" s="546"/>
    </row>
    <row r="206" spans="2:3" x14ac:dyDescent="0.2">
      <c r="B206" s="619"/>
      <c r="C206" s="546"/>
    </row>
    <row r="207" spans="2:3" x14ac:dyDescent="0.2">
      <c r="B207" s="619"/>
      <c r="C207" s="546"/>
    </row>
    <row r="208" spans="2:3" x14ac:dyDescent="0.2">
      <c r="B208" s="619"/>
      <c r="C208" s="546"/>
    </row>
    <row r="209" spans="2:3" x14ac:dyDescent="0.2">
      <c r="B209" s="619"/>
      <c r="C209" s="546"/>
    </row>
    <row r="210" spans="2:3" x14ac:dyDescent="0.2">
      <c r="B210" s="619"/>
      <c r="C210" s="546"/>
    </row>
    <row r="211" spans="2:3" x14ac:dyDescent="0.2">
      <c r="B211" s="619"/>
      <c r="C211" s="546"/>
    </row>
    <row r="212" spans="2:3" x14ac:dyDescent="0.2">
      <c r="B212" s="619"/>
      <c r="C212" s="546"/>
    </row>
    <row r="213" spans="2:3" x14ac:dyDescent="0.2">
      <c r="B213" s="619"/>
      <c r="C213" s="546"/>
    </row>
    <row r="214" spans="2:3" x14ac:dyDescent="0.2">
      <c r="B214" s="619"/>
      <c r="C214" s="546"/>
    </row>
    <row r="215" spans="2:3" x14ac:dyDescent="0.2">
      <c r="B215" s="619"/>
      <c r="C215" s="546"/>
    </row>
    <row r="216" spans="2:3" x14ac:dyDescent="0.2">
      <c r="B216" s="619"/>
      <c r="C216" s="546"/>
    </row>
    <row r="217" spans="2:3" x14ac:dyDescent="0.2">
      <c r="B217" s="619"/>
      <c r="C217" s="546"/>
    </row>
    <row r="218" spans="2:3" x14ac:dyDescent="0.2">
      <c r="B218" s="619"/>
      <c r="C218" s="546"/>
    </row>
    <row r="219" spans="2:3" x14ac:dyDescent="0.2">
      <c r="B219" s="619"/>
      <c r="C219" s="546"/>
    </row>
    <row r="220" spans="2:3" x14ac:dyDescent="0.2">
      <c r="B220" s="619"/>
      <c r="C220" s="546"/>
    </row>
    <row r="221" spans="2:3" x14ac:dyDescent="0.2">
      <c r="B221" s="619"/>
      <c r="C221" s="546"/>
    </row>
    <row r="222" spans="2:3" x14ac:dyDescent="0.2">
      <c r="B222" s="619"/>
      <c r="C222" s="546"/>
    </row>
    <row r="223" spans="2:3" x14ac:dyDescent="0.2">
      <c r="B223" s="619"/>
      <c r="C223" s="546"/>
    </row>
    <row r="224" spans="2:3" x14ac:dyDescent="0.2">
      <c r="B224" s="619"/>
      <c r="C224" s="546"/>
    </row>
    <row r="225" spans="2:3" x14ac:dyDescent="0.2">
      <c r="B225" s="619"/>
      <c r="C225" s="546"/>
    </row>
    <row r="226" spans="2:3" x14ac:dyDescent="0.2">
      <c r="B226" s="619"/>
      <c r="C226" s="546"/>
    </row>
    <row r="227" spans="2:3" x14ac:dyDescent="0.2">
      <c r="B227" s="619"/>
      <c r="C227" s="546"/>
    </row>
    <row r="228" spans="2:3" x14ac:dyDescent="0.2">
      <c r="B228" s="619"/>
      <c r="C228" s="546"/>
    </row>
    <row r="229" spans="2:3" x14ac:dyDescent="0.2">
      <c r="B229" s="619"/>
      <c r="C229" s="546"/>
    </row>
    <row r="230" spans="2:3" x14ac:dyDescent="0.2">
      <c r="B230" s="619"/>
      <c r="C230" s="546"/>
    </row>
    <row r="231" spans="2:3" x14ac:dyDescent="0.2">
      <c r="B231" s="619"/>
      <c r="C231" s="546"/>
    </row>
    <row r="232" spans="2:3" x14ac:dyDescent="0.2">
      <c r="B232" s="619"/>
      <c r="C232" s="546"/>
    </row>
    <row r="233" spans="2:3" x14ac:dyDescent="0.2">
      <c r="B233" s="619"/>
      <c r="C233" s="546"/>
    </row>
    <row r="234" spans="2:3" x14ac:dyDescent="0.2">
      <c r="B234" s="619"/>
      <c r="C234" s="546"/>
    </row>
    <row r="235" spans="2:3" x14ac:dyDescent="0.2">
      <c r="B235" s="619"/>
      <c r="C235" s="546"/>
    </row>
    <row r="236" spans="2:3" x14ac:dyDescent="0.2">
      <c r="B236" s="619"/>
      <c r="C236" s="546"/>
    </row>
    <row r="237" spans="2:3" x14ac:dyDescent="0.2">
      <c r="B237" s="619"/>
      <c r="C237" s="546"/>
    </row>
    <row r="238" spans="2:3" x14ac:dyDescent="0.2">
      <c r="B238" s="619"/>
      <c r="C238" s="546"/>
    </row>
    <row r="239" spans="2:3" x14ac:dyDescent="0.2">
      <c r="B239" s="619"/>
      <c r="C239" s="546"/>
    </row>
    <row r="240" spans="2:3" x14ac:dyDescent="0.2">
      <c r="B240" s="619"/>
      <c r="C240" s="546"/>
    </row>
    <row r="241" spans="2:3" x14ac:dyDescent="0.2">
      <c r="B241" s="619"/>
      <c r="C241" s="546"/>
    </row>
    <row r="242" spans="2:3" x14ac:dyDescent="0.2">
      <c r="B242" s="619"/>
      <c r="C242" s="546"/>
    </row>
    <row r="243" spans="2:3" x14ac:dyDescent="0.2">
      <c r="B243" s="619"/>
      <c r="C243" s="546"/>
    </row>
    <row r="244" spans="2:3" x14ac:dyDescent="0.2">
      <c r="B244" s="619"/>
      <c r="C244" s="546"/>
    </row>
    <row r="245" spans="2:3" x14ac:dyDescent="0.2">
      <c r="B245" s="619"/>
      <c r="C245" s="546"/>
    </row>
    <row r="246" spans="2:3" x14ac:dyDescent="0.2">
      <c r="B246" s="619"/>
      <c r="C246" s="546"/>
    </row>
    <row r="247" spans="2:3" x14ac:dyDescent="0.2">
      <c r="B247" s="619"/>
      <c r="C247" s="546"/>
    </row>
    <row r="248" spans="2:3" x14ac:dyDescent="0.2">
      <c r="B248" s="619"/>
      <c r="C248" s="546"/>
    </row>
    <row r="249" spans="2:3" x14ac:dyDescent="0.2">
      <c r="B249" s="619"/>
      <c r="C249" s="546"/>
    </row>
    <row r="250" spans="2:3" x14ac:dyDescent="0.2">
      <c r="B250" s="619"/>
      <c r="C250" s="546"/>
    </row>
    <row r="251" spans="2:3" x14ac:dyDescent="0.2">
      <c r="B251" s="619"/>
      <c r="C251" s="546"/>
    </row>
    <row r="252" spans="2:3" x14ac:dyDescent="0.2">
      <c r="B252" s="619"/>
      <c r="C252" s="546"/>
    </row>
    <row r="253" spans="2:3" x14ac:dyDescent="0.2">
      <c r="B253" s="619"/>
      <c r="C253" s="546"/>
    </row>
    <row r="254" spans="2:3" x14ac:dyDescent="0.2">
      <c r="B254" s="619"/>
      <c r="C254" s="546"/>
    </row>
    <row r="255" spans="2:3" x14ac:dyDescent="0.2">
      <c r="B255" s="619"/>
      <c r="C255" s="546"/>
    </row>
    <row r="256" spans="2:3" x14ac:dyDescent="0.2">
      <c r="B256" s="619"/>
      <c r="C256" s="546"/>
    </row>
    <row r="257" spans="2:3" x14ac:dyDescent="0.2">
      <c r="B257" s="619"/>
      <c r="C257" s="546"/>
    </row>
    <row r="258" spans="2:3" x14ac:dyDescent="0.2">
      <c r="B258" s="619"/>
      <c r="C258" s="546"/>
    </row>
    <row r="259" spans="2:3" x14ac:dyDescent="0.2">
      <c r="B259" s="619"/>
      <c r="C259" s="546"/>
    </row>
    <row r="260" spans="2:3" x14ac:dyDescent="0.2">
      <c r="B260" s="619"/>
      <c r="C260" s="546"/>
    </row>
    <row r="261" spans="2:3" x14ac:dyDescent="0.2">
      <c r="B261" s="619"/>
      <c r="C261" s="546"/>
    </row>
    <row r="262" spans="2:3" x14ac:dyDescent="0.2">
      <c r="B262" s="619"/>
      <c r="C262" s="546"/>
    </row>
    <row r="263" spans="2:3" x14ac:dyDescent="0.2">
      <c r="B263" s="619"/>
      <c r="C263" s="546"/>
    </row>
    <row r="264" spans="2:3" x14ac:dyDescent="0.2">
      <c r="B264" s="619"/>
      <c r="C264" s="546"/>
    </row>
    <row r="265" spans="2:3" x14ac:dyDescent="0.2">
      <c r="B265" s="619"/>
      <c r="C265" s="546"/>
    </row>
    <row r="266" spans="2:3" x14ac:dyDescent="0.2">
      <c r="B266" s="619"/>
      <c r="C266" s="546"/>
    </row>
    <row r="267" spans="2:3" x14ac:dyDescent="0.2">
      <c r="B267" s="619"/>
      <c r="C267" s="546"/>
    </row>
    <row r="268" spans="2:3" x14ac:dyDescent="0.2">
      <c r="B268" s="619"/>
      <c r="C268" s="546"/>
    </row>
    <row r="269" spans="2:3" x14ac:dyDescent="0.2">
      <c r="B269" s="619"/>
      <c r="C269" s="546"/>
    </row>
    <row r="270" spans="2:3" x14ac:dyDescent="0.2">
      <c r="B270" s="619"/>
      <c r="C270" s="546"/>
    </row>
    <row r="271" spans="2:3" x14ac:dyDescent="0.2">
      <c r="B271" s="619"/>
      <c r="C271" s="546"/>
    </row>
    <row r="272" spans="2:3" x14ac:dyDescent="0.2">
      <c r="B272" s="619"/>
      <c r="C272" s="546"/>
    </row>
    <row r="273" spans="2:3" x14ac:dyDescent="0.2">
      <c r="B273" s="619"/>
      <c r="C273" s="546"/>
    </row>
    <row r="274" spans="2:3" x14ac:dyDescent="0.2">
      <c r="B274" s="619"/>
      <c r="C274" s="546"/>
    </row>
    <row r="275" spans="2:3" x14ac:dyDescent="0.2">
      <c r="B275" s="619"/>
      <c r="C275" s="546"/>
    </row>
    <row r="276" spans="2:3" x14ac:dyDescent="0.2">
      <c r="B276" s="619"/>
      <c r="C276" s="546"/>
    </row>
    <row r="277" spans="2:3" x14ac:dyDescent="0.2">
      <c r="B277" s="619"/>
      <c r="C277" s="546"/>
    </row>
    <row r="278" spans="2:3" x14ac:dyDescent="0.2">
      <c r="B278" s="619"/>
      <c r="C278" s="546"/>
    </row>
    <row r="279" spans="2:3" x14ac:dyDescent="0.2">
      <c r="B279" s="619"/>
      <c r="C279" s="546"/>
    </row>
    <row r="280" spans="2:3" x14ac:dyDescent="0.2">
      <c r="B280" s="619"/>
      <c r="C280" s="546"/>
    </row>
    <row r="281" spans="2:3" x14ac:dyDescent="0.2">
      <c r="B281" s="619"/>
      <c r="C281" s="546"/>
    </row>
    <row r="282" spans="2:3" x14ac:dyDescent="0.2">
      <c r="B282" s="619"/>
      <c r="C282" s="546"/>
    </row>
    <row r="283" spans="2:3" x14ac:dyDescent="0.2">
      <c r="B283" s="619"/>
      <c r="C283" s="546"/>
    </row>
    <row r="284" spans="2:3" x14ac:dyDescent="0.2">
      <c r="B284" s="619"/>
      <c r="C284" s="546"/>
    </row>
    <row r="285" spans="2:3" x14ac:dyDescent="0.2">
      <c r="B285" s="619"/>
      <c r="C285" s="546"/>
    </row>
    <row r="286" spans="2:3" x14ac:dyDescent="0.2">
      <c r="B286" s="619"/>
      <c r="C286" s="546"/>
    </row>
    <row r="287" spans="2:3" x14ac:dyDescent="0.2">
      <c r="B287" s="619"/>
      <c r="C287" s="546"/>
    </row>
    <row r="288" spans="2:3" x14ac:dyDescent="0.2">
      <c r="B288" s="619"/>
      <c r="C288" s="546"/>
    </row>
    <row r="289" spans="2:3" x14ac:dyDescent="0.2">
      <c r="B289" s="619"/>
      <c r="C289" s="546"/>
    </row>
    <row r="290" spans="2:3" x14ac:dyDescent="0.2">
      <c r="B290" s="619"/>
      <c r="C290" s="546"/>
    </row>
    <row r="291" spans="2:3" x14ac:dyDescent="0.2">
      <c r="B291" s="619"/>
      <c r="C291" s="546"/>
    </row>
    <row r="292" spans="2:3" x14ac:dyDescent="0.2">
      <c r="B292" s="619"/>
      <c r="C292" s="546"/>
    </row>
    <row r="293" spans="2:3" x14ac:dyDescent="0.2">
      <c r="B293" s="619"/>
      <c r="C293" s="546"/>
    </row>
    <row r="294" spans="2:3" x14ac:dyDescent="0.2">
      <c r="B294" s="619"/>
      <c r="C294" s="546"/>
    </row>
    <row r="295" spans="2:3" x14ac:dyDescent="0.2">
      <c r="B295" s="619"/>
      <c r="C295" s="546"/>
    </row>
    <row r="296" spans="2:3" x14ac:dyDescent="0.2">
      <c r="B296" s="619"/>
      <c r="C296" s="546"/>
    </row>
    <row r="297" spans="2:3" x14ac:dyDescent="0.2">
      <c r="B297" s="619"/>
      <c r="C297" s="546"/>
    </row>
    <row r="298" spans="2:3" x14ac:dyDescent="0.2">
      <c r="B298" s="619"/>
      <c r="C298" s="546"/>
    </row>
    <row r="299" spans="2:3" x14ac:dyDescent="0.2">
      <c r="B299" s="619"/>
      <c r="C299" s="546"/>
    </row>
    <row r="300" spans="2:3" x14ac:dyDescent="0.2">
      <c r="B300" s="619"/>
      <c r="C300" s="546"/>
    </row>
    <row r="301" spans="2:3" x14ac:dyDescent="0.2">
      <c r="B301" s="619"/>
      <c r="C301" s="546"/>
    </row>
    <row r="302" spans="2:3" x14ac:dyDescent="0.2">
      <c r="B302" s="619"/>
      <c r="C302" s="546"/>
    </row>
    <row r="303" spans="2:3" x14ac:dyDescent="0.2">
      <c r="B303" s="619"/>
      <c r="C303" s="546"/>
    </row>
    <row r="304" spans="2:3" x14ac:dyDescent="0.2">
      <c r="B304" s="619"/>
      <c r="C304" s="546"/>
    </row>
    <row r="305" spans="2:3" x14ac:dyDescent="0.2">
      <c r="B305" s="619"/>
      <c r="C305" s="546"/>
    </row>
    <row r="306" spans="2:3" x14ac:dyDescent="0.2">
      <c r="B306" s="619"/>
      <c r="C306" s="546"/>
    </row>
    <row r="307" spans="2:3" x14ac:dyDescent="0.2">
      <c r="B307" s="619"/>
      <c r="C307" s="546"/>
    </row>
    <row r="308" spans="2:3" x14ac:dyDescent="0.2">
      <c r="B308" s="619"/>
      <c r="C308" s="546"/>
    </row>
    <row r="309" spans="2:3" x14ac:dyDescent="0.2">
      <c r="B309" s="619"/>
      <c r="C309" s="546"/>
    </row>
    <row r="310" spans="2:3" x14ac:dyDescent="0.2">
      <c r="B310" s="619"/>
      <c r="C310" s="546"/>
    </row>
    <row r="311" spans="2:3" x14ac:dyDescent="0.2">
      <c r="B311" s="619"/>
      <c r="C311" s="546"/>
    </row>
    <row r="312" spans="2:3" x14ac:dyDescent="0.2">
      <c r="B312" s="619"/>
      <c r="C312" s="546"/>
    </row>
    <row r="313" spans="2:3" x14ac:dyDescent="0.2">
      <c r="B313" s="619"/>
      <c r="C313" s="546"/>
    </row>
    <row r="314" spans="2:3" x14ac:dyDescent="0.2">
      <c r="B314" s="619"/>
      <c r="C314" s="546"/>
    </row>
    <row r="315" spans="2:3" x14ac:dyDescent="0.2">
      <c r="B315" s="619"/>
      <c r="C315" s="546"/>
    </row>
    <row r="316" spans="2:3" x14ac:dyDescent="0.2">
      <c r="B316" s="619"/>
      <c r="C316" s="546"/>
    </row>
    <row r="317" spans="2:3" x14ac:dyDescent="0.2">
      <c r="B317" s="619"/>
      <c r="C317" s="546"/>
    </row>
    <row r="318" spans="2:3" x14ac:dyDescent="0.2">
      <c r="B318" s="619"/>
      <c r="C318" s="546"/>
    </row>
    <row r="319" spans="2:3" x14ac:dyDescent="0.2">
      <c r="B319" s="619"/>
      <c r="C319" s="546"/>
    </row>
    <row r="320" spans="2:3" x14ac:dyDescent="0.2">
      <c r="B320" s="619"/>
      <c r="C320" s="546"/>
    </row>
    <row r="321" spans="2:3" x14ac:dyDescent="0.2">
      <c r="B321" s="619"/>
      <c r="C321" s="546"/>
    </row>
    <row r="322" spans="2:3" x14ac:dyDescent="0.2">
      <c r="B322" s="619"/>
      <c r="C322" s="546"/>
    </row>
    <row r="323" spans="2:3" x14ac:dyDescent="0.2">
      <c r="B323" s="619"/>
      <c r="C323" s="546"/>
    </row>
    <row r="324" spans="2:3" x14ac:dyDescent="0.2">
      <c r="B324" s="619"/>
      <c r="C324" s="546"/>
    </row>
    <row r="325" spans="2:3" x14ac:dyDescent="0.2">
      <c r="B325" s="619"/>
      <c r="C325" s="546"/>
    </row>
    <row r="326" spans="2:3" x14ac:dyDescent="0.2">
      <c r="B326" s="619"/>
      <c r="C326" s="546"/>
    </row>
    <row r="327" spans="2:3" x14ac:dyDescent="0.2">
      <c r="B327" s="619"/>
      <c r="C327" s="546"/>
    </row>
    <row r="328" spans="2:3" x14ac:dyDescent="0.2">
      <c r="B328" s="619"/>
      <c r="C328" s="546"/>
    </row>
    <row r="329" spans="2:3" x14ac:dyDescent="0.2">
      <c r="B329" s="619"/>
      <c r="C329" s="546"/>
    </row>
    <row r="330" spans="2:3" x14ac:dyDescent="0.2">
      <c r="B330" s="619"/>
      <c r="C330" s="546"/>
    </row>
    <row r="331" spans="2:3" x14ac:dyDescent="0.2">
      <c r="B331" s="619"/>
      <c r="C331" s="546"/>
    </row>
    <row r="332" spans="2:3" x14ac:dyDescent="0.2">
      <c r="B332" s="619"/>
      <c r="C332" s="546"/>
    </row>
    <row r="333" spans="2:3" x14ac:dyDescent="0.2">
      <c r="B333" s="619"/>
      <c r="C333" s="546"/>
    </row>
    <row r="334" spans="2:3" x14ac:dyDescent="0.2">
      <c r="B334" s="619"/>
      <c r="C334" s="546"/>
    </row>
    <row r="335" spans="2:3" x14ac:dyDescent="0.2">
      <c r="B335" s="619"/>
      <c r="C335" s="546"/>
    </row>
    <row r="336" spans="2:3" x14ac:dyDescent="0.2">
      <c r="B336" s="619"/>
      <c r="C336" s="546"/>
    </row>
    <row r="337" spans="2:3" x14ac:dyDescent="0.2">
      <c r="B337" s="619"/>
      <c r="C337" s="546"/>
    </row>
    <row r="338" spans="2:3" x14ac:dyDescent="0.2">
      <c r="B338" s="619"/>
      <c r="C338" s="546"/>
    </row>
    <row r="339" spans="2:3" x14ac:dyDescent="0.2">
      <c r="B339" s="619"/>
      <c r="C339" s="546"/>
    </row>
    <row r="340" spans="2:3" x14ac:dyDescent="0.2">
      <c r="B340" s="619"/>
      <c r="C340" s="546"/>
    </row>
    <row r="341" spans="2:3" x14ac:dyDescent="0.2">
      <c r="B341" s="619"/>
      <c r="C341" s="546"/>
    </row>
    <row r="342" spans="2:3" x14ac:dyDescent="0.2">
      <c r="B342" s="619"/>
      <c r="C342" s="546"/>
    </row>
    <row r="343" spans="2:3" x14ac:dyDescent="0.2">
      <c r="B343" s="619"/>
      <c r="C343" s="546"/>
    </row>
    <row r="344" spans="2:3" x14ac:dyDescent="0.2">
      <c r="B344" s="619"/>
      <c r="C344" s="546"/>
    </row>
    <row r="345" spans="2:3" x14ac:dyDescent="0.2">
      <c r="B345" s="619"/>
      <c r="C345" s="546"/>
    </row>
    <row r="346" spans="2:3" x14ac:dyDescent="0.2">
      <c r="B346" s="619"/>
      <c r="C346" s="546"/>
    </row>
    <row r="347" spans="2:3" x14ac:dyDescent="0.2">
      <c r="B347" s="619"/>
      <c r="C347" s="546"/>
    </row>
    <row r="348" spans="2:3" x14ac:dyDescent="0.2">
      <c r="B348" s="619"/>
      <c r="C348" s="546"/>
    </row>
    <row r="349" spans="2:3" x14ac:dyDescent="0.2">
      <c r="B349" s="619"/>
      <c r="C349" s="546"/>
    </row>
    <row r="350" spans="2:3" x14ac:dyDescent="0.2">
      <c r="B350" s="619"/>
      <c r="C350" s="546"/>
    </row>
    <row r="351" spans="2:3" x14ac:dyDescent="0.2">
      <c r="B351" s="619"/>
      <c r="C351" s="546"/>
    </row>
    <row r="352" spans="2:3" x14ac:dyDescent="0.2">
      <c r="B352" s="619"/>
      <c r="C352" s="546"/>
    </row>
    <row r="353" spans="2:3" x14ac:dyDescent="0.2">
      <c r="B353" s="619"/>
      <c r="C353" s="546"/>
    </row>
    <row r="354" spans="2:3" x14ac:dyDescent="0.2">
      <c r="B354" s="619"/>
      <c r="C354" s="546"/>
    </row>
    <row r="355" spans="2:3" x14ac:dyDescent="0.2">
      <c r="B355" s="619"/>
      <c r="C355" s="546"/>
    </row>
    <row r="356" spans="2:3" x14ac:dyDescent="0.2">
      <c r="B356" s="619"/>
      <c r="C356" s="546"/>
    </row>
    <row r="357" spans="2:3" x14ac:dyDescent="0.2">
      <c r="B357" s="619"/>
      <c r="C357" s="546"/>
    </row>
    <row r="358" spans="2:3" x14ac:dyDescent="0.2">
      <c r="B358" s="619"/>
      <c r="C358" s="546"/>
    </row>
    <row r="359" spans="2:3" x14ac:dyDescent="0.2">
      <c r="B359" s="619"/>
      <c r="C359" s="546"/>
    </row>
    <row r="360" spans="2:3" x14ac:dyDescent="0.2">
      <c r="B360" s="619"/>
      <c r="C360" s="546"/>
    </row>
    <row r="361" spans="2:3" x14ac:dyDescent="0.2">
      <c r="B361" s="619"/>
      <c r="C361" s="546"/>
    </row>
    <row r="362" spans="2:3" x14ac:dyDescent="0.2">
      <c r="B362" s="619"/>
      <c r="C362" s="546"/>
    </row>
  </sheetData>
  <mergeCells count="12">
    <mergeCell ref="Q86:S86"/>
    <mergeCell ref="B17:C17"/>
    <mergeCell ref="B41:B42"/>
    <mergeCell ref="B58:B59"/>
    <mergeCell ref="C58:C59"/>
    <mergeCell ref="D58:D59"/>
    <mergeCell ref="E58:F58"/>
    <mergeCell ref="B65:B66"/>
    <mergeCell ref="C65:C66"/>
    <mergeCell ref="D65:D66"/>
    <mergeCell ref="E65:F65"/>
    <mergeCell ref="B86:B87"/>
  </mergeCells>
  <pageMargins left="0.511811024" right="0.511811024" top="0.78740157499999996" bottom="0.78740157499999996" header="0.31496062000000002" footer="0.31496062000000002"/>
  <pageSetup paperSize="9" scale="60" orientation="landscape" horizontalDpi="360" verticalDpi="36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N348"/>
  <sheetViews>
    <sheetView showGridLines="0" zoomScale="110" zoomScaleNormal="110" workbookViewId="0">
      <selection activeCell="C83" sqref="C83"/>
    </sheetView>
  </sheetViews>
  <sheetFormatPr defaultColWidth="12.85546875" defaultRowHeight="12.75" x14ac:dyDescent="0.2"/>
  <cols>
    <col min="1" max="1" width="13.140625" style="509" customWidth="1"/>
    <col min="2" max="2" width="24.7109375" style="509" customWidth="1"/>
    <col min="3" max="3" width="20.7109375" style="509" customWidth="1"/>
    <col min="4" max="4" width="13" style="509" customWidth="1"/>
    <col min="5" max="5" width="18.85546875" style="509" customWidth="1"/>
    <col min="6" max="7" width="16.7109375" style="509" customWidth="1"/>
    <col min="8" max="8" width="20.28515625" style="509" bestFit="1" customWidth="1"/>
    <col min="9" max="9" width="23" style="509" customWidth="1"/>
    <col min="10" max="10" width="15.140625" style="509" customWidth="1"/>
    <col min="11" max="11" width="14.140625" style="509" customWidth="1"/>
    <col min="12" max="12" width="17" style="509" customWidth="1"/>
    <col min="13" max="13" width="16.42578125" style="509" customWidth="1"/>
    <col min="14" max="14" width="16.28515625" style="509" customWidth="1"/>
    <col min="15" max="15" width="15.5703125" style="509" customWidth="1"/>
    <col min="16" max="16" width="15.140625" style="509" customWidth="1"/>
    <col min="17" max="17" width="15.5703125" style="509" customWidth="1"/>
    <col min="18" max="18" width="16" style="509" customWidth="1"/>
    <col min="19" max="19" width="12.85546875" style="509"/>
    <col min="20" max="20" width="15.28515625" style="509" customWidth="1"/>
    <col min="21" max="21" width="14.140625" style="509" bestFit="1" customWidth="1"/>
    <col min="22" max="22" width="15.28515625" style="509" customWidth="1"/>
    <col min="23" max="23" width="15.5703125" style="509" bestFit="1" customWidth="1"/>
    <col min="24" max="24" width="15.7109375" style="509" customWidth="1"/>
    <col min="25" max="25" width="12.85546875" style="509"/>
    <col min="26" max="26" width="15.5703125" style="509" bestFit="1" customWidth="1"/>
    <col min="27" max="27" width="14.140625" style="509" bestFit="1" customWidth="1"/>
    <col min="28" max="28" width="16" style="509" customWidth="1"/>
    <col min="29" max="29" width="15.5703125" style="509" bestFit="1" customWidth="1"/>
    <col min="30" max="30" width="14.140625" style="509" bestFit="1" customWidth="1"/>
    <col min="31" max="31" width="12.85546875" style="509"/>
    <col min="32" max="32" width="15.5703125" style="509" bestFit="1" customWidth="1"/>
    <col min="33" max="33" width="14.140625" style="509" bestFit="1" customWidth="1"/>
    <col min="34" max="34" width="21.28515625" style="509" customWidth="1"/>
    <col min="35" max="35" width="15.5703125" style="509" bestFit="1" customWidth="1"/>
    <col min="36" max="36" width="14.140625" style="509" bestFit="1" customWidth="1"/>
    <col min="37" max="37" width="12.85546875" style="509"/>
    <col min="38" max="38" width="15.5703125" style="509" bestFit="1" customWidth="1"/>
    <col min="39" max="39" width="14.140625" style="509" bestFit="1" customWidth="1"/>
    <col min="40" max="40" width="16.28515625" style="509" customWidth="1"/>
    <col min="41" max="41" width="15.5703125" style="509" bestFit="1" customWidth="1"/>
    <col min="42" max="42" width="14.140625" style="509" bestFit="1" customWidth="1"/>
    <col min="43" max="43" width="12.85546875" style="509"/>
    <col min="44" max="44" width="15.5703125" style="509" bestFit="1" customWidth="1"/>
    <col min="45" max="45" width="14.140625" style="509" bestFit="1" customWidth="1"/>
    <col min="46" max="46" width="12.85546875" style="509"/>
    <col min="47" max="47" width="18.140625" style="509" customWidth="1"/>
    <col min="48" max="49" width="12.85546875" style="509"/>
    <col min="50" max="50" width="15.5703125" style="509" bestFit="1" customWidth="1"/>
    <col min="51" max="51" width="14.140625" style="509" bestFit="1" customWidth="1"/>
    <col min="52" max="53" width="12.85546875" style="509"/>
    <col min="54" max="55" width="23" style="509" customWidth="1"/>
    <col min="56" max="56" width="15.5703125" style="509" customWidth="1"/>
    <col min="57" max="58" width="15.42578125" style="509" customWidth="1"/>
    <col min="59" max="59" width="15.5703125" style="509" customWidth="1"/>
    <col min="60" max="60" width="14.140625" style="509" customWidth="1"/>
    <col min="61" max="61" width="12.85546875" style="509"/>
    <col min="62" max="62" width="18" style="509" customWidth="1"/>
    <col min="63" max="63" width="22.28515625" style="509" customWidth="1"/>
    <col min="64" max="64" width="12.85546875" style="509"/>
    <col min="65" max="65" width="15.5703125" style="509" customWidth="1"/>
    <col min="66" max="66" width="14.140625" style="509" customWidth="1"/>
    <col min="67" max="67" width="12.85546875" style="509"/>
    <col min="68" max="68" width="15.5703125" style="509" customWidth="1"/>
    <col min="69" max="69" width="17.140625" style="509" customWidth="1"/>
    <col min="70" max="70" width="19" style="509" customWidth="1"/>
    <col min="71" max="71" width="19.85546875" style="509" customWidth="1"/>
    <col min="72" max="73" width="12.85546875" style="509"/>
    <col min="74" max="74" width="15.5703125" style="509" customWidth="1"/>
    <col min="75" max="76" width="12.85546875" style="509"/>
    <col min="77" max="77" width="15.5703125" style="509" customWidth="1"/>
    <col min="78" max="79" width="12.85546875" style="509"/>
    <col min="80" max="80" width="15.5703125" style="509" customWidth="1"/>
    <col min="81" max="82" width="12.85546875" style="509"/>
    <col min="83" max="83" width="15.5703125" style="509" customWidth="1"/>
    <col min="84" max="85" width="12.85546875" style="509"/>
    <col min="86" max="86" width="15.5703125" style="509" customWidth="1"/>
    <col min="87" max="88" width="12.85546875" style="509"/>
    <col min="89" max="89" width="15.5703125" style="509" customWidth="1"/>
    <col min="90" max="16384" width="12.85546875" style="509"/>
  </cols>
  <sheetData>
    <row r="1" spans="1:10" x14ac:dyDescent="0.2">
      <c r="A1" s="108" t="s">
        <v>381</v>
      </c>
      <c r="B1" s="107"/>
      <c r="C1" s="107"/>
      <c r="D1" s="107"/>
      <c r="E1" s="107"/>
      <c r="F1" s="107"/>
      <c r="G1" s="107"/>
      <c r="H1" s="107"/>
      <c r="I1" s="107"/>
    </row>
    <row r="2" spans="1:10" x14ac:dyDescent="0.2">
      <c r="A2" s="510"/>
      <c r="B2" s="511" t="s">
        <v>3</v>
      </c>
      <c r="C2" s="510">
        <v>2020</v>
      </c>
      <c r="D2" s="510">
        <v>2021</v>
      </c>
      <c r="E2" s="510">
        <v>2022</v>
      </c>
      <c r="F2" s="510">
        <v>2023</v>
      </c>
      <c r="G2" s="512">
        <v>2024</v>
      </c>
      <c r="H2" s="511" t="s">
        <v>41</v>
      </c>
      <c r="I2" s="511" t="s">
        <v>238</v>
      </c>
    </row>
    <row r="3" spans="1:10" x14ac:dyDescent="0.2">
      <c r="A3" s="513" t="s">
        <v>1</v>
      </c>
      <c r="B3" s="514">
        <f>SUM(B4:B5)</f>
        <v>1</v>
      </c>
      <c r="C3" s="443">
        <f>'FC E-S'!C12</f>
        <v>1017168.7984476764</v>
      </c>
      <c r="D3" s="443">
        <f>'FC E-S'!D12</f>
        <v>1014389.6487251415</v>
      </c>
      <c r="E3" s="443">
        <f>'FC E-S'!E12</f>
        <v>1014389.6487251415</v>
      </c>
      <c r="F3" s="443">
        <f>'FC E-S'!F12</f>
        <v>1014389.6487251415</v>
      </c>
      <c r="G3" s="443">
        <f>'FC E-S'!G12</f>
        <v>1017168.7984476764</v>
      </c>
      <c r="H3" s="515">
        <f>SUM(C3:G3)</f>
        <v>5077506.5430707773</v>
      </c>
      <c r="I3" s="516">
        <f>AVERAGE(C3:G3)</f>
        <v>1015501.3086141555</v>
      </c>
    </row>
    <row r="4" spans="1:10" ht="14.25" x14ac:dyDescent="0.2">
      <c r="A4" s="513" t="s">
        <v>279</v>
      </c>
      <c r="B4" s="517">
        <v>0.5</v>
      </c>
      <c r="C4" s="446">
        <f>C$3*$B$4</f>
        <v>508584.39922383818</v>
      </c>
      <c r="D4" s="446">
        <f>D$3*$B$4</f>
        <v>507194.82436257077</v>
      </c>
      <c r="E4" s="446">
        <f>E$3*$B$4</f>
        <v>507194.82436257077</v>
      </c>
      <c r="F4" s="446">
        <f>F$3*$B$4</f>
        <v>507194.82436257077</v>
      </c>
      <c r="G4" s="446">
        <f>G$3*$B$4</f>
        <v>508584.39922383818</v>
      </c>
      <c r="H4" s="518">
        <f>SUM(C4:G4)</f>
        <v>2538753.2715353887</v>
      </c>
      <c r="I4" s="279">
        <f>AVERAGE(C4:G4)</f>
        <v>507750.65430707776</v>
      </c>
    </row>
    <row r="5" spans="1:10" ht="14.25" x14ac:dyDescent="0.2">
      <c r="A5" s="513" t="s">
        <v>280</v>
      </c>
      <c r="B5" s="519">
        <f>1-B4</f>
        <v>0.5</v>
      </c>
      <c r="C5" s="446">
        <f>C$3*$B$5</f>
        <v>508584.39922383818</v>
      </c>
      <c r="D5" s="446">
        <f>D$3*$B$5</f>
        <v>507194.82436257077</v>
      </c>
      <c r="E5" s="446">
        <f>E$3*$B$5</f>
        <v>507194.82436257077</v>
      </c>
      <c r="F5" s="446">
        <f>F$3*$B$5</f>
        <v>507194.82436257077</v>
      </c>
      <c r="G5" s="446">
        <f>G$3*$B$5</f>
        <v>508584.39922383818</v>
      </c>
      <c r="H5" s="518">
        <f>SUM(C5:G5)</f>
        <v>2538753.2715353887</v>
      </c>
      <c r="I5" s="279">
        <f>AVERAGE(C5:G5)</f>
        <v>507750.65430707776</v>
      </c>
    </row>
    <row r="6" spans="1:10" ht="15" x14ac:dyDescent="0.2">
      <c r="A6" s="520"/>
    </row>
    <row r="7" spans="1:10" x14ac:dyDescent="0.2">
      <c r="A7" s="108" t="s">
        <v>381</v>
      </c>
      <c r="B7" s="107"/>
      <c r="C7" s="107"/>
      <c r="D7" s="107"/>
      <c r="E7" s="107"/>
      <c r="F7" s="107"/>
      <c r="G7" s="107"/>
      <c r="H7" s="107"/>
      <c r="I7" s="107"/>
    </row>
    <row r="8" spans="1:10" x14ac:dyDescent="0.2">
      <c r="A8" s="510"/>
      <c r="B8" s="511" t="s">
        <v>3</v>
      </c>
      <c r="C8" s="510">
        <v>2020</v>
      </c>
      <c r="D8" s="510">
        <v>2021</v>
      </c>
      <c r="E8" s="510">
        <v>2022</v>
      </c>
      <c r="F8" s="510">
        <v>2023</v>
      </c>
      <c r="G8" s="512">
        <v>2024</v>
      </c>
      <c r="H8" s="511" t="s">
        <v>41</v>
      </c>
      <c r="I8" s="511" t="s">
        <v>238</v>
      </c>
    </row>
    <row r="9" spans="1:10" x14ac:dyDescent="0.2">
      <c r="A9" s="513" t="s">
        <v>1</v>
      </c>
      <c r="B9" s="514">
        <f>B10+B13</f>
        <v>1</v>
      </c>
      <c r="C9" s="443">
        <f>C10+C13</f>
        <v>1017168.7984476764</v>
      </c>
      <c r="D9" s="443">
        <f t="shared" ref="D9:G9" si="0">D10+D13</f>
        <v>1014389.6487251415</v>
      </c>
      <c r="E9" s="443">
        <f t="shared" si="0"/>
        <v>1014389.6487251415</v>
      </c>
      <c r="F9" s="443">
        <f t="shared" si="0"/>
        <v>1014389.6487251415</v>
      </c>
      <c r="G9" s="443">
        <f t="shared" si="0"/>
        <v>1017168.7984476764</v>
      </c>
      <c r="H9" s="515">
        <f>SUM(C9:G9)</f>
        <v>5077506.5430707773</v>
      </c>
      <c r="I9" s="521">
        <f>AVERAGE(C9:G9)</f>
        <v>1015501.3086141555</v>
      </c>
    </row>
    <row r="10" spans="1:10" x14ac:dyDescent="0.2">
      <c r="A10" s="513" t="s">
        <v>391</v>
      </c>
      <c r="B10" s="517">
        <v>0.9</v>
      </c>
      <c r="C10" s="522">
        <f>$B$10*C3</f>
        <v>915451.91860290873</v>
      </c>
      <c r="D10" s="522">
        <f t="shared" ref="D10:G10" si="1">$B$10*D3</f>
        <v>912950.68385262741</v>
      </c>
      <c r="E10" s="522">
        <f t="shared" si="1"/>
        <v>912950.68385262741</v>
      </c>
      <c r="F10" s="522">
        <f t="shared" si="1"/>
        <v>912950.68385262741</v>
      </c>
      <c r="G10" s="522">
        <f t="shared" si="1"/>
        <v>915451.91860290873</v>
      </c>
      <c r="H10" s="523">
        <f>SUM(C10:G10)</f>
        <v>4569755.8887636997</v>
      </c>
      <c r="I10" s="524">
        <f>AVERAGE(C10:G10)</f>
        <v>913951.17775273998</v>
      </c>
      <c r="J10" s="536"/>
    </row>
    <row r="11" spans="1:10" ht="14.25" x14ac:dyDescent="0.2">
      <c r="A11" s="513" t="s">
        <v>279</v>
      </c>
      <c r="B11" s="517">
        <f>$B$4</f>
        <v>0.5</v>
      </c>
      <c r="C11" s="446">
        <f>$B$11*C10</f>
        <v>457725.95930145436</v>
      </c>
      <c r="D11" s="446">
        <f t="shared" ref="D11:G11" si="2">$B$11*D10</f>
        <v>456475.3419263137</v>
      </c>
      <c r="E11" s="446">
        <f t="shared" si="2"/>
        <v>456475.3419263137</v>
      </c>
      <c r="F11" s="446">
        <f t="shared" si="2"/>
        <v>456475.3419263137</v>
      </c>
      <c r="G11" s="446">
        <f t="shared" si="2"/>
        <v>457725.95930145436</v>
      </c>
      <c r="H11" s="518">
        <f t="shared" ref="H11:H15" si="3">SUM(C11:G11)</f>
        <v>2284877.9443818498</v>
      </c>
      <c r="I11" s="279">
        <f t="shared" ref="I11:I15" si="4">AVERAGE(C11:G11)</f>
        <v>456975.58887636999</v>
      </c>
    </row>
    <row r="12" spans="1:10" ht="14.25" x14ac:dyDescent="0.2">
      <c r="A12" s="513" t="s">
        <v>280</v>
      </c>
      <c r="B12" s="519">
        <f>1-B11</f>
        <v>0.5</v>
      </c>
      <c r="C12" s="446">
        <f>$B$12*C10</f>
        <v>457725.95930145436</v>
      </c>
      <c r="D12" s="446">
        <f t="shared" ref="D12:G12" si="5">$B$12*D10</f>
        <v>456475.3419263137</v>
      </c>
      <c r="E12" s="446">
        <f t="shared" si="5"/>
        <v>456475.3419263137</v>
      </c>
      <c r="F12" s="446">
        <f t="shared" si="5"/>
        <v>456475.3419263137</v>
      </c>
      <c r="G12" s="446">
        <f t="shared" si="5"/>
        <v>457725.95930145436</v>
      </c>
      <c r="H12" s="518">
        <f t="shared" si="3"/>
        <v>2284877.9443818498</v>
      </c>
      <c r="I12" s="279">
        <f t="shared" si="4"/>
        <v>456975.58887636999</v>
      </c>
    </row>
    <row r="13" spans="1:10" x14ac:dyDescent="0.2">
      <c r="A13" s="513" t="s">
        <v>392</v>
      </c>
      <c r="B13" s="519">
        <f>1-B10</f>
        <v>9.9999999999999978E-2</v>
      </c>
      <c r="C13" s="522">
        <f>$B$13*C3</f>
        <v>101716.87984476761</v>
      </c>
      <c r="D13" s="522">
        <f t="shared" ref="D13:G13" si="6">$B$13*D3</f>
        <v>101438.96487251413</v>
      </c>
      <c r="E13" s="522">
        <f t="shared" si="6"/>
        <v>101438.96487251413</v>
      </c>
      <c r="F13" s="522">
        <f t="shared" si="6"/>
        <v>101438.96487251413</v>
      </c>
      <c r="G13" s="522">
        <f t="shared" si="6"/>
        <v>101716.87984476761</v>
      </c>
      <c r="H13" s="523">
        <f t="shared" si="3"/>
        <v>507750.65430707764</v>
      </c>
      <c r="I13" s="524">
        <f t="shared" si="4"/>
        <v>101550.13086141553</v>
      </c>
    </row>
    <row r="14" spans="1:10" ht="14.25" x14ac:dyDescent="0.2">
      <c r="A14" s="513" t="s">
        <v>279</v>
      </c>
      <c r="B14" s="517">
        <f>$B$4</f>
        <v>0.5</v>
      </c>
      <c r="C14" s="446">
        <f>$B$14*C13</f>
        <v>50858.439922383805</v>
      </c>
      <c r="D14" s="446">
        <f t="shared" ref="D14:G14" si="7">$B$14*D13</f>
        <v>50719.482436257065</v>
      </c>
      <c r="E14" s="446">
        <f t="shared" si="7"/>
        <v>50719.482436257065</v>
      </c>
      <c r="F14" s="446">
        <f t="shared" si="7"/>
        <v>50719.482436257065</v>
      </c>
      <c r="G14" s="446">
        <f t="shared" si="7"/>
        <v>50858.439922383805</v>
      </c>
      <c r="H14" s="518">
        <f t="shared" si="3"/>
        <v>253875.32715353882</v>
      </c>
      <c r="I14" s="279">
        <f t="shared" si="4"/>
        <v>50775.065430707764</v>
      </c>
    </row>
    <row r="15" spans="1:10" ht="14.25" x14ac:dyDescent="0.2">
      <c r="A15" s="513" t="s">
        <v>280</v>
      </c>
      <c r="B15" s="519">
        <f>1-B14</f>
        <v>0.5</v>
      </c>
      <c r="C15" s="446">
        <f>$B$15*C13</f>
        <v>50858.439922383805</v>
      </c>
      <c r="D15" s="446">
        <f t="shared" ref="D15:G15" si="8">$B$15*D13</f>
        <v>50719.482436257065</v>
      </c>
      <c r="E15" s="446">
        <f t="shared" si="8"/>
        <v>50719.482436257065</v>
      </c>
      <c r="F15" s="446">
        <f t="shared" si="8"/>
        <v>50719.482436257065</v>
      </c>
      <c r="G15" s="446">
        <f t="shared" si="8"/>
        <v>50858.439922383805</v>
      </c>
      <c r="H15" s="518">
        <f t="shared" si="3"/>
        <v>253875.32715353882</v>
      </c>
      <c r="I15" s="279">
        <f t="shared" si="4"/>
        <v>50775.065430707764</v>
      </c>
    </row>
    <row r="17" spans="2:15" ht="35.25" customHeight="1" x14ac:dyDescent="0.25">
      <c r="B17" s="681" t="s">
        <v>393</v>
      </c>
      <c r="C17" s="681"/>
      <c r="D17" s="525"/>
    </row>
    <row r="18" spans="2:15" x14ac:dyDescent="0.2">
      <c r="C18" s="526" t="s">
        <v>394</v>
      </c>
      <c r="H18" s="527"/>
    </row>
    <row r="19" spans="2:15" ht="57" customHeight="1" x14ac:dyDescent="0.2">
      <c r="B19" s="528" t="s">
        <v>395</v>
      </c>
      <c r="C19" s="529" t="s">
        <v>396</v>
      </c>
      <c r="D19" s="529" t="s">
        <v>397</v>
      </c>
      <c r="E19" s="529" t="s">
        <v>398</v>
      </c>
      <c r="F19" s="529" t="s">
        <v>399</v>
      </c>
      <c r="H19" s="528" t="s">
        <v>400</v>
      </c>
      <c r="I19" s="529" t="s">
        <v>401</v>
      </c>
      <c r="J19" s="529" t="s">
        <v>402</v>
      </c>
      <c r="K19" s="529" t="s">
        <v>403</v>
      </c>
      <c r="L19" s="529" t="s">
        <v>404</v>
      </c>
    </row>
    <row r="20" spans="2:15" x14ac:dyDescent="0.2">
      <c r="B20" s="530" t="s">
        <v>186</v>
      </c>
      <c r="C20" s="531">
        <f>C27*'Cálculo Tarifa CWD'!$J$5</f>
        <v>6629817.5999999996</v>
      </c>
      <c r="D20" s="532">
        <f>C20/$C$23</f>
        <v>0.85811577752553914</v>
      </c>
      <c r="E20" s="531">
        <f>E27*'Cálculo Tarifa CWD'!$J$5</f>
        <v>5246498.9471749878</v>
      </c>
      <c r="F20" s="532">
        <f>E20/$E$23</f>
        <v>0.8271713651980529</v>
      </c>
      <c r="G20" s="533" t="s">
        <v>248</v>
      </c>
      <c r="H20" s="534" t="s">
        <v>176</v>
      </c>
      <c r="I20" s="531">
        <f>'C. Capacidade'!N12*'Cálculo Tarifa CWD'!$J$5</f>
        <v>1373904</v>
      </c>
      <c r="J20" s="532">
        <f t="shared" ref="J20:J28" si="9">I20/$I$29</f>
        <v>0.18062160734015467</v>
      </c>
      <c r="K20" s="531">
        <f>M20*'Cálculo Tarifa CWD'!$J$5</f>
        <v>811500.85100103403</v>
      </c>
      <c r="L20" s="532">
        <f t="shared" ref="L20:L28" si="10">K20/$K$29</f>
        <v>0.12794251433965242</v>
      </c>
      <c r="M20" s="535">
        <f t="shared" ref="M20:M28" si="11">MAX(D107:H107)</f>
        <v>2220.8561877422935</v>
      </c>
      <c r="N20" s="536"/>
      <c r="O20" s="536"/>
    </row>
    <row r="21" spans="2:15" x14ac:dyDescent="0.2">
      <c r="B21" s="530" t="s">
        <v>187</v>
      </c>
      <c r="C21" s="531">
        <f>C28*'Cálculo Tarifa CWD'!$J$5</f>
        <v>1096200</v>
      </c>
      <c r="D21" s="532">
        <f>C21/$C$23</f>
        <v>0.14188422247446084</v>
      </c>
      <c r="E21" s="531">
        <f>E28*'Cálculo Tarifa CWD'!$J$5</f>
        <v>1096200</v>
      </c>
      <c r="F21" s="532">
        <f>E21/$E$23</f>
        <v>0.17282863480194705</v>
      </c>
      <c r="G21" s="533" t="s">
        <v>249</v>
      </c>
      <c r="H21" s="537" t="s">
        <v>177</v>
      </c>
      <c r="I21" s="531">
        <f>'C. Capacidade'!N13*'Cálculo Tarifa CWD'!$J$5</f>
        <v>913500</v>
      </c>
      <c r="J21" s="532">
        <f t="shared" si="9"/>
        <v>0.12009415381659219</v>
      </c>
      <c r="K21" s="531">
        <f>M21*'Cálculo Tarifa CWD'!$J$5</f>
        <v>340379.32309681631</v>
      </c>
      <c r="L21" s="532">
        <f t="shared" si="10"/>
        <v>5.3664745234112035E-2</v>
      </c>
      <c r="M21" s="535">
        <f t="shared" si="11"/>
        <v>931.5252410969249</v>
      </c>
      <c r="N21" s="536"/>
    </row>
    <row r="22" spans="2:15" x14ac:dyDescent="0.2">
      <c r="B22" s="530" t="s">
        <v>405</v>
      </c>
      <c r="C22" s="531">
        <f>C29*'Cálculo Tarifa CWD'!$J$5</f>
        <v>0</v>
      </c>
      <c r="D22" s="532">
        <f>C22/$C$23</f>
        <v>0</v>
      </c>
      <c r="E22" s="531">
        <f>E29*'Cálculo Tarifa CWD'!$J$5</f>
        <v>0</v>
      </c>
      <c r="F22" s="532">
        <f>E22/$E$23</f>
        <v>0</v>
      </c>
      <c r="G22" s="533" t="s">
        <v>250</v>
      </c>
      <c r="H22" s="534" t="s">
        <v>406</v>
      </c>
      <c r="I22" s="531">
        <f>'C. Capacidade'!N14*'Cálculo Tarifa CWD'!$J$5</f>
        <v>4129019.9999999995</v>
      </c>
      <c r="J22" s="532">
        <f t="shared" si="9"/>
        <v>0.54282557525099662</v>
      </c>
      <c r="K22" s="531">
        <f>M22*'Cálculo Tarifa CWD'!$J$5</f>
        <v>4011813.5691189663</v>
      </c>
      <c r="L22" s="532">
        <f t="shared" si="10"/>
        <v>0.63250890551975703</v>
      </c>
      <c r="M22" s="535">
        <f t="shared" si="11"/>
        <v>10979.238010725141</v>
      </c>
      <c r="N22" s="536"/>
    </row>
    <row r="23" spans="2:15" x14ac:dyDescent="0.2">
      <c r="B23" s="538" t="s">
        <v>1</v>
      </c>
      <c r="C23" s="539">
        <f>SUM(C20:C22)</f>
        <v>7726017.5999999996</v>
      </c>
      <c r="D23" s="539"/>
      <c r="E23" s="539">
        <f>SUM(E20:E22)</f>
        <v>6342698.9471749878</v>
      </c>
      <c r="F23" s="539"/>
      <c r="G23" s="533" t="s">
        <v>251</v>
      </c>
      <c r="H23" s="534" t="s">
        <v>407</v>
      </c>
      <c r="I23" s="531">
        <f>'C. Capacidade'!N15*'Cálculo Tarifa CWD'!$J$5</f>
        <v>3654</v>
      </c>
      <c r="J23" s="532">
        <f t="shared" si="9"/>
        <v>4.803766152663688E-4</v>
      </c>
      <c r="K23" s="531">
        <f>M23*'Cálculo Tarifa CWD'!$J$5</f>
        <v>0.3654</v>
      </c>
      <c r="L23" s="532">
        <f t="shared" si="10"/>
        <v>5.760954493398236E-8</v>
      </c>
      <c r="M23" s="535">
        <f t="shared" si="11"/>
        <v>1E-3</v>
      </c>
      <c r="N23" s="536"/>
    </row>
    <row r="24" spans="2:15" x14ac:dyDescent="0.2">
      <c r="C24" s="540">
        <f>C23/'Cálculo Tarifa CWD'!$J$5</f>
        <v>21144</v>
      </c>
      <c r="D24" s="541"/>
      <c r="E24" s="540">
        <f>E23/'Cálculo Tarifa CWD'!$J$5</f>
        <v>17358.234666598215</v>
      </c>
      <c r="G24" s="533" t="s">
        <v>252</v>
      </c>
      <c r="H24" s="534" t="s">
        <v>179</v>
      </c>
      <c r="I24" s="531">
        <f>'C. Capacidade'!N16*'Cálculo Tarifa CWD'!$J$5</f>
        <v>482327.99999999994</v>
      </c>
      <c r="J24" s="532">
        <f t="shared" si="9"/>
        <v>6.3409713215160673E-2</v>
      </c>
      <c r="K24" s="531">
        <f>M24*'Cálculo Tarifa CWD'!$J$5</f>
        <v>482328.00000000012</v>
      </c>
      <c r="L24" s="532">
        <f t="shared" si="10"/>
        <v>7.6044599312856731E-2</v>
      </c>
      <c r="M24" s="535">
        <f t="shared" si="11"/>
        <v>1320.0000000000005</v>
      </c>
      <c r="N24" s="536"/>
    </row>
    <row r="25" spans="2:15" x14ac:dyDescent="0.2">
      <c r="E25" s="631">
        <f>E24/C24</f>
        <v>0.82095320973317321</v>
      </c>
      <c r="G25" s="533" t="s">
        <v>253</v>
      </c>
      <c r="H25" s="534" t="s">
        <v>180</v>
      </c>
      <c r="I25" s="531">
        <f>'C. Capacidade'!N17*'Cálculo Tarifa CWD'!$J$5</f>
        <v>3654</v>
      </c>
      <c r="J25" s="532">
        <f t="shared" si="9"/>
        <v>4.803766152663688E-4</v>
      </c>
      <c r="K25" s="531">
        <f>M25*'Cálculo Tarifa CWD'!$J$5</f>
        <v>0.3654</v>
      </c>
      <c r="L25" s="532">
        <f t="shared" si="10"/>
        <v>5.760954493398236E-8</v>
      </c>
      <c r="M25" s="535">
        <f t="shared" si="11"/>
        <v>1E-3</v>
      </c>
      <c r="N25" s="536"/>
    </row>
    <row r="26" spans="2:15" x14ac:dyDescent="0.2">
      <c r="G26" s="533" t="s">
        <v>254</v>
      </c>
      <c r="H26" s="534" t="s">
        <v>408</v>
      </c>
      <c r="I26" s="531">
        <f>'C. Capacidade'!N18*'Cálculo Tarifa CWD'!$J$5</f>
        <v>449807.39999999997</v>
      </c>
      <c r="J26" s="532">
        <f t="shared" si="9"/>
        <v>5.9134361339289995E-2</v>
      </c>
      <c r="K26" s="531">
        <f>M26*'Cálculo Tarifa CWD'!$J$5</f>
        <v>449629.16775817139</v>
      </c>
      <c r="L26" s="532">
        <f t="shared" si="10"/>
        <v>7.088924943512169E-2</v>
      </c>
      <c r="M26" s="535">
        <f t="shared" si="11"/>
        <v>1230.5122270338572</v>
      </c>
      <c r="N26" s="536"/>
    </row>
    <row r="27" spans="2:15" x14ac:dyDescent="0.2">
      <c r="C27" s="540">
        <f>'C. Capacidade'!N6</f>
        <v>18144</v>
      </c>
      <c r="E27" s="540">
        <f>MAX(D100:H100)</f>
        <v>14358.234666598215</v>
      </c>
      <c r="F27" s="536"/>
      <c r="G27" s="533" t="s">
        <v>255</v>
      </c>
      <c r="H27" s="534" t="s">
        <v>409</v>
      </c>
      <c r="I27" s="531">
        <f>'C. Capacidade'!N19*'Cálculo Tarifa CWD'!$J$5</f>
        <v>247010.4</v>
      </c>
      <c r="J27" s="532">
        <f t="shared" si="9"/>
        <v>3.2473459192006532E-2</v>
      </c>
      <c r="K27" s="531">
        <f>M27*'Cálculo Tarifa CWD'!$J$5</f>
        <v>247046.94</v>
      </c>
      <c r="L27" s="532">
        <f t="shared" si="10"/>
        <v>3.8949813329865475E-2</v>
      </c>
      <c r="M27" s="535">
        <f t="shared" si="11"/>
        <v>676.1</v>
      </c>
      <c r="N27" s="536"/>
    </row>
    <row r="28" spans="2:15" x14ac:dyDescent="0.2">
      <c r="C28" s="540">
        <f>'C. Capacidade'!N7</f>
        <v>3000</v>
      </c>
      <c r="E28" s="540">
        <f>MAX(D101:H101)</f>
        <v>3000</v>
      </c>
      <c r="F28" s="536"/>
      <c r="G28" s="533" t="s">
        <v>256</v>
      </c>
      <c r="H28" s="534" t="s">
        <v>182</v>
      </c>
      <c r="I28" s="531">
        <f>'C. Capacidade'!N20*'Cálculo Tarifa CWD'!$J$5</f>
        <v>3654</v>
      </c>
      <c r="J28" s="532">
        <f t="shared" si="9"/>
        <v>4.803766152663688E-4</v>
      </c>
      <c r="K28" s="531">
        <f>M28*'Cálculo Tarifa CWD'!$J$5</f>
        <v>0.3654</v>
      </c>
      <c r="L28" s="532">
        <f t="shared" si="10"/>
        <v>5.760954493398236E-8</v>
      </c>
      <c r="M28" s="535">
        <f t="shared" si="11"/>
        <v>1E-3</v>
      </c>
      <c r="N28" s="536"/>
    </row>
    <row r="29" spans="2:15" x14ac:dyDescent="0.2">
      <c r="C29" s="542">
        <v>0</v>
      </c>
      <c r="E29" s="540">
        <f t="shared" ref="E29" si="12">MAX(D102:H102)</f>
        <v>0</v>
      </c>
      <c r="F29" s="536"/>
      <c r="H29" s="543" t="s">
        <v>1</v>
      </c>
      <c r="I29" s="544">
        <f>SUM(I20:I28)</f>
        <v>7606531.8000000007</v>
      </c>
      <c r="J29" s="539"/>
      <c r="K29" s="544">
        <f>SUM(K20:K28)</f>
        <v>6342698.9471749868</v>
      </c>
      <c r="L29" s="532"/>
      <c r="N29" s="545"/>
    </row>
    <row r="30" spans="2:15" x14ac:dyDescent="0.2">
      <c r="I30" s="541">
        <f>I29/'Cálculo Tarifa CWD'!$J$5</f>
        <v>20817.000000000004</v>
      </c>
      <c r="K30" s="541">
        <f>K29/'Cálculo Tarifa CWD'!$J$5</f>
        <v>17358.234666598215</v>
      </c>
      <c r="M30" s="546"/>
      <c r="N30" s="546"/>
    </row>
    <row r="31" spans="2:15" x14ac:dyDescent="0.2">
      <c r="J31" s="541"/>
      <c r="K31" s="547">
        <f>K30/I30</f>
        <v>0.83384900161397957</v>
      </c>
    </row>
    <row r="32" spans="2:15" x14ac:dyDescent="0.2">
      <c r="J32" s="541"/>
      <c r="K32" s="546"/>
    </row>
    <row r="33" spans="1:83" x14ac:dyDescent="0.2">
      <c r="D33" s="548">
        <v>1</v>
      </c>
      <c r="E33" s="548">
        <v>2</v>
      </c>
      <c r="F33" s="548">
        <v>3</v>
      </c>
      <c r="G33" s="548">
        <v>4</v>
      </c>
      <c r="H33" s="548">
        <v>5</v>
      </c>
      <c r="I33" s="548">
        <v>6</v>
      </c>
      <c r="J33" s="548">
        <v>7</v>
      </c>
      <c r="K33" s="548">
        <v>8</v>
      </c>
      <c r="L33" s="548">
        <v>9</v>
      </c>
      <c r="M33" s="548"/>
      <c r="N33" s="548"/>
      <c r="O33" s="548"/>
      <c r="P33" s="548"/>
      <c r="Q33" s="548"/>
      <c r="R33" s="548"/>
      <c r="S33" s="548"/>
      <c r="T33" s="548"/>
      <c r="U33" s="548"/>
      <c r="V33" s="548"/>
      <c r="W33" s="548"/>
      <c r="X33" s="548"/>
      <c r="Y33" s="548"/>
      <c r="Z33" s="548"/>
      <c r="AA33" s="548"/>
      <c r="AB33" s="548"/>
      <c r="AC33" s="548"/>
      <c r="AD33" s="548"/>
      <c r="AE33" s="548"/>
      <c r="AF33" s="548"/>
      <c r="AG33" s="548"/>
      <c r="AH33" s="548"/>
      <c r="AI33" s="548"/>
      <c r="AJ33" s="548"/>
      <c r="AK33" s="548"/>
      <c r="AL33" s="548"/>
      <c r="AM33" s="548"/>
      <c r="AN33" s="548"/>
      <c r="AO33" s="548"/>
      <c r="AP33" s="548"/>
      <c r="AQ33" s="548"/>
      <c r="AR33" s="548"/>
      <c r="AS33" s="548"/>
      <c r="AT33" s="548"/>
      <c r="AU33" s="548"/>
      <c r="AV33" s="548"/>
      <c r="AW33" s="548"/>
      <c r="AX33" s="548"/>
      <c r="AY33" s="548"/>
      <c r="AZ33" s="548"/>
      <c r="BA33" s="548"/>
      <c r="BB33" s="548"/>
      <c r="BC33" s="548"/>
      <c r="BD33" s="548"/>
      <c r="BE33" s="548"/>
      <c r="BF33" s="548"/>
      <c r="BG33" s="548"/>
      <c r="BH33" s="548"/>
      <c r="BI33" s="548"/>
      <c r="BJ33" s="548"/>
      <c r="BK33" s="548"/>
      <c r="BL33" s="548"/>
      <c r="BM33" s="548"/>
      <c r="BN33" s="548"/>
      <c r="BO33" s="548"/>
      <c r="BP33" s="548"/>
      <c r="BQ33" s="548"/>
      <c r="BR33" s="548"/>
      <c r="BS33" s="548"/>
      <c r="BT33" s="548"/>
      <c r="BU33" s="548"/>
      <c r="BV33" s="548"/>
      <c r="BW33" s="548"/>
      <c r="BX33" s="548"/>
      <c r="BY33" s="548"/>
      <c r="BZ33" s="548"/>
      <c r="CA33" s="548"/>
      <c r="CB33" s="548"/>
      <c r="CC33" s="548"/>
      <c r="CD33" s="548"/>
      <c r="CE33" s="548"/>
    </row>
    <row r="34" spans="1:83" ht="18" x14ac:dyDescent="0.2">
      <c r="A34" s="548"/>
      <c r="B34" s="549" t="s">
        <v>199</v>
      </c>
      <c r="C34" s="529" t="s">
        <v>410</v>
      </c>
      <c r="D34" s="550" t="str">
        <f t="array" ref="D34:L34">TRANSPOSE(H20:H28)</f>
        <v>MSgás</v>
      </c>
      <c r="E34" s="551" t="str">
        <v>Gás Brasiliano</v>
      </c>
      <c r="F34" s="550" t="str">
        <v>Comgás (Trecho Norte)</v>
      </c>
      <c r="G34" s="550" t="str">
        <v>Comgás (Trecho Sul)</v>
      </c>
      <c r="H34" s="550" t="str">
        <v>Gás Natural São Paulo</v>
      </c>
      <c r="I34" s="550" t="str">
        <v>Compagás</v>
      </c>
      <c r="J34" s="550" t="str">
        <v>SCGás 1</v>
      </c>
      <c r="K34" s="550" t="str">
        <v>SCGás 2</v>
      </c>
      <c r="L34" s="550" t="str">
        <v>Sulgás</v>
      </c>
      <c r="M34" s="548"/>
      <c r="N34" s="548"/>
      <c r="O34" s="548"/>
      <c r="P34" s="548"/>
      <c r="Q34" s="548"/>
      <c r="R34" s="548"/>
      <c r="S34" s="548"/>
      <c r="T34" s="548"/>
      <c r="U34" s="548"/>
      <c r="V34" s="548"/>
      <c r="W34" s="548"/>
      <c r="X34" s="548"/>
      <c r="Y34" s="548"/>
      <c r="Z34" s="548"/>
      <c r="AA34" s="548"/>
      <c r="AB34" s="548"/>
      <c r="AC34" s="548"/>
      <c r="AD34" s="548"/>
      <c r="AE34" s="548"/>
      <c r="AF34" s="548"/>
      <c r="AG34" s="548"/>
      <c r="AH34" s="548"/>
      <c r="AI34" s="548"/>
      <c r="AJ34" s="548"/>
      <c r="AK34" s="548"/>
      <c r="AL34" s="548"/>
      <c r="AM34" s="548"/>
      <c r="AN34" s="548"/>
      <c r="AO34" s="548"/>
      <c r="AP34" s="548"/>
      <c r="AQ34" s="548"/>
      <c r="AR34" s="548"/>
      <c r="AS34" s="548"/>
      <c r="AT34" s="548"/>
      <c r="AU34" s="548"/>
      <c r="AV34" s="548"/>
      <c r="AW34" s="548"/>
      <c r="AX34" s="548"/>
      <c r="AY34" s="548"/>
      <c r="AZ34" s="548"/>
      <c r="BA34" s="548"/>
      <c r="BB34" s="548"/>
      <c r="BC34" s="548"/>
      <c r="BD34" s="548"/>
      <c r="BE34" s="548"/>
      <c r="BF34" s="548"/>
      <c r="BG34" s="548"/>
      <c r="BH34" s="548"/>
      <c r="BI34" s="548"/>
      <c r="BJ34" s="548"/>
      <c r="BK34" s="548"/>
      <c r="BL34" s="548"/>
      <c r="BM34" s="548"/>
      <c r="BN34" s="548"/>
      <c r="BO34" s="548"/>
      <c r="BP34" s="548"/>
      <c r="BQ34" s="548"/>
      <c r="BR34" s="548"/>
      <c r="BS34" s="548"/>
      <c r="BT34" s="548"/>
      <c r="BU34" s="548"/>
      <c r="BV34" s="548"/>
      <c r="BW34" s="548"/>
      <c r="BX34" s="548"/>
      <c r="BY34" s="548"/>
      <c r="BZ34" s="548"/>
      <c r="CA34" s="548"/>
      <c r="CB34" s="548"/>
      <c r="CC34" s="548"/>
      <c r="CD34" s="548"/>
      <c r="CE34" s="548"/>
    </row>
    <row r="35" spans="1:83" x14ac:dyDescent="0.2">
      <c r="A35" s="552">
        <v>1</v>
      </c>
      <c r="B35" s="553" t="str">
        <f>B20</f>
        <v>EMED CORUMBÁ</v>
      </c>
      <c r="C35" s="554">
        <f>SUM(D35:L35)</f>
        <v>1171.7138582553482</v>
      </c>
      <c r="D35" s="555">
        <f>D44*D38</f>
        <v>82.634385358120753</v>
      </c>
      <c r="E35" s="555">
        <f t="shared" ref="E35:L35" si="13">E44*E38</f>
        <v>118.48146089391226</v>
      </c>
      <c r="F35" s="555">
        <f t="shared" si="13"/>
        <v>696.55377816207886</v>
      </c>
      <c r="G35" s="555">
        <f t="shared" si="13"/>
        <v>0.61898928760147964</v>
      </c>
      <c r="H35" s="555">
        <f t="shared" si="13"/>
        <v>86.107220060527453</v>
      </c>
      <c r="I35" s="555">
        <f t="shared" si="13"/>
        <v>0.834438199548446</v>
      </c>
      <c r="J35" s="555">
        <f t="shared" si="13"/>
        <v>119.62618479554637</v>
      </c>
      <c r="K35" s="555">
        <f t="shared" si="13"/>
        <v>65.692364680576247</v>
      </c>
      <c r="L35" s="555">
        <f t="shared" si="13"/>
        <v>1.1650368174362986</v>
      </c>
      <c r="M35" s="556"/>
      <c r="N35" s="556"/>
      <c r="O35" s="556"/>
      <c r="P35" s="556"/>
      <c r="Q35" s="556"/>
      <c r="R35" s="556"/>
      <c r="S35" s="556"/>
      <c r="T35" s="556"/>
      <c r="U35" s="556"/>
      <c r="V35" s="556"/>
      <c r="W35" s="556"/>
      <c r="X35" s="556"/>
      <c r="Y35" s="556"/>
      <c r="Z35" s="556"/>
      <c r="AA35" s="556"/>
      <c r="AB35" s="556"/>
      <c r="AC35" s="556"/>
      <c r="AD35" s="556"/>
      <c r="AE35" s="556"/>
      <c r="AF35" s="556"/>
      <c r="AG35" s="556"/>
      <c r="AH35" s="556"/>
      <c r="AI35" s="556"/>
      <c r="AJ35" s="556"/>
      <c r="AK35" s="556"/>
      <c r="AL35" s="556"/>
      <c r="AM35" s="556"/>
      <c r="AN35" s="556"/>
      <c r="AO35" s="556"/>
      <c r="AP35" s="556"/>
      <c r="AQ35" s="556"/>
      <c r="AR35" s="556"/>
      <c r="AS35" s="556"/>
      <c r="AT35" s="556"/>
      <c r="AU35" s="556"/>
      <c r="AV35" s="556"/>
      <c r="AW35" s="556"/>
      <c r="AX35" s="556"/>
      <c r="AY35" s="556"/>
      <c r="AZ35" s="548"/>
      <c r="BA35" s="548"/>
      <c r="BB35" s="548"/>
      <c r="BC35" s="548"/>
      <c r="BD35" s="548"/>
      <c r="BE35" s="548"/>
      <c r="BF35" s="548"/>
      <c r="BG35" s="548"/>
      <c r="BH35" s="548"/>
      <c r="BI35" s="548"/>
      <c r="BJ35" s="548"/>
      <c r="BK35" s="548"/>
      <c r="BL35" s="548"/>
      <c r="BM35" s="548"/>
      <c r="BN35" s="548"/>
      <c r="BO35" s="548"/>
      <c r="BP35" s="548"/>
      <c r="BQ35" s="548"/>
      <c r="BR35" s="548"/>
      <c r="BS35" s="548"/>
      <c r="BT35" s="548"/>
      <c r="BU35" s="548"/>
      <c r="BV35" s="548"/>
      <c r="BW35" s="548"/>
      <c r="BX35" s="548"/>
      <c r="BY35" s="548"/>
      <c r="BZ35" s="548"/>
      <c r="CA35" s="548"/>
      <c r="CB35" s="548"/>
      <c r="CC35" s="548"/>
      <c r="CD35" s="548"/>
      <c r="CE35" s="548"/>
    </row>
    <row r="36" spans="1:83" x14ac:dyDescent="0.2">
      <c r="A36" s="552">
        <v>2</v>
      </c>
      <c r="B36" s="553" t="str">
        <f>B21</f>
        <v>EMED GASCAR</v>
      </c>
      <c r="C36" s="554">
        <f>SUM(D36:L36)</f>
        <v>277.25721498988543</v>
      </c>
      <c r="D36" s="557">
        <f>D45*D38</f>
        <v>145.74357496277082</v>
      </c>
      <c r="E36" s="557">
        <f t="shared" ref="E36:L36" si="14">E45*E38</f>
        <v>33.365587191786943</v>
      </c>
      <c r="F36" s="557">
        <f t="shared" si="14"/>
        <v>21.930153240140267</v>
      </c>
      <c r="G36" s="557">
        <f t="shared" si="14"/>
        <v>1.1601095258682822E-2</v>
      </c>
      <c r="H36" s="557">
        <f t="shared" si="14"/>
        <v>5.9319786712782818</v>
      </c>
      <c r="I36" s="557">
        <f t="shared" si="14"/>
        <v>0.22705000720564922</v>
      </c>
      <c r="J36" s="557">
        <f t="shared" si="14"/>
        <v>44.856698318148091</v>
      </c>
      <c r="K36" s="557">
        <f t="shared" si="14"/>
        <v>24.632922878203175</v>
      </c>
      <c r="L36" s="557">
        <f t="shared" si="14"/>
        <v>0.55764862509350177</v>
      </c>
      <c r="M36" s="558"/>
      <c r="N36" s="558"/>
      <c r="O36" s="558"/>
      <c r="P36" s="558"/>
      <c r="Q36" s="558"/>
      <c r="R36" s="558"/>
      <c r="S36" s="558"/>
      <c r="T36" s="558"/>
      <c r="U36" s="558"/>
      <c r="V36" s="558"/>
      <c r="W36" s="558"/>
      <c r="X36" s="558"/>
      <c r="Y36" s="558"/>
      <c r="Z36" s="558"/>
      <c r="AA36" s="558"/>
      <c r="AB36" s="558"/>
      <c r="AC36" s="558"/>
      <c r="AD36" s="558"/>
      <c r="AE36" s="558"/>
      <c r="AF36" s="558"/>
      <c r="AG36" s="558"/>
      <c r="AH36" s="558"/>
      <c r="AI36" s="558"/>
      <c r="AJ36" s="558"/>
      <c r="AK36" s="558"/>
      <c r="AL36" s="558"/>
      <c r="AM36" s="558"/>
      <c r="AN36" s="558"/>
      <c r="AO36" s="558"/>
      <c r="AP36" s="558"/>
      <c r="AQ36" s="558"/>
      <c r="AR36" s="558"/>
      <c r="AS36" s="558"/>
      <c r="AT36" s="558"/>
      <c r="AU36" s="558"/>
      <c r="AV36" s="558"/>
      <c r="AW36" s="558"/>
      <c r="AX36" s="558"/>
      <c r="AY36" s="558"/>
      <c r="AZ36" s="548"/>
      <c r="BA36" s="548"/>
      <c r="BB36" s="548"/>
      <c r="BC36" s="548"/>
      <c r="BD36" s="548"/>
      <c r="BE36" s="548"/>
      <c r="BF36" s="548"/>
      <c r="BG36" s="548"/>
      <c r="BH36" s="548"/>
      <c r="BI36" s="548"/>
      <c r="BJ36" s="548"/>
      <c r="BK36" s="548"/>
      <c r="BL36" s="548"/>
      <c r="BM36" s="548"/>
      <c r="BN36" s="548"/>
      <c r="BO36" s="548"/>
      <c r="BP36" s="548"/>
      <c r="BQ36" s="548"/>
      <c r="BR36" s="548"/>
      <c r="BS36" s="548"/>
      <c r="BT36" s="548"/>
      <c r="BU36" s="548"/>
      <c r="BV36" s="548"/>
      <c r="BW36" s="548"/>
      <c r="BX36" s="548"/>
      <c r="BY36" s="548"/>
      <c r="BZ36" s="548"/>
      <c r="CA36" s="548"/>
      <c r="CB36" s="548"/>
      <c r="CC36" s="548"/>
      <c r="CD36" s="548"/>
      <c r="CE36" s="548"/>
    </row>
    <row r="37" spans="1:83" x14ac:dyDescent="0.2">
      <c r="A37" s="552">
        <v>3</v>
      </c>
      <c r="B37" s="553" t="str">
        <f>B22</f>
        <v>[NOVO PTR]</v>
      </c>
      <c r="C37" s="554">
        <f>SUM(D37:L37)</f>
        <v>0</v>
      </c>
      <c r="D37" s="557">
        <f>IF($C$29=0,0,D46*D38)</f>
        <v>0</v>
      </c>
      <c r="E37" s="557">
        <f t="shared" ref="E37:L37" si="15">IF($C$29=0,0,E46*E38)</f>
        <v>0</v>
      </c>
      <c r="F37" s="557">
        <f t="shared" si="15"/>
        <v>0</v>
      </c>
      <c r="G37" s="557">
        <f t="shared" si="15"/>
        <v>0</v>
      </c>
      <c r="H37" s="557">
        <f t="shared" si="15"/>
        <v>0</v>
      </c>
      <c r="I37" s="557">
        <f t="shared" si="15"/>
        <v>0</v>
      </c>
      <c r="J37" s="557">
        <f t="shared" si="15"/>
        <v>0</v>
      </c>
      <c r="K37" s="557">
        <f t="shared" si="15"/>
        <v>0</v>
      </c>
      <c r="L37" s="557">
        <f t="shared" si="15"/>
        <v>0</v>
      </c>
      <c r="M37" s="558"/>
      <c r="N37" s="558"/>
      <c r="O37" s="558"/>
      <c r="P37" s="558"/>
      <c r="Q37" s="558"/>
      <c r="R37" s="558"/>
      <c r="S37" s="558"/>
      <c r="T37" s="558"/>
      <c r="U37" s="558"/>
      <c r="V37" s="558"/>
      <c r="W37" s="558"/>
      <c r="X37" s="558"/>
      <c r="Y37" s="558"/>
      <c r="Z37" s="558"/>
      <c r="AA37" s="558"/>
      <c r="AB37" s="558"/>
      <c r="AC37" s="558"/>
      <c r="AD37" s="558"/>
      <c r="AE37" s="558"/>
      <c r="AF37" s="558"/>
      <c r="AG37" s="558"/>
      <c r="AH37" s="558"/>
      <c r="AI37" s="558"/>
      <c r="AJ37" s="558"/>
      <c r="AK37" s="558"/>
      <c r="AL37" s="558"/>
      <c r="AM37" s="558"/>
      <c r="AN37" s="558"/>
      <c r="AO37" s="558"/>
      <c r="AP37" s="558"/>
      <c r="AQ37" s="558"/>
      <c r="AR37" s="558"/>
      <c r="AS37" s="558"/>
      <c r="AT37" s="558"/>
      <c r="AU37" s="558"/>
      <c r="AV37" s="558"/>
      <c r="AW37" s="558"/>
      <c r="AX37" s="558"/>
      <c r="AY37" s="558"/>
      <c r="AZ37" s="548"/>
      <c r="BA37" s="548"/>
      <c r="BB37" s="548"/>
      <c r="BC37" s="548"/>
      <c r="BD37" s="548"/>
      <c r="BE37" s="548"/>
      <c r="BF37" s="548"/>
      <c r="BG37" s="548"/>
      <c r="BH37" s="548"/>
      <c r="BI37" s="548"/>
      <c r="BJ37" s="548"/>
      <c r="BK37" s="548"/>
      <c r="BL37" s="548"/>
      <c r="BM37" s="548"/>
      <c r="BN37" s="548"/>
      <c r="BO37" s="548"/>
      <c r="BP37" s="548"/>
      <c r="BQ37" s="548"/>
      <c r="BR37" s="548"/>
      <c r="BS37" s="548"/>
      <c r="BT37" s="548"/>
      <c r="BU37" s="548"/>
      <c r="BV37" s="548"/>
      <c r="BW37" s="548"/>
      <c r="BX37" s="548"/>
      <c r="BY37" s="548"/>
      <c r="BZ37" s="548"/>
      <c r="CA37" s="548"/>
      <c r="CB37" s="548"/>
      <c r="CC37" s="548"/>
      <c r="CD37" s="548"/>
      <c r="CE37" s="548"/>
    </row>
    <row r="38" spans="1:83" x14ac:dyDescent="0.2">
      <c r="B38" s="559"/>
      <c r="C38" s="560"/>
      <c r="D38" s="561">
        <f>VLOOKUP(D34,$H$20:$J$28,3,FALSE)</f>
        <v>0.18062160734015467</v>
      </c>
      <c r="E38" s="561">
        <f>VLOOKUP(E34,$H$20:$J$28,3,FALSE)</f>
        <v>0.12009415381659219</v>
      </c>
      <c r="F38" s="561">
        <f>VLOOKUP(F34,$H$20:$J$28,3,FALSE)</f>
        <v>0.54282557525099662</v>
      </c>
      <c r="G38" s="561">
        <f>J23</f>
        <v>4.803766152663688E-4</v>
      </c>
      <c r="H38" s="561">
        <f>VLOOKUP(H34,$H$20:$J$28,3,FALSE)</f>
        <v>6.3409713215160673E-2</v>
      </c>
      <c r="I38" s="561">
        <f>VLOOKUP(I34,$H$20:$J$28,3,FALSE)</f>
        <v>4.803766152663688E-4</v>
      </c>
      <c r="J38" s="561">
        <f>VLOOKUP(J34,$H$20:$J$28,3,FALSE)</f>
        <v>5.9134361339289995E-2</v>
      </c>
      <c r="K38" s="561">
        <f>J27</f>
        <v>3.2473459192006532E-2</v>
      </c>
      <c r="L38" s="561">
        <f>VLOOKUP(L34,$H$20:$J$28,3,FALSE)</f>
        <v>4.803766152663688E-4</v>
      </c>
      <c r="M38" s="562"/>
      <c r="N38" s="562"/>
      <c r="O38" s="562"/>
      <c r="P38" s="562"/>
      <c r="Q38" s="562"/>
      <c r="R38" s="562"/>
      <c r="S38" s="562"/>
      <c r="T38" s="562"/>
      <c r="U38" s="562"/>
      <c r="V38" s="562"/>
      <c r="W38" s="562"/>
      <c r="X38" s="562"/>
      <c r="Y38" s="562"/>
      <c r="Z38" s="562"/>
      <c r="AA38" s="562"/>
      <c r="AB38" s="562"/>
      <c r="AC38" s="562"/>
      <c r="AD38" s="562"/>
      <c r="AE38" s="562"/>
      <c r="AF38" s="562"/>
      <c r="AG38" s="562"/>
      <c r="AH38" s="562"/>
      <c r="AI38" s="562"/>
      <c r="AJ38" s="562"/>
      <c r="AK38" s="562"/>
      <c r="AL38" s="562"/>
      <c r="AM38" s="562"/>
      <c r="AN38" s="562"/>
      <c r="AO38" s="562"/>
      <c r="AP38" s="562"/>
      <c r="AQ38" s="562"/>
      <c r="AR38" s="562"/>
      <c r="AS38" s="562"/>
      <c r="AT38" s="562"/>
      <c r="AU38" s="562"/>
      <c r="AV38" s="562"/>
      <c r="AW38" s="562"/>
      <c r="AX38" s="562"/>
      <c r="AY38" s="562"/>
      <c r="AZ38" s="562"/>
      <c r="BA38" s="562"/>
      <c r="BB38" s="562"/>
      <c r="BC38" s="562"/>
      <c r="BD38" s="562"/>
      <c r="BE38" s="562"/>
      <c r="BF38" s="562"/>
      <c r="BG38" s="562"/>
      <c r="BH38" s="562"/>
      <c r="BI38" s="562"/>
      <c r="BJ38" s="562"/>
      <c r="BK38" s="562"/>
      <c r="BL38" s="562"/>
      <c r="BM38" s="562"/>
      <c r="BN38" s="562"/>
      <c r="BO38" s="562"/>
      <c r="BP38" s="562"/>
      <c r="BQ38" s="562"/>
      <c r="BR38" s="562"/>
      <c r="BS38" s="562"/>
      <c r="BT38" s="562"/>
      <c r="BU38" s="562"/>
      <c r="BV38" s="562"/>
      <c r="BW38" s="562"/>
      <c r="BX38" s="562"/>
      <c r="BY38" s="562"/>
      <c r="BZ38" s="562"/>
      <c r="CA38" s="562"/>
      <c r="CB38" s="562"/>
      <c r="CC38" s="562"/>
      <c r="CD38" s="562"/>
      <c r="CE38" s="562"/>
    </row>
    <row r="41" spans="1:83" ht="32.25" customHeight="1" x14ac:dyDescent="0.2">
      <c r="B41" s="682" t="s">
        <v>411</v>
      </c>
      <c r="C41" s="559"/>
      <c r="D41" s="549" t="s">
        <v>412</v>
      </c>
      <c r="E41" s="559"/>
      <c r="F41" s="559"/>
      <c r="G41" s="559"/>
      <c r="H41" s="559"/>
      <c r="I41" s="559"/>
      <c r="J41" s="559"/>
      <c r="K41" s="559"/>
      <c r="L41" s="559"/>
    </row>
    <row r="42" spans="1:83" x14ac:dyDescent="0.2">
      <c r="B42" s="682"/>
      <c r="C42" s="559"/>
      <c r="D42" s="553">
        <v>1</v>
      </c>
      <c r="E42" s="553">
        <v>2</v>
      </c>
      <c r="F42" s="553">
        <v>3</v>
      </c>
      <c r="G42" s="553">
        <v>4</v>
      </c>
      <c r="H42" s="553">
        <v>5</v>
      </c>
      <c r="I42" s="553">
        <v>6</v>
      </c>
      <c r="J42" s="553">
        <v>7</v>
      </c>
      <c r="K42" s="553">
        <v>8</v>
      </c>
      <c r="L42" s="553">
        <v>9</v>
      </c>
      <c r="M42" s="548"/>
      <c r="N42" s="548"/>
      <c r="O42" s="548"/>
      <c r="P42" s="548"/>
      <c r="Q42" s="548"/>
      <c r="R42" s="548"/>
      <c r="S42" s="548"/>
      <c r="T42" s="548"/>
      <c r="U42" s="548"/>
      <c r="V42" s="548"/>
      <c r="W42" s="548"/>
      <c r="X42" s="548"/>
      <c r="Y42" s="548"/>
      <c r="Z42" s="548"/>
      <c r="AA42" s="548"/>
      <c r="AB42" s="548"/>
      <c r="AC42" s="548"/>
      <c r="AD42" s="548"/>
      <c r="AE42" s="548"/>
      <c r="AF42" s="548"/>
      <c r="AG42" s="548"/>
      <c r="AH42" s="548"/>
      <c r="AI42" s="548"/>
      <c r="AJ42" s="548"/>
      <c r="AK42" s="548"/>
      <c r="AL42" s="548"/>
      <c r="AM42" s="548"/>
      <c r="AN42" s="548"/>
      <c r="AO42" s="548"/>
      <c r="AP42" s="548"/>
      <c r="AQ42" s="548"/>
      <c r="AR42" s="548"/>
      <c r="AS42" s="548"/>
      <c r="AT42" s="548"/>
      <c r="AU42" s="548"/>
      <c r="AV42" s="548"/>
      <c r="AW42" s="548"/>
      <c r="AX42" s="548"/>
      <c r="AY42" s="548"/>
      <c r="AZ42" s="548"/>
      <c r="BA42" s="548"/>
      <c r="BB42" s="548"/>
      <c r="BC42" s="548"/>
      <c r="BD42" s="548"/>
      <c r="BE42" s="548"/>
      <c r="BF42" s="548"/>
      <c r="BG42" s="548"/>
      <c r="BH42" s="548"/>
      <c r="BI42" s="548"/>
      <c r="BJ42" s="548"/>
      <c r="BK42" s="548"/>
      <c r="BL42" s="548"/>
      <c r="BM42" s="548"/>
      <c r="BN42" s="548"/>
      <c r="BO42" s="548"/>
      <c r="BP42" s="548"/>
      <c r="BQ42" s="548"/>
      <c r="BR42" s="548"/>
      <c r="BS42" s="548"/>
      <c r="BT42" s="548"/>
      <c r="BU42" s="548"/>
      <c r="BV42" s="548"/>
      <c r="BW42" s="548"/>
      <c r="BX42" s="548"/>
      <c r="BY42" s="548"/>
      <c r="BZ42" s="548"/>
      <c r="CA42" s="548"/>
      <c r="CB42" s="548"/>
      <c r="CC42" s="548"/>
      <c r="CD42" s="548"/>
      <c r="CE42" s="548"/>
    </row>
    <row r="43" spans="1:83" x14ac:dyDescent="0.2">
      <c r="B43" s="549" t="s">
        <v>199</v>
      </c>
      <c r="C43" s="559"/>
      <c r="D43" s="550" t="str">
        <f t="array" ref="D43:L43">TRANSPOSE(H20:H28)</f>
        <v>MSgás</v>
      </c>
      <c r="E43" s="551" t="str">
        <v>Gás Brasiliano</v>
      </c>
      <c r="F43" s="550" t="str">
        <v>Comgás (Trecho Norte)</v>
      </c>
      <c r="G43" s="550" t="str">
        <v>Comgás (Trecho Sul)</v>
      </c>
      <c r="H43" s="550" t="str">
        <v>Gás Natural São Paulo</v>
      </c>
      <c r="I43" s="550" t="str">
        <v>Compagás</v>
      </c>
      <c r="J43" s="550" t="str">
        <v>SCGás 1</v>
      </c>
      <c r="K43" s="550" t="str">
        <v>SCGás 2</v>
      </c>
      <c r="L43" s="550" t="str">
        <v>Sulgás</v>
      </c>
      <c r="M43" s="548"/>
      <c r="N43" s="548"/>
      <c r="O43" s="548"/>
      <c r="P43" s="548"/>
      <c r="Q43" s="548"/>
      <c r="R43" s="548"/>
      <c r="S43" s="548"/>
      <c r="T43" s="548"/>
      <c r="U43" s="548"/>
      <c r="V43" s="548"/>
      <c r="W43" s="548"/>
      <c r="X43" s="548"/>
      <c r="Y43" s="548"/>
      <c r="Z43" s="548"/>
      <c r="AA43" s="548"/>
      <c r="AB43" s="548"/>
      <c r="AC43" s="548"/>
      <c r="AD43" s="548"/>
      <c r="AE43" s="548"/>
      <c r="AF43" s="548"/>
      <c r="AG43" s="548"/>
      <c r="AH43" s="548"/>
      <c r="AI43" s="548"/>
      <c r="AJ43" s="548"/>
      <c r="AK43" s="548"/>
      <c r="AL43" s="548"/>
      <c r="AM43" s="548"/>
      <c r="AN43" s="548"/>
      <c r="AO43" s="548"/>
      <c r="AP43" s="548"/>
      <c r="AQ43" s="548"/>
      <c r="AR43" s="548"/>
      <c r="AS43" s="548"/>
      <c r="AT43" s="548"/>
      <c r="AU43" s="548"/>
      <c r="AV43" s="548"/>
      <c r="AW43" s="548"/>
      <c r="AX43" s="548"/>
      <c r="AY43" s="548"/>
    </row>
    <row r="44" spans="1:83" x14ac:dyDescent="0.2">
      <c r="A44" s="509">
        <f>A35</f>
        <v>1</v>
      </c>
      <c r="B44" s="553" t="str">
        <f>B35</f>
        <v>EMED CORUMBÁ</v>
      </c>
      <c r="C44" s="554">
        <f>AVERAGE(D44:L44)</f>
        <v>1509.1099647266317</v>
      </c>
      <c r="D44" s="555">
        <f>'Cálculo Tarifa CWD'!C11</f>
        <v>457.49999999999994</v>
      </c>
      <c r="E44" s="555">
        <f>'Cálculo Tarifa CWD'!C12</f>
        <v>986.57142857142867</v>
      </c>
      <c r="F44" s="555">
        <f>'Cálculo Tarifa CWD'!C13</f>
        <v>1283.2</v>
      </c>
      <c r="G44" s="555">
        <f>'Cálculo Tarifa CWD'!C14</f>
        <v>1288.5500000000002</v>
      </c>
      <c r="H44" s="555">
        <f>'Cálculo Tarifa CWD'!C15</f>
        <v>1357.9500000000003</v>
      </c>
      <c r="I44" s="555">
        <f>'Cálculo Tarifa CWD'!C16</f>
        <v>1737.0500000000002</v>
      </c>
      <c r="J44" s="555">
        <f>AVERAGE(Gasoduto!G39:G47)</f>
        <v>2022.9555555555557</v>
      </c>
      <c r="K44" s="555">
        <f>J44</f>
        <v>2022.9555555555557</v>
      </c>
      <c r="L44" s="555">
        <f>'Cálculo Tarifa CWD'!C19</f>
        <v>2425.2571428571432</v>
      </c>
      <c r="M44" s="556"/>
      <c r="N44" s="556"/>
      <c r="P44" s="556"/>
      <c r="Q44" s="556"/>
      <c r="R44" s="556"/>
      <c r="S44" s="556"/>
      <c r="T44" s="556"/>
      <c r="U44" s="563"/>
      <c r="V44" s="563"/>
      <c r="W44" s="563"/>
      <c r="X44" s="563"/>
      <c r="Y44" s="563"/>
      <c r="Z44" s="563"/>
      <c r="AA44" s="563"/>
      <c r="AB44" s="563"/>
      <c r="AC44" s="563"/>
      <c r="AD44" s="563"/>
      <c r="AE44" s="563"/>
      <c r="AF44" s="563"/>
      <c r="AG44" s="563"/>
      <c r="AH44" s="563"/>
      <c r="AI44" s="563"/>
      <c r="AJ44" s="563"/>
      <c r="AK44" s="563"/>
      <c r="AL44" s="563"/>
      <c r="AM44" s="563"/>
      <c r="AN44" s="563"/>
      <c r="AO44" s="563"/>
      <c r="AP44" s="563"/>
      <c r="AQ44" s="563"/>
      <c r="AR44" s="563"/>
      <c r="AS44" s="563"/>
      <c r="AT44" s="563"/>
      <c r="AU44" s="563"/>
      <c r="AV44" s="563"/>
      <c r="AW44" s="563"/>
      <c r="AX44" s="563"/>
      <c r="AY44" s="563"/>
      <c r="AZ44" s="548"/>
      <c r="BA44" s="548"/>
      <c r="BB44" s="548"/>
      <c r="BC44" s="548"/>
      <c r="BD44" s="548"/>
      <c r="BE44" s="548"/>
      <c r="BF44" s="548"/>
      <c r="BG44" s="548"/>
      <c r="BH44" s="548"/>
      <c r="BI44" s="548"/>
      <c r="BJ44" s="548"/>
      <c r="BK44" s="548"/>
      <c r="BL44" s="548"/>
      <c r="BM44" s="548"/>
      <c r="BN44" s="548"/>
      <c r="BO44" s="548"/>
      <c r="BP44" s="548"/>
      <c r="BQ44" s="548"/>
      <c r="BR44" s="548"/>
      <c r="BS44" s="548"/>
      <c r="BT44" s="548"/>
      <c r="BU44" s="548"/>
      <c r="BV44" s="548"/>
      <c r="BW44" s="548"/>
      <c r="BX44" s="548"/>
      <c r="BY44" s="548"/>
      <c r="BZ44" s="548"/>
      <c r="CA44" s="548"/>
      <c r="CB44" s="548"/>
      <c r="CC44" s="548"/>
      <c r="CD44" s="548"/>
      <c r="CE44" s="548"/>
    </row>
    <row r="45" spans="1:83" x14ac:dyDescent="0.2">
      <c r="A45" s="509">
        <f>A36</f>
        <v>2</v>
      </c>
      <c r="B45" s="553" t="str">
        <f>B36</f>
        <v>EMED GASCAR</v>
      </c>
      <c r="C45" s="554">
        <f>AVERAGE(D45:L45)</f>
        <v>488.16075837742511</v>
      </c>
      <c r="D45" s="564">
        <f>'Cálculo Tarifa CWD'!D11</f>
        <v>806.90000000000009</v>
      </c>
      <c r="E45" s="564">
        <f>'Cálculo Tarifa CWD'!D12</f>
        <v>277.82857142857154</v>
      </c>
      <c r="F45" s="564">
        <f>'Cálculo Tarifa CWD'!D13</f>
        <v>40.400000000000006</v>
      </c>
      <c r="G45" s="564">
        <f>'Cálculo Tarifa CWD'!D14</f>
        <v>24.150000000000034</v>
      </c>
      <c r="H45" s="564">
        <f>'Cálculo Tarifa CWD'!D15</f>
        <v>93.550000000000011</v>
      </c>
      <c r="I45" s="564">
        <f>'Cálculo Tarifa CWD'!D16</f>
        <v>472.65000000000003</v>
      </c>
      <c r="J45" s="555">
        <f>AVERAGE(Gasoduto!H39:H47)</f>
        <v>758.55555555555554</v>
      </c>
      <c r="K45" s="555">
        <f>J45</f>
        <v>758.55555555555554</v>
      </c>
      <c r="L45" s="564">
        <f>'Cálculo Tarifa CWD'!D19</f>
        <v>1160.8571428571427</v>
      </c>
      <c r="M45" s="565"/>
      <c r="N45" s="565"/>
      <c r="P45" s="566"/>
      <c r="Q45" s="566"/>
      <c r="R45" s="566"/>
      <c r="S45" s="566"/>
      <c r="T45" s="566"/>
      <c r="U45" s="563"/>
      <c r="V45" s="563"/>
      <c r="W45" s="563"/>
      <c r="X45" s="563"/>
      <c r="Y45" s="563"/>
      <c r="Z45" s="563"/>
      <c r="AA45" s="563"/>
      <c r="AB45" s="563"/>
      <c r="AC45" s="563"/>
      <c r="AD45" s="563"/>
      <c r="AE45" s="563"/>
      <c r="AF45" s="563"/>
      <c r="AG45" s="563"/>
      <c r="AH45" s="563"/>
      <c r="AI45" s="563"/>
      <c r="AJ45" s="563"/>
      <c r="AK45" s="563"/>
      <c r="AL45" s="563"/>
      <c r="AM45" s="563"/>
      <c r="AN45" s="563"/>
      <c r="AO45" s="563"/>
      <c r="AP45" s="563"/>
      <c r="AQ45" s="563"/>
      <c r="AR45" s="563"/>
      <c r="AS45" s="563"/>
      <c r="AT45" s="563"/>
      <c r="AU45" s="563"/>
      <c r="AV45" s="563"/>
      <c r="AW45" s="563"/>
      <c r="AX45" s="563"/>
      <c r="AY45" s="563"/>
    </row>
    <row r="46" spans="1:83" x14ac:dyDescent="0.2">
      <c r="A46" s="509">
        <v>3</v>
      </c>
      <c r="B46" s="553" t="str">
        <f>B22</f>
        <v>[NOVO PTR]</v>
      </c>
      <c r="C46" s="554" t="str">
        <f>IF($C$29=0," ",AVERAGE(D46:L46))</f>
        <v xml:space="preserve"> </v>
      </c>
      <c r="D46" s="564"/>
      <c r="E46" s="564"/>
      <c r="F46" s="564"/>
      <c r="G46" s="567"/>
      <c r="H46" s="567"/>
      <c r="I46" s="567"/>
      <c r="J46" s="567"/>
      <c r="K46" s="567"/>
      <c r="L46" s="567"/>
      <c r="M46" s="565"/>
      <c r="N46" s="565"/>
      <c r="P46" s="566"/>
      <c r="Q46" s="566"/>
      <c r="R46" s="566"/>
      <c r="S46" s="566"/>
      <c r="T46" s="566"/>
      <c r="U46" s="563"/>
      <c r="V46" s="563"/>
      <c r="W46" s="563"/>
      <c r="X46" s="563"/>
      <c r="Y46" s="563"/>
      <c r="Z46" s="563"/>
      <c r="AA46" s="563"/>
      <c r="AB46" s="563"/>
      <c r="AC46" s="563"/>
      <c r="AD46" s="563"/>
      <c r="AE46" s="563"/>
      <c r="AF46" s="563"/>
      <c r="AG46" s="563"/>
      <c r="AH46" s="563"/>
      <c r="AI46" s="563"/>
      <c r="AJ46" s="563"/>
      <c r="AK46" s="563"/>
      <c r="AL46" s="563"/>
      <c r="AM46" s="563"/>
      <c r="AN46" s="563"/>
      <c r="AO46" s="563"/>
      <c r="AP46" s="563"/>
      <c r="AQ46" s="563"/>
      <c r="AR46" s="563"/>
      <c r="AS46" s="563"/>
      <c r="AT46" s="563"/>
      <c r="AU46" s="563"/>
      <c r="AV46" s="563"/>
      <c r="AW46" s="563"/>
      <c r="AX46" s="563"/>
      <c r="AY46" s="563"/>
    </row>
    <row r="47" spans="1:83" x14ac:dyDescent="0.2">
      <c r="D47" s="533" t="s">
        <v>248</v>
      </c>
      <c r="E47" s="533" t="s">
        <v>249</v>
      </c>
      <c r="F47" s="533" t="s">
        <v>250</v>
      </c>
      <c r="G47" s="533" t="s">
        <v>251</v>
      </c>
      <c r="H47" s="533" t="s">
        <v>252</v>
      </c>
      <c r="I47" s="533" t="s">
        <v>253</v>
      </c>
      <c r="J47" s="533" t="s">
        <v>254</v>
      </c>
      <c r="K47" s="533" t="s">
        <v>255</v>
      </c>
      <c r="L47" s="533" t="s">
        <v>256</v>
      </c>
    </row>
    <row r="49" spans="1:51" x14ac:dyDescent="0.2">
      <c r="B49" s="559"/>
      <c r="C49" s="559"/>
      <c r="D49" s="553">
        <v>1</v>
      </c>
      <c r="E49" s="553">
        <v>2</v>
      </c>
      <c r="F49" s="553">
        <v>3</v>
      </c>
      <c r="G49" s="553">
        <v>4</v>
      </c>
      <c r="H49" s="553">
        <v>5</v>
      </c>
      <c r="I49" s="553">
        <v>6</v>
      </c>
      <c r="J49" s="553">
        <v>7</v>
      </c>
      <c r="K49" s="553">
        <v>8</v>
      </c>
      <c r="L49" s="553">
        <v>9</v>
      </c>
      <c r="M49" s="548"/>
      <c r="N49" s="548"/>
      <c r="O49" s="548"/>
      <c r="P49" s="548"/>
      <c r="Q49" s="548"/>
      <c r="R49" s="548"/>
      <c r="S49" s="548"/>
      <c r="T49" s="548"/>
      <c r="U49" s="548"/>
      <c r="V49" s="548"/>
      <c r="W49" s="548"/>
      <c r="X49" s="548"/>
      <c r="Y49" s="548"/>
      <c r="Z49" s="548"/>
      <c r="AA49" s="548"/>
      <c r="AB49" s="548"/>
      <c r="AC49" s="548"/>
      <c r="AD49" s="548"/>
      <c r="AE49" s="548"/>
      <c r="AF49" s="548"/>
      <c r="AG49" s="548"/>
      <c r="AH49" s="548"/>
      <c r="AI49" s="548"/>
      <c r="AJ49" s="548"/>
      <c r="AK49" s="548"/>
      <c r="AL49" s="548"/>
      <c r="AM49" s="548"/>
      <c r="AN49" s="548"/>
      <c r="AO49" s="548"/>
      <c r="AP49" s="548"/>
      <c r="AQ49" s="548"/>
      <c r="AR49" s="548"/>
      <c r="AS49" s="548"/>
      <c r="AT49" s="548"/>
      <c r="AU49" s="548"/>
      <c r="AV49" s="548"/>
      <c r="AW49" s="548"/>
      <c r="AX49" s="548"/>
      <c r="AY49" s="548"/>
    </row>
    <row r="50" spans="1:51" x14ac:dyDescent="0.2">
      <c r="A50" s="548"/>
      <c r="B50" s="549" t="s">
        <v>199</v>
      </c>
      <c r="C50" s="559"/>
      <c r="D50" s="550" t="str">
        <f>D43</f>
        <v>MSgás</v>
      </c>
      <c r="E50" s="550" t="str">
        <f t="shared" ref="E50:L50" si="16">E43</f>
        <v>Gás Brasiliano</v>
      </c>
      <c r="F50" s="550" t="str">
        <f t="shared" si="16"/>
        <v>Comgás (Trecho Norte)</v>
      </c>
      <c r="G50" s="550" t="str">
        <f t="shared" si="16"/>
        <v>Comgás (Trecho Sul)</v>
      </c>
      <c r="H50" s="550" t="str">
        <f t="shared" si="16"/>
        <v>Gás Natural São Paulo</v>
      </c>
      <c r="I50" s="550" t="str">
        <f t="shared" si="16"/>
        <v>Compagás</v>
      </c>
      <c r="J50" s="550" t="str">
        <f t="shared" si="16"/>
        <v>SCGás 1</v>
      </c>
      <c r="K50" s="550" t="str">
        <f t="shared" si="16"/>
        <v>SCGás 2</v>
      </c>
      <c r="L50" s="550" t="str">
        <f t="shared" si="16"/>
        <v>Sulgás</v>
      </c>
      <c r="M50" s="548"/>
      <c r="N50" s="548"/>
      <c r="O50" s="548"/>
      <c r="P50" s="548"/>
      <c r="Q50" s="548"/>
      <c r="R50" s="548"/>
      <c r="S50" s="548"/>
      <c r="T50" s="548"/>
      <c r="U50" s="548"/>
      <c r="V50" s="548"/>
      <c r="W50" s="548"/>
      <c r="X50" s="548"/>
      <c r="Y50" s="548"/>
      <c r="Z50" s="548"/>
      <c r="AA50" s="548"/>
      <c r="AB50" s="548"/>
      <c r="AC50" s="548"/>
      <c r="AD50" s="548"/>
      <c r="AE50" s="548"/>
      <c r="AF50" s="548"/>
      <c r="AG50" s="548"/>
      <c r="AH50" s="548"/>
      <c r="AI50" s="548"/>
      <c r="AJ50" s="548"/>
      <c r="AK50" s="548"/>
      <c r="AL50" s="548"/>
      <c r="AM50" s="548"/>
      <c r="AN50" s="548"/>
      <c r="AO50" s="548"/>
      <c r="AP50" s="548"/>
      <c r="AQ50" s="548"/>
      <c r="AR50" s="548"/>
      <c r="AS50" s="548"/>
      <c r="AT50" s="548"/>
      <c r="AU50" s="548"/>
      <c r="AV50" s="548"/>
      <c r="AW50" s="548"/>
      <c r="AX50" s="548"/>
      <c r="AY50" s="548"/>
    </row>
    <row r="51" spans="1:51" x14ac:dyDescent="0.2">
      <c r="A51" s="552">
        <v>1</v>
      </c>
      <c r="B51" s="553" t="str">
        <f>B35</f>
        <v>EMED CORUMBÁ</v>
      </c>
      <c r="C51" s="530"/>
      <c r="D51" s="554">
        <f>D44*$D$20</f>
        <v>392.58796821793413</v>
      </c>
      <c r="E51" s="554">
        <f t="shared" ref="E51:L51" si="17">E44*$D$20</f>
        <v>846.59250851305342</v>
      </c>
      <c r="F51" s="554">
        <f t="shared" si="17"/>
        <v>1101.1341657207718</v>
      </c>
      <c r="G51" s="554">
        <f t="shared" si="17"/>
        <v>1105.7250851305337</v>
      </c>
      <c r="H51" s="554">
        <f t="shared" si="17"/>
        <v>1165.2783200908061</v>
      </c>
      <c r="I51" s="554">
        <f t="shared" si="17"/>
        <v>1490.590011350738</v>
      </c>
      <c r="J51" s="554">
        <f t="shared" si="17"/>
        <v>1735.9300794551648</v>
      </c>
      <c r="K51" s="554">
        <f t="shared" si="17"/>
        <v>1735.9300794551648</v>
      </c>
      <c r="L51" s="554">
        <f t="shared" si="17"/>
        <v>2081.1514188422252</v>
      </c>
      <c r="M51" s="546"/>
      <c r="N51" s="546"/>
      <c r="O51" s="546"/>
      <c r="P51" s="546"/>
      <c r="Q51" s="546"/>
      <c r="R51" s="546"/>
      <c r="S51" s="546"/>
      <c r="T51" s="546"/>
      <c r="U51" s="546"/>
      <c r="V51" s="546"/>
      <c r="W51" s="546"/>
      <c r="X51" s="546"/>
      <c r="Y51" s="546"/>
      <c r="Z51" s="546"/>
      <c r="AA51" s="546"/>
      <c r="AB51" s="546"/>
      <c r="AC51" s="546"/>
      <c r="AD51" s="546"/>
      <c r="AE51" s="546"/>
      <c r="AF51" s="546"/>
      <c r="AG51" s="546"/>
      <c r="AH51" s="546"/>
      <c r="AI51" s="546"/>
      <c r="AJ51" s="546"/>
      <c r="AK51" s="546"/>
      <c r="AL51" s="546"/>
      <c r="AM51" s="546"/>
      <c r="AN51" s="546"/>
      <c r="AO51" s="546"/>
      <c r="AP51" s="546"/>
      <c r="AQ51" s="546"/>
      <c r="AR51" s="546"/>
      <c r="AS51" s="546"/>
      <c r="AT51" s="546"/>
      <c r="AU51" s="546"/>
      <c r="AV51" s="546"/>
      <c r="AW51" s="546"/>
      <c r="AX51" s="546"/>
      <c r="AY51" s="546"/>
    </row>
    <row r="52" spans="1:51" x14ac:dyDescent="0.2">
      <c r="A52" s="552">
        <v>2</v>
      </c>
      <c r="B52" s="553" t="str">
        <f>B36</f>
        <v>EMED GASCAR</v>
      </c>
      <c r="C52" s="530"/>
      <c r="D52" s="554">
        <f t="shared" ref="D52:L52" si="18">D45*$D$21</f>
        <v>114.48637911464246</v>
      </c>
      <c r="E52" s="554">
        <f t="shared" si="18"/>
        <v>39.419490838333076</v>
      </c>
      <c r="F52" s="554">
        <f t="shared" si="18"/>
        <v>5.7321225879682185</v>
      </c>
      <c r="G52" s="554">
        <f t="shared" si="18"/>
        <v>3.4265039727582338</v>
      </c>
      <c r="H52" s="554">
        <f t="shared" si="18"/>
        <v>13.273269012485812</v>
      </c>
      <c r="I52" s="554">
        <f t="shared" si="18"/>
        <v>67.061577752553916</v>
      </c>
      <c r="J52" s="554">
        <f t="shared" si="18"/>
        <v>107.62706520368268</v>
      </c>
      <c r="K52" s="554">
        <f t="shared" si="18"/>
        <v>107.62706520368268</v>
      </c>
      <c r="L52" s="554">
        <f t="shared" si="18"/>
        <v>164.70731311820978</v>
      </c>
      <c r="M52" s="546"/>
      <c r="N52" s="546"/>
      <c r="O52" s="546"/>
      <c r="P52" s="546"/>
      <c r="Q52" s="546"/>
      <c r="R52" s="546"/>
      <c r="S52" s="546"/>
      <c r="T52" s="546"/>
      <c r="U52" s="546"/>
      <c r="V52" s="546"/>
      <c r="W52" s="546"/>
      <c r="X52" s="546"/>
      <c r="Y52" s="546"/>
      <c r="Z52" s="546"/>
      <c r="AA52" s="546"/>
      <c r="AB52" s="546"/>
      <c r="AC52" s="546"/>
      <c r="AD52" s="546"/>
      <c r="AE52" s="546"/>
      <c r="AF52" s="546"/>
      <c r="AG52" s="546"/>
      <c r="AH52" s="546"/>
      <c r="AI52" s="546"/>
      <c r="AJ52" s="546"/>
      <c r="AK52" s="546"/>
      <c r="AL52" s="546"/>
      <c r="AM52" s="546"/>
      <c r="AN52" s="546"/>
      <c r="AO52" s="546"/>
      <c r="AP52" s="546"/>
      <c r="AQ52" s="546"/>
      <c r="AR52" s="546"/>
      <c r="AS52" s="546"/>
      <c r="AT52" s="546"/>
      <c r="AU52" s="546"/>
      <c r="AV52" s="546"/>
      <c r="AW52" s="546"/>
      <c r="AX52" s="546"/>
      <c r="AY52" s="546"/>
    </row>
    <row r="53" spans="1:51" x14ac:dyDescent="0.2">
      <c r="A53" s="552">
        <v>3</v>
      </c>
      <c r="B53" s="553" t="str">
        <f>B22</f>
        <v>[NOVO PTR]</v>
      </c>
      <c r="C53" s="530"/>
      <c r="D53" s="554">
        <f>D46*$D$22</f>
        <v>0</v>
      </c>
      <c r="E53" s="554">
        <f t="shared" ref="E53:L53" si="19">E46*$D$22</f>
        <v>0</v>
      </c>
      <c r="F53" s="554">
        <f t="shared" si="19"/>
        <v>0</v>
      </c>
      <c r="G53" s="554">
        <f t="shared" si="19"/>
        <v>0</v>
      </c>
      <c r="H53" s="554">
        <f t="shared" si="19"/>
        <v>0</v>
      </c>
      <c r="I53" s="554">
        <f t="shared" si="19"/>
        <v>0</v>
      </c>
      <c r="J53" s="554">
        <f t="shared" si="19"/>
        <v>0</v>
      </c>
      <c r="K53" s="554">
        <f t="shared" si="19"/>
        <v>0</v>
      </c>
      <c r="L53" s="554">
        <f t="shared" si="19"/>
        <v>0</v>
      </c>
      <c r="M53" s="546"/>
      <c r="N53" s="546"/>
      <c r="O53" s="546"/>
      <c r="P53" s="546"/>
      <c r="Q53" s="546"/>
      <c r="R53" s="546"/>
      <c r="S53" s="546"/>
      <c r="T53" s="546"/>
      <c r="U53" s="546"/>
      <c r="V53" s="546"/>
      <c r="W53" s="546"/>
      <c r="X53" s="546"/>
      <c r="Y53" s="546"/>
      <c r="Z53" s="546"/>
      <c r="AA53" s="546"/>
      <c r="AB53" s="546"/>
      <c r="AC53" s="546"/>
      <c r="AD53" s="546"/>
      <c r="AE53" s="546"/>
      <c r="AF53" s="546"/>
      <c r="AG53" s="546"/>
      <c r="AH53" s="546"/>
      <c r="AI53" s="546"/>
      <c r="AJ53" s="546"/>
      <c r="AK53" s="546"/>
      <c r="AL53" s="546"/>
      <c r="AM53" s="546"/>
      <c r="AN53" s="546"/>
      <c r="AO53" s="546"/>
      <c r="AP53" s="546"/>
      <c r="AQ53" s="546"/>
      <c r="AR53" s="546"/>
      <c r="AS53" s="546"/>
      <c r="AT53" s="546"/>
      <c r="AU53" s="546"/>
      <c r="AV53" s="546"/>
      <c r="AW53" s="546"/>
      <c r="AX53" s="546"/>
      <c r="AY53" s="546"/>
    </row>
    <row r="54" spans="1:51" ht="18" x14ac:dyDescent="0.2">
      <c r="B54" s="559"/>
      <c r="C54" s="568" t="s">
        <v>413</v>
      </c>
      <c r="D54" s="569">
        <f t="shared" ref="D54:L54" si="20">SUM(D51:D52)</f>
        <v>507.07434733257662</v>
      </c>
      <c r="E54" s="569">
        <f t="shared" si="20"/>
        <v>886.01199935138652</v>
      </c>
      <c r="F54" s="569">
        <f t="shared" si="20"/>
        <v>1106.86628830874</v>
      </c>
      <c r="G54" s="569">
        <f t="shared" si="20"/>
        <v>1109.1515891032918</v>
      </c>
      <c r="H54" s="569">
        <f t="shared" si="20"/>
        <v>1178.5515891032919</v>
      </c>
      <c r="I54" s="569">
        <f t="shared" si="20"/>
        <v>1557.6515891032918</v>
      </c>
      <c r="J54" s="569">
        <f t="shared" si="20"/>
        <v>1843.5571446588474</v>
      </c>
      <c r="K54" s="569">
        <f t="shared" si="20"/>
        <v>1843.5571446588474</v>
      </c>
      <c r="L54" s="569">
        <f t="shared" si="20"/>
        <v>2245.8587319604349</v>
      </c>
      <c r="M54" s="546"/>
      <c r="N54" s="546"/>
      <c r="O54" s="546"/>
      <c r="P54" s="546"/>
      <c r="Q54" s="546"/>
      <c r="R54" s="546"/>
      <c r="S54" s="546"/>
      <c r="T54" s="546"/>
      <c r="U54" s="546"/>
      <c r="V54" s="546"/>
      <c r="W54" s="546"/>
      <c r="X54" s="546"/>
      <c r="Y54" s="546"/>
      <c r="Z54" s="546"/>
      <c r="AA54" s="546"/>
      <c r="AB54" s="546"/>
      <c r="AC54" s="546"/>
      <c r="AD54" s="546"/>
      <c r="AE54" s="546"/>
      <c r="AF54" s="546"/>
      <c r="AG54" s="546"/>
      <c r="AH54" s="546"/>
      <c r="AI54" s="546"/>
      <c r="AJ54" s="546"/>
      <c r="AK54" s="546"/>
      <c r="AL54" s="546"/>
      <c r="AM54" s="546"/>
      <c r="AN54" s="546"/>
      <c r="AO54" s="546"/>
      <c r="AP54" s="546"/>
      <c r="AQ54" s="546"/>
      <c r="AR54" s="546"/>
      <c r="AS54" s="546"/>
      <c r="AT54" s="546"/>
      <c r="AU54" s="546"/>
      <c r="AV54" s="546"/>
      <c r="AW54" s="546"/>
      <c r="AX54" s="546"/>
      <c r="AY54" s="546"/>
    </row>
    <row r="57" spans="1:51" ht="13.5" thickBot="1" x14ac:dyDescent="0.25"/>
    <row r="58" spans="1:51" ht="18" customHeight="1" thickBot="1" x14ac:dyDescent="0.25">
      <c r="A58" s="570"/>
      <c r="B58" s="683" t="s">
        <v>414</v>
      </c>
      <c r="C58" s="685" t="s">
        <v>415</v>
      </c>
      <c r="D58" s="685" t="s">
        <v>416</v>
      </c>
      <c r="E58" s="686" t="s">
        <v>417</v>
      </c>
      <c r="F58" s="687"/>
      <c r="N58" s="533"/>
    </row>
    <row r="59" spans="1:51" ht="18" x14ac:dyDescent="0.2">
      <c r="B59" s="684"/>
      <c r="C59" s="685"/>
      <c r="D59" s="685"/>
      <c r="E59" s="571" t="s">
        <v>418</v>
      </c>
      <c r="F59" s="572" t="s">
        <v>419</v>
      </c>
      <c r="G59" s="573"/>
      <c r="I59" s="574"/>
    </row>
    <row r="60" spans="1:51" x14ac:dyDescent="0.2">
      <c r="A60" s="552">
        <v>1</v>
      </c>
      <c r="B60" s="575" t="str">
        <f>B51</f>
        <v>EMED CORUMBÁ</v>
      </c>
      <c r="C60" s="576">
        <f>E20*C35</f>
        <v>6147395523.7270269</v>
      </c>
      <c r="D60" s="576">
        <f>C60/$C$63</f>
        <v>0.95288884615278413</v>
      </c>
      <c r="E60" s="576">
        <f>D60*(IF($A$58=1,$I$4,$I$11)*$C$80)</f>
        <v>304812.85912307526</v>
      </c>
      <c r="F60" s="576">
        <f>(IF(C60=0,0,E60/E20*1000)/Premissas!$B$57/10^3)</f>
        <v>1.5926103364655493</v>
      </c>
      <c r="G60" s="577">
        <f>F60+$D$81</f>
        <v>2.185107114580175</v>
      </c>
      <c r="H60" s="577"/>
      <c r="I60" s="578"/>
      <c r="J60" s="578"/>
      <c r="K60" s="578"/>
      <c r="L60" s="578"/>
      <c r="M60" s="578"/>
      <c r="N60" s="574"/>
      <c r="O60" s="536"/>
      <c r="P60" s="579"/>
      <c r="Q60" s="536"/>
    </row>
    <row r="61" spans="1:51" x14ac:dyDescent="0.2">
      <c r="A61" s="552">
        <v>2</v>
      </c>
      <c r="B61" s="575" t="str">
        <f>B52</f>
        <v>EMED GASCAR</v>
      </c>
      <c r="C61" s="576">
        <f>E21*C36</f>
        <v>303929359.07191241</v>
      </c>
      <c r="D61" s="576">
        <f>C61/$C$63</f>
        <v>4.7111153847215821E-2</v>
      </c>
      <c r="E61" s="576">
        <f>D61*(IF($A$58=1,$I$4,$I$11)*$C$80)</f>
        <v>15070.053090383699</v>
      </c>
      <c r="F61" s="576">
        <f>(IF(C61=0,0,E61/E21*1000)/Premissas!$B$57/10^3)</f>
        <v>0.37685199619471788</v>
      </c>
      <c r="G61" s="577">
        <f>F61+$D$81</f>
        <v>0.96934877430934385</v>
      </c>
      <c r="H61" s="577"/>
      <c r="I61" s="578"/>
      <c r="J61" s="578"/>
      <c r="K61" s="578"/>
      <c r="L61" s="578"/>
      <c r="M61" s="578"/>
      <c r="N61" s="574"/>
      <c r="O61" s="536"/>
      <c r="P61" s="579"/>
      <c r="Q61" s="536"/>
    </row>
    <row r="62" spans="1:51" x14ac:dyDescent="0.2">
      <c r="A62" s="552">
        <v>3</v>
      </c>
      <c r="B62" s="575" t="str">
        <f>B53</f>
        <v>[NOVO PTR]</v>
      </c>
      <c r="C62" s="576">
        <f>E22*C37</f>
        <v>0</v>
      </c>
      <c r="D62" s="576">
        <f>C62/$C$63</f>
        <v>0</v>
      </c>
      <c r="E62" s="576">
        <f>D62*(IF($A$58=1,$I$4,$I$11)*$C$80)</f>
        <v>0</v>
      </c>
      <c r="F62" s="576">
        <f>(IF(C62=0,0,E62/E22*1000)/Premissas!$B$57/10^3)</f>
        <v>0</v>
      </c>
      <c r="G62" s="577">
        <f>IF(F62=0,0,F62+$D$81)</f>
        <v>0</v>
      </c>
      <c r="H62" s="577"/>
      <c r="I62" s="578"/>
      <c r="J62" s="578"/>
      <c r="K62" s="578"/>
      <c r="L62" s="578"/>
      <c r="M62" s="578"/>
      <c r="N62" s="574"/>
      <c r="O62" s="536"/>
      <c r="P62" s="579"/>
      <c r="Q62" s="536"/>
    </row>
    <row r="63" spans="1:51" x14ac:dyDescent="0.2">
      <c r="B63" s="580" t="s">
        <v>1</v>
      </c>
      <c r="C63" s="576">
        <f>SUM(C60:C62)</f>
        <v>6451324882.7989397</v>
      </c>
      <c r="D63" s="576">
        <f>SUM(D60:D62)</f>
        <v>1</v>
      </c>
      <c r="E63" s="576">
        <f>SUM(E60:E62)</f>
        <v>319882.91221345897</v>
      </c>
      <c r="F63" s="576">
        <f>((E63/E23*1000)/Premissas!$B$57/10^3)+$D$81</f>
        <v>1.9749892603820867</v>
      </c>
      <c r="G63" s="577"/>
      <c r="I63" s="578"/>
      <c r="J63" s="578"/>
      <c r="K63" s="578"/>
      <c r="L63" s="578"/>
      <c r="M63" s="578"/>
      <c r="N63" s="578"/>
      <c r="O63" s="536"/>
      <c r="P63" s="581"/>
      <c r="Q63" s="536"/>
    </row>
    <row r="64" spans="1:51" x14ac:dyDescent="0.2">
      <c r="B64" s="582"/>
      <c r="C64" s="583"/>
      <c r="D64" s="583"/>
      <c r="E64" s="584">
        <f>(E63+D80)/(E63+D80+E76+D83)</f>
        <v>0.50000000000000011</v>
      </c>
      <c r="F64" s="583"/>
      <c r="G64" s="577"/>
      <c r="I64" s="578"/>
      <c r="J64" s="578"/>
      <c r="K64" s="578"/>
      <c r="L64" s="578"/>
      <c r="M64" s="578"/>
      <c r="N64" s="574"/>
      <c r="P64" s="585"/>
    </row>
    <row r="65" spans="1:92" ht="15" x14ac:dyDescent="0.2">
      <c r="B65" s="684" t="s">
        <v>420</v>
      </c>
      <c r="C65" s="685" t="s">
        <v>421</v>
      </c>
      <c r="D65" s="685" t="s">
        <v>422</v>
      </c>
      <c r="E65" s="686" t="s">
        <v>417</v>
      </c>
      <c r="F65" s="687"/>
      <c r="I65" s="578"/>
      <c r="J65" s="578"/>
      <c r="K65" s="578"/>
      <c r="L65" s="578"/>
      <c r="M65" s="578"/>
      <c r="N65" s="578"/>
      <c r="O65" s="536"/>
      <c r="P65" s="581"/>
    </row>
    <row r="66" spans="1:92" ht="18" x14ac:dyDescent="0.2">
      <c r="B66" s="684"/>
      <c r="C66" s="685"/>
      <c r="D66" s="685"/>
      <c r="E66" s="571" t="s">
        <v>423</v>
      </c>
      <c r="F66" s="572" t="s">
        <v>424</v>
      </c>
      <c r="I66" s="578"/>
      <c r="J66" s="578"/>
      <c r="K66" s="578"/>
      <c r="L66" s="578"/>
      <c r="M66" s="578"/>
      <c r="N66" s="586"/>
      <c r="P66" s="585"/>
    </row>
    <row r="67" spans="1:92" x14ac:dyDescent="0.2">
      <c r="A67" s="509">
        <v>1</v>
      </c>
      <c r="B67" s="587" t="str">
        <f t="shared" ref="B67:B76" si="21">H20</f>
        <v>MSgás</v>
      </c>
      <c r="C67" s="583">
        <f t="shared" ref="C67:C75" si="22">HLOOKUP(A67,$D$49:$L$54,6,FALSE)*K20</f>
        <v>411491264.38117981</v>
      </c>
      <c r="D67" s="583">
        <f t="shared" ref="D67:D75" si="23">C67/$C$76</f>
        <v>5.8730559526718962E-2</v>
      </c>
      <c r="E67" s="583">
        <f t="shared" ref="E67:E75" si="24">D67*(IF($A$58=1,$I$5,$I$12)*$C$83)</f>
        <v>18786.902417332767</v>
      </c>
      <c r="F67" s="588">
        <f>((IF(E67=0,0,E67/K20)*1000)/Premissas!$B$57/10^3)</f>
        <v>0.63461748773750992</v>
      </c>
      <c r="G67" s="589">
        <f>F67+$D$84</f>
        <v>1.2271142658521361</v>
      </c>
      <c r="H67" s="577"/>
      <c r="I67" s="578"/>
      <c r="J67" s="578"/>
      <c r="K67" s="578"/>
      <c r="L67" s="578"/>
      <c r="M67" s="578"/>
      <c r="N67" s="574"/>
      <c r="O67" s="536"/>
      <c r="P67" s="581"/>
      <c r="Q67" s="536"/>
      <c r="R67" s="577"/>
      <c r="S67" s="590"/>
    </row>
    <row r="68" spans="1:92" x14ac:dyDescent="0.2">
      <c r="A68" s="509">
        <v>2</v>
      </c>
      <c r="B68" s="591" t="str">
        <f t="shared" si="21"/>
        <v>Gás Brasiliano</v>
      </c>
      <c r="C68" s="583">
        <f t="shared" si="22"/>
        <v>301580164.59488177</v>
      </c>
      <c r="D68" s="583">
        <f t="shared" si="23"/>
        <v>4.3043372586422976E-2</v>
      </c>
      <c r="E68" s="583">
        <f t="shared" si="24"/>
        <v>13768.839374433946</v>
      </c>
      <c r="F68" s="592">
        <f>((IF(E68=0,0,E68/K21)*1000)/Premissas!$B$57/10^3)</f>
        <v>1.1088683781608881</v>
      </c>
      <c r="G68" s="589">
        <f t="shared" ref="G68:G75" si="25">F68+$D$84</f>
        <v>1.7013651562755143</v>
      </c>
      <c r="H68" s="577"/>
      <c r="I68" s="578"/>
      <c r="J68" s="578"/>
      <c r="K68" s="578"/>
      <c r="L68" s="578"/>
      <c r="M68" s="578"/>
      <c r="N68" s="574"/>
      <c r="O68" s="536"/>
      <c r="P68" s="581"/>
      <c r="Q68" s="536"/>
      <c r="R68" s="577"/>
      <c r="S68" s="590"/>
    </row>
    <row r="69" spans="1:92" x14ac:dyDescent="0.2">
      <c r="A69" s="509">
        <v>3</v>
      </c>
      <c r="B69" s="587" t="str">
        <f t="shared" si="21"/>
        <v>Comgás (Trecho Norte)</v>
      </c>
      <c r="C69" s="583">
        <f t="shared" si="22"/>
        <v>4440541194.6373491</v>
      </c>
      <c r="D69" s="583">
        <f t="shared" si="23"/>
        <v>0.63378130117705711</v>
      </c>
      <c r="E69" s="583">
        <f t="shared" si="24"/>
        <v>202735.80832695236</v>
      </c>
      <c r="F69" s="592">
        <f>((IF(E69=0,0,E69/K22)*1000)/Premissas!$B$57/10^3)</f>
        <v>1.3852735931978146</v>
      </c>
      <c r="G69" s="589">
        <f t="shared" si="25"/>
        <v>1.9777703713124408</v>
      </c>
      <c r="H69" s="577"/>
      <c r="I69" s="578"/>
      <c r="J69" s="578"/>
      <c r="K69" s="578"/>
      <c r="L69" s="578"/>
      <c r="M69" s="578"/>
      <c r="N69" s="574"/>
      <c r="O69" s="536"/>
      <c r="P69" s="581"/>
      <c r="Q69" s="536"/>
      <c r="R69" s="577"/>
      <c r="S69" s="590"/>
    </row>
    <row r="70" spans="1:92" x14ac:dyDescent="0.2">
      <c r="A70" s="509">
        <v>4</v>
      </c>
      <c r="B70" s="587" t="str">
        <f t="shared" si="21"/>
        <v>Comgás (Trecho Sul)</v>
      </c>
      <c r="C70" s="583">
        <f t="shared" si="22"/>
        <v>405.28399065834282</v>
      </c>
      <c r="D70" s="583">
        <f t="shared" si="23"/>
        <v>5.7844619312590833E-8</v>
      </c>
      <c r="E70" s="583">
        <f t="shared" si="24"/>
        <v>1.8503505281590445E-2</v>
      </c>
      <c r="F70" s="592">
        <f>((IF(E70=0,0,E70/K23)*1000)/Premissas!$B$57/10^3)</f>
        <v>1.3881337099767288</v>
      </c>
      <c r="G70" s="589">
        <f t="shared" si="25"/>
        <v>1.980630488091355</v>
      </c>
      <c r="H70" s="577"/>
      <c r="I70" s="578"/>
      <c r="J70" s="578"/>
      <c r="K70" s="578"/>
      <c r="L70" s="578"/>
      <c r="M70" s="578"/>
      <c r="N70" s="574"/>
      <c r="O70" s="536"/>
      <c r="P70" s="581"/>
      <c r="Q70" s="536"/>
      <c r="R70" s="577"/>
      <c r="S70" s="590"/>
      <c r="CN70" s="593"/>
    </row>
    <row r="71" spans="1:92" ht="15" customHeight="1" x14ac:dyDescent="0.2">
      <c r="A71" s="509">
        <v>5</v>
      </c>
      <c r="B71" s="587" t="str">
        <f t="shared" si="21"/>
        <v>Gás Natural São Paulo</v>
      </c>
      <c r="C71" s="583">
        <f t="shared" si="22"/>
        <v>568448430.86901271</v>
      </c>
      <c r="D71" s="583">
        <f t="shared" si="23"/>
        <v>8.1132449937251855E-2</v>
      </c>
      <c r="E71" s="583">
        <f t="shared" si="24"/>
        <v>25952.884360940789</v>
      </c>
      <c r="F71" s="592">
        <f>((IF(E71=0,0,E71/K24)*1000)/Premissas!$B$57/10^3)</f>
        <v>1.4749897181354239</v>
      </c>
      <c r="G71" s="589">
        <f t="shared" si="25"/>
        <v>2.0674864962500501</v>
      </c>
      <c r="H71" s="577"/>
      <c r="I71" s="578"/>
      <c r="J71" s="578"/>
      <c r="K71" s="578"/>
      <c r="L71" s="578"/>
      <c r="M71" s="578"/>
      <c r="N71" s="574"/>
      <c r="O71" s="536"/>
      <c r="P71" s="581"/>
      <c r="Q71" s="536"/>
      <c r="R71" s="577"/>
      <c r="S71" s="590"/>
      <c r="AM71" s="593"/>
      <c r="AN71" s="558"/>
      <c r="AO71" s="593"/>
      <c r="AP71" s="558"/>
      <c r="AQ71" s="593"/>
      <c r="AR71" s="558"/>
      <c r="AS71" s="593"/>
      <c r="AT71" s="558"/>
      <c r="AU71" s="593"/>
      <c r="AV71" s="558"/>
      <c r="AW71" s="593"/>
      <c r="AX71" s="558"/>
      <c r="AY71" s="593"/>
      <c r="AZ71" s="558"/>
      <c r="BA71" s="593"/>
      <c r="BB71" s="558"/>
      <c r="BC71" s="593"/>
      <c r="BD71" s="558"/>
      <c r="BE71" s="593"/>
      <c r="BF71" s="558"/>
      <c r="BG71" s="593"/>
      <c r="BH71" s="558"/>
      <c r="CN71" s="593"/>
    </row>
    <row r="72" spans="1:92" x14ac:dyDescent="0.2">
      <c r="A72" s="509">
        <v>6</v>
      </c>
      <c r="B72" s="587" t="str">
        <f t="shared" si="21"/>
        <v>Compagás</v>
      </c>
      <c r="C72" s="583">
        <f t="shared" si="22"/>
        <v>569.16589065834285</v>
      </c>
      <c r="D72" s="583">
        <f t="shared" si="23"/>
        <v>8.1234850203096251E-8</v>
      </c>
      <c r="E72" s="583">
        <f t="shared" si="24"/>
        <v>2.5985640456190527E-2</v>
      </c>
      <c r="F72" s="592">
        <f>((IF(E72=0,0,E72/K25)*1000)/Premissas!$B$57/10^3)</f>
        <v>1.9494437915210328</v>
      </c>
      <c r="G72" s="589">
        <f t="shared" si="25"/>
        <v>2.541940569635659</v>
      </c>
      <c r="H72" s="577"/>
      <c r="I72" s="578"/>
      <c r="J72" s="578"/>
      <c r="K72" s="578"/>
      <c r="L72" s="578"/>
      <c r="M72" s="578"/>
      <c r="N72" s="574"/>
      <c r="O72" s="536"/>
      <c r="P72" s="581"/>
      <c r="Q72" s="536"/>
      <c r="R72" s="577"/>
      <c r="S72" s="590"/>
      <c r="CN72" s="593"/>
    </row>
    <row r="73" spans="1:92" x14ac:dyDescent="0.2">
      <c r="A73" s="509">
        <v>7</v>
      </c>
      <c r="B73" s="587" t="str">
        <f t="shared" si="21"/>
        <v>SCGás 1</v>
      </c>
      <c r="C73" s="583">
        <f t="shared" si="22"/>
        <v>828917064.66758835</v>
      </c>
      <c r="D73" s="583">
        <f t="shared" si="23"/>
        <v>0.11830813245181379</v>
      </c>
      <c r="E73" s="583">
        <f t="shared" si="24"/>
        <v>37844.749947221826</v>
      </c>
      <c r="F73" s="592">
        <f>((IF(E73=0,0,E73/K26)*1000)/Premissas!$B$57/10^3)</f>
        <v>2.3072624552955219</v>
      </c>
      <c r="G73" s="589">
        <f t="shared" si="25"/>
        <v>2.8997592334101481</v>
      </c>
      <c r="H73" s="577"/>
      <c r="I73" s="578"/>
      <c r="J73" s="578"/>
      <c r="K73" s="578"/>
      <c r="L73" s="578"/>
      <c r="M73" s="578"/>
      <c r="N73" s="574"/>
      <c r="O73" s="536"/>
      <c r="P73" s="581"/>
      <c r="Q73" s="536"/>
      <c r="R73" s="577"/>
      <c r="S73" s="590"/>
      <c r="CN73" s="593"/>
    </row>
    <row r="74" spans="1:92" x14ac:dyDescent="0.2">
      <c r="A74" s="509">
        <v>8</v>
      </c>
      <c r="B74" s="587" t="str">
        <f t="shared" si="21"/>
        <v>SCGás 2</v>
      </c>
      <c r="C74" s="583">
        <f t="shared" si="22"/>
        <v>455445151.30310559</v>
      </c>
      <c r="D74" s="583">
        <f t="shared" si="23"/>
        <v>6.5003928114946277E-2</v>
      </c>
      <c r="E74" s="583">
        <f t="shared" si="24"/>
        <v>20793.645830723359</v>
      </c>
      <c r="F74" s="592">
        <f>((IF(E74=0,0,E74/K27)*1000)/Premissas!$B$57/10^3)</f>
        <v>2.3072624552955223</v>
      </c>
      <c r="G74" s="589">
        <f t="shared" si="25"/>
        <v>2.8997592334101485</v>
      </c>
      <c r="H74" s="577"/>
      <c r="I74" s="578"/>
      <c r="J74" s="578"/>
      <c r="K74" s="578"/>
      <c r="L74" s="578"/>
      <c r="M74" s="578"/>
      <c r="N74" s="574"/>
      <c r="O74" s="536"/>
      <c r="P74" s="581"/>
      <c r="Q74" s="536"/>
      <c r="R74" s="577"/>
      <c r="S74" s="590"/>
      <c r="CN74" s="593"/>
    </row>
    <row r="75" spans="1:92" x14ac:dyDescent="0.2">
      <c r="A75" s="509">
        <v>9</v>
      </c>
      <c r="B75" s="587" t="str">
        <f t="shared" si="21"/>
        <v>Sulgás</v>
      </c>
      <c r="C75" s="583">
        <f t="shared" si="22"/>
        <v>820.6367806583429</v>
      </c>
      <c r="D75" s="583">
        <f t="shared" si="23"/>
        <v>1.1712631948274759E-7</v>
      </c>
      <c r="E75" s="583">
        <f t="shared" si="24"/>
        <v>3.7466708172985294E-2</v>
      </c>
      <c r="F75" s="592">
        <f>((IF(E75=0,0,E75/K28)*1000)/Premissas!$B$57/10^3)</f>
        <v>2.8107539531186143</v>
      </c>
      <c r="G75" s="589">
        <f t="shared" si="25"/>
        <v>3.4032507312332405</v>
      </c>
      <c r="H75" s="577"/>
      <c r="I75" s="578"/>
      <c r="J75" s="578"/>
      <c r="K75" s="578"/>
      <c r="L75" s="578"/>
      <c r="M75" s="578"/>
      <c r="N75" s="574"/>
      <c r="O75" s="536"/>
      <c r="P75" s="581"/>
      <c r="Q75" s="536"/>
      <c r="R75" s="577"/>
      <c r="S75" s="590"/>
      <c r="CN75" s="593"/>
    </row>
    <row r="76" spans="1:92" x14ac:dyDescent="0.2">
      <c r="B76" s="594" t="str">
        <f t="shared" si="21"/>
        <v>TOTAL</v>
      </c>
      <c r="C76" s="595">
        <f>SUM(C67:C75)</f>
        <v>7006425065.5397797</v>
      </c>
      <c r="D76" s="595">
        <f>SUM(D67:D75)</f>
        <v>1</v>
      </c>
      <c r="E76" s="596">
        <f>SUM(E67:E75)</f>
        <v>319882.91221345891</v>
      </c>
      <c r="F76" s="597">
        <f>(E76/K29/Premissas!$B$57)+$D$84</f>
        <v>1.9749892603820864</v>
      </c>
      <c r="H76" s="598"/>
      <c r="I76" s="574"/>
      <c r="J76" s="574"/>
      <c r="K76" s="574"/>
      <c r="L76" s="574"/>
      <c r="M76" s="574"/>
      <c r="N76" s="574"/>
      <c r="O76" s="599"/>
      <c r="P76" s="600"/>
      <c r="CN76" s="593"/>
    </row>
    <row r="77" spans="1:92" x14ac:dyDescent="0.2">
      <c r="B77" s="593"/>
      <c r="C77" s="558"/>
      <c r="D77" s="558"/>
      <c r="E77" s="601">
        <f>(E76+D83)/(E63+D80+E76+D83)</f>
        <v>0.49999999999999994</v>
      </c>
      <c r="F77" s="558"/>
      <c r="I77" s="578"/>
      <c r="J77" s="578"/>
      <c r="K77" s="578"/>
      <c r="L77" s="578"/>
      <c r="M77" s="578"/>
      <c r="N77" s="574"/>
      <c r="O77" s="602"/>
      <c r="P77" s="585"/>
      <c r="CN77" s="593"/>
    </row>
    <row r="78" spans="1:92" ht="13.5" thickBot="1" x14ac:dyDescent="0.25">
      <c r="D78" s="598"/>
      <c r="I78" s="578"/>
      <c r="J78" s="578"/>
      <c r="K78" s="578"/>
      <c r="L78" s="578"/>
      <c r="M78" s="578"/>
      <c r="N78" s="536"/>
      <c r="O78" s="599"/>
      <c r="P78" s="581"/>
      <c r="CN78" s="593"/>
    </row>
    <row r="79" spans="1:92" x14ac:dyDescent="0.2">
      <c r="B79" s="603" t="s">
        <v>425</v>
      </c>
      <c r="C79" s="604" t="s">
        <v>235</v>
      </c>
      <c r="O79" s="599"/>
      <c r="P79" s="600"/>
      <c r="CN79" s="593"/>
    </row>
    <row r="80" spans="1:92" ht="13.5" thickBot="1" x14ac:dyDescent="0.25">
      <c r="B80" s="605">
        <v>0.3</v>
      </c>
      <c r="C80" s="606">
        <f>1-B80</f>
        <v>0.7</v>
      </c>
      <c r="D80" s="607">
        <f>B80*(IF($A$58=1,$I$4,$I$11))</f>
        <v>137092.67666291099</v>
      </c>
      <c r="O80" s="599"/>
      <c r="P80" s="600"/>
      <c r="CN80" s="593"/>
    </row>
    <row r="81" spans="1:92" ht="13.5" thickBot="1" x14ac:dyDescent="0.25">
      <c r="D81" s="598">
        <f>(D80/E23*1000)/Premissas!$B$57/10^3</f>
        <v>0.59249677811462598</v>
      </c>
      <c r="I81" s="535"/>
      <c r="J81" s="535"/>
      <c r="K81" s="535"/>
      <c r="L81" s="535"/>
      <c r="M81" s="535"/>
      <c r="N81" s="535"/>
      <c r="O81" s="602"/>
      <c r="CN81" s="593"/>
    </row>
    <row r="82" spans="1:92" x14ac:dyDescent="0.2">
      <c r="B82" s="603" t="s">
        <v>425</v>
      </c>
      <c r="C82" s="604" t="s">
        <v>236</v>
      </c>
      <c r="I82" s="536"/>
      <c r="J82" s="536"/>
      <c r="K82" s="536"/>
      <c r="L82" s="536"/>
      <c r="M82" s="536"/>
      <c r="N82" s="536"/>
      <c r="O82" s="602"/>
      <c r="CN82" s="593"/>
    </row>
    <row r="83" spans="1:92" ht="13.5" thickBot="1" x14ac:dyDescent="0.25">
      <c r="B83" s="605">
        <v>0.3</v>
      </c>
      <c r="C83" s="606">
        <f>1-B83</f>
        <v>0.7</v>
      </c>
      <c r="D83" s="607">
        <f>B83*(IF($A$58=1,$I$5,$I$12))</f>
        <v>137092.67666291099</v>
      </c>
      <c r="I83" s="608"/>
      <c r="J83" s="608"/>
      <c r="K83" s="608"/>
      <c r="L83" s="608"/>
      <c r="M83" s="608"/>
      <c r="N83" s="608"/>
      <c r="O83" s="602"/>
      <c r="CN83" s="593"/>
    </row>
    <row r="84" spans="1:92" x14ac:dyDescent="0.2">
      <c r="D84" s="598">
        <f>(D83/K29*1000)/Premissas!$B$57/10^3</f>
        <v>0.59249677811462609</v>
      </c>
      <c r="CN84" s="593"/>
    </row>
    <row r="85" spans="1:92" x14ac:dyDescent="0.2">
      <c r="B85" s="609"/>
      <c r="C85" s="610"/>
      <c r="BA85" s="593"/>
      <c r="CN85" s="593"/>
    </row>
    <row r="86" spans="1:92" ht="15" customHeight="1" x14ac:dyDescent="0.2">
      <c r="B86" s="682" t="s">
        <v>426</v>
      </c>
      <c r="C86" s="611"/>
      <c r="D86" s="612" t="s">
        <v>420</v>
      </c>
      <c r="E86" s="559"/>
      <c r="F86" s="559"/>
      <c r="G86" s="559"/>
      <c r="H86" s="559"/>
      <c r="I86" s="559"/>
      <c r="J86" s="559"/>
      <c r="K86" s="559"/>
      <c r="L86" s="559"/>
      <c r="P86" s="613"/>
      <c r="Q86" s="680"/>
      <c r="R86" s="680"/>
      <c r="S86" s="680"/>
      <c r="BA86" s="593"/>
      <c r="CN86" s="593"/>
    </row>
    <row r="87" spans="1:92" ht="15" customHeight="1" x14ac:dyDescent="0.2">
      <c r="B87" s="682"/>
      <c r="C87" s="553" t="s">
        <v>427</v>
      </c>
      <c r="D87" s="553">
        <v>1</v>
      </c>
      <c r="E87" s="553">
        <v>2</v>
      </c>
      <c r="F87" s="553">
        <v>3</v>
      </c>
      <c r="G87" s="553">
        <v>4</v>
      </c>
      <c r="H87" s="553">
        <v>5</v>
      </c>
      <c r="I87" s="553">
        <v>6</v>
      </c>
      <c r="J87" s="553">
        <v>7</v>
      </c>
      <c r="K87" s="553">
        <v>8</v>
      </c>
      <c r="L87" s="553">
        <v>9</v>
      </c>
      <c r="M87" s="614"/>
      <c r="N87" s="548"/>
      <c r="O87" s="548"/>
      <c r="P87" s="615"/>
      <c r="Q87" s="616"/>
      <c r="R87" s="616"/>
      <c r="S87" s="616"/>
      <c r="BA87" s="593"/>
      <c r="CN87" s="593"/>
    </row>
    <row r="88" spans="1:92" ht="15" customHeight="1" x14ac:dyDescent="0.2">
      <c r="B88" s="617" t="s">
        <v>414</v>
      </c>
      <c r="C88" s="529" t="s">
        <v>428</v>
      </c>
      <c r="D88" s="550" t="str">
        <f t="shared" ref="D88:L88" si="26">D50</f>
        <v>MSgás</v>
      </c>
      <c r="E88" s="550" t="str">
        <f t="shared" si="26"/>
        <v>Gás Brasiliano</v>
      </c>
      <c r="F88" s="550" t="str">
        <f t="shared" si="26"/>
        <v>Comgás (Trecho Norte)</v>
      </c>
      <c r="G88" s="550" t="str">
        <f t="shared" si="26"/>
        <v>Comgás (Trecho Sul)</v>
      </c>
      <c r="H88" s="550" t="str">
        <f t="shared" si="26"/>
        <v>Gás Natural São Paulo</v>
      </c>
      <c r="I88" s="550" t="str">
        <f t="shared" si="26"/>
        <v>Compagás</v>
      </c>
      <c r="J88" s="550" t="str">
        <f t="shared" si="26"/>
        <v>SCGás 1</v>
      </c>
      <c r="K88" s="550" t="str">
        <f t="shared" si="26"/>
        <v>SCGás 2</v>
      </c>
      <c r="L88" s="550" t="str">
        <f t="shared" si="26"/>
        <v>Sulgás</v>
      </c>
      <c r="M88" s="589"/>
      <c r="N88" s="548"/>
      <c r="O88" s="548"/>
      <c r="P88" s="563"/>
      <c r="Q88" s="558"/>
      <c r="R88" s="558"/>
      <c r="S88" s="558"/>
      <c r="BA88" s="593"/>
      <c r="CN88" s="593"/>
    </row>
    <row r="89" spans="1:92" x14ac:dyDescent="0.2">
      <c r="A89" s="552">
        <v>1</v>
      </c>
      <c r="B89" s="553" t="str">
        <f>$B$60</f>
        <v>EMED CORUMBÁ</v>
      </c>
      <c r="C89" s="618">
        <f>$G$60</f>
        <v>2.185107114580175</v>
      </c>
      <c r="D89" s="532">
        <f>$C$89+D92</f>
        <v>3.4122213804323112</v>
      </c>
      <c r="E89" s="532">
        <f t="shared" ref="E89:L89" si="27">$C$89+E92</f>
        <v>3.8864722708556894</v>
      </c>
      <c r="F89" s="532">
        <f t="shared" si="27"/>
        <v>4.1628774858926159</v>
      </c>
      <c r="G89" s="532">
        <f t="shared" si="27"/>
        <v>4.1657376026715305</v>
      </c>
      <c r="H89" s="532">
        <f t="shared" si="27"/>
        <v>4.2525936108302247</v>
      </c>
      <c r="I89" s="532">
        <f t="shared" si="27"/>
        <v>4.727047684215834</v>
      </c>
      <c r="J89" s="532">
        <f t="shared" si="27"/>
        <v>5.0848663479903227</v>
      </c>
      <c r="K89" s="532">
        <f t="shared" si="27"/>
        <v>5.0848663479903236</v>
      </c>
      <c r="L89" s="532">
        <f t="shared" si="27"/>
        <v>5.588357845813416</v>
      </c>
      <c r="N89" s="546"/>
      <c r="O89" s="548"/>
      <c r="P89" s="616"/>
      <c r="Q89" s="558"/>
      <c r="R89" s="558"/>
      <c r="S89" s="558"/>
      <c r="BA89" s="593"/>
      <c r="CN89" s="593"/>
    </row>
    <row r="90" spans="1:92" x14ac:dyDescent="0.2">
      <c r="A90" s="552">
        <v>2</v>
      </c>
      <c r="B90" s="553" t="str">
        <f>$B$61</f>
        <v>EMED GASCAR</v>
      </c>
      <c r="C90" s="618">
        <f>$G$61</f>
        <v>0.96934877430934385</v>
      </c>
      <c r="D90" s="532">
        <f>$C$90+D92</f>
        <v>2.19646304016148</v>
      </c>
      <c r="E90" s="532">
        <f t="shared" ref="E90:L90" si="28">$C$90+E92</f>
        <v>2.6707139305848582</v>
      </c>
      <c r="F90" s="532">
        <f t="shared" si="28"/>
        <v>2.9471191456217847</v>
      </c>
      <c r="G90" s="532">
        <f t="shared" si="28"/>
        <v>2.9499792624006989</v>
      </c>
      <c r="H90" s="532">
        <f t="shared" si="28"/>
        <v>3.036835270559394</v>
      </c>
      <c r="I90" s="532">
        <f t="shared" si="28"/>
        <v>3.5112893439450028</v>
      </c>
      <c r="J90" s="532">
        <f t="shared" si="28"/>
        <v>3.8691080077194919</v>
      </c>
      <c r="K90" s="532">
        <f t="shared" si="28"/>
        <v>3.8691080077194924</v>
      </c>
      <c r="L90" s="532">
        <f t="shared" si="28"/>
        <v>4.3725995055425848</v>
      </c>
      <c r="N90" s="546"/>
      <c r="O90" s="548"/>
      <c r="P90" s="563"/>
      <c r="Q90" s="558"/>
      <c r="R90" s="558"/>
      <c r="S90" s="558"/>
      <c r="BA90" s="593"/>
      <c r="CN90" s="593"/>
    </row>
    <row r="91" spans="1:92" x14ac:dyDescent="0.2">
      <c r="A91" s="552">
        <v>3</v>
      </c>
      <c r="B91" s="553" t="str">
        <f>$B$22</f>
        <v>[NOVO PTR]</v>
      </c>
      <c r="C91" s="618">
        <f>$F$62</f>
        <v>0</v>
      </c>
      <c r="D91" s="532">
        <f>IF($C$91=0,0,$C$91+D92)</f>
        <v>0</v>
      </c>
      <c r="E91" s="532">
        <f t="shared" ref="E91:L91" si="29">IF($C$91=0,0,$C$91+E92)</f>
        <v>0</v>
      </c>
      <c r="F91" s="532">
        <f t="shared" si="29"/>
        <v>0</v>
      </c>
      <c r="G91" s="532">
        <f t="shared" si="29"/>
        <v>0</v>
      </c>
      <c r="H91" s="532">
        <f t="shared" si="29"/>
        <v>0</v>
      </c>
      <c r="I91" s="532">
        <f t="shared" si="29"/>
        <v>0</v>
      </c>
      <c r="J91" s="532">
        <f t="shared" si="29"/>
        <v>0</v>
      </c>
      <c r="K91" s="532">
        <f t="shared" si="29"/>
        <v>0</v>
      </c>
      <c r="L91" s="532">
        <f t="shared" si="29"/>
        <v>0</v>
      </c>
      <c r="N91" s="546"/>
      <c r="O91" s="548"/>
      <c r="P91" s="563"/>
      <c r="Q91" s="558"/>
      <c r="R91" s="558"/>
      <c r="S91" s="558"/>
      <c r="BA91" s="593"/>
      <c r="CN91" s="593"/>
    </row>
    <row r="92" spans="1:92" ht="18" x14ac:dyDescent="0.2">
      <c r="B92" s="559"/>
      <c r="C92" s="529" t="s">
        <v>429</v>
      </c>
      <c r="D92" s="618">
        <f t="array" ref="D92:L92">TRANSPOSE(G67:G75)</f>
        <v>1.2271142658521361</v>
      </c>
      <c r="E92" s="618">
        <v>1.7013651562755143</v>
      </c>
      <c r="F92" s="618">
        <v>1.9777703713124408</v>
      </c>
      <c r="G92" s="618">
        <v>1.980630488091355</v>
      </c>
      <c r="H92" s="618">
        <v>2.0674864962500501</v>
      </c>
      <c r="I92" s="618">
        <v>2.541940569635659</v>
      </c>
      <c r="J92" s="618">
        <v>2.8997592334101481</v>
      </c>
      <c r="K92" s="618">
        <v>2.8997592334101485</v>
      </c>
      <c r="L92" s="618">
        <v>3.4032507312332405</v>
      </c>
      <c r="N92" s="546"/>
      <c r="O92" s="548"/>
      <c r="P92" s="563"/>
      <c r="Q92" s="558"/>
      <c r="R92" s="558"/>
      <c r="S92" s="558"/>
      <c r="BA92" s="593"/>
      <c r="CN92" s="593"/>
    </row>
    <row r="93" spans="1:92" x14ac:dyDescent="0.2">
      <c r="B93" s="619"/>
      <c r="C93" s="546"/>
      <c r="O93" s="548"/>
      <c r="P93" s="563"/>
      <c r="Q93" s="558"/>
      <c r="R93" s="558"/>
      <c r="S93" s="558"/>
      <c r="BA93" s="593"/>
      <c r="CN93" s="593"/>
    </row>
    <row r="94" spans="1:92" x14ac:dyDescent="0.2">
      <c r="B94" s="619"/>
      <c r="C94" s="546"/>
      <c r="O94" s="548"/>
      <c r="P94" s="563"/>
      <c r="Q94" s="558"/>
      <c r="R94" s="558"/>
      <c r="S94" s="558"/>
      <c r="BA94" s="593"/>
      <c r="CN94" s="593"/>
    </row>
    <row r="95" spans="1:92" x14ac:dyDescent="0.2">
      <c r="B95" s="619"/>
      <c r="C95" s="546"/>
      <c r="O95" s="548"/>
      <c r="P95" s="563"/>
      <c r="Q95" s="558"/>
      <c r="R95" s="558"/>
      <c r="S95" s="558"/>
      <c r="BA95" s="593"/>
      <c r="CN95" s="593"/>
    </row>
    <row r="96" spans="1:92" x14ac:dyDescent="0.2">
      <c r="B96" s="108" t="s">
        <v>312</v>
      </c>
      <c r="D96" s="107"/>
      <c r="E96" s="107"/>
      <c r="F96" s="107"/>
      <c r="G96" s="107"/>
      <c r="H96" s="107"/>
      <c r="J96" s="107"/>
      <c r="K96" s="107"/>
      <c r="L96" s="107"/>
      <c r="O96" s="548"/>
      <c r="P96" s="563"/>
      <c r="Q96" s="558"/>
      <c r="R96" s="558"/>
      <c r="S96" s="558"/>
      <c r="BA96" s="593"/>
      <c r="CN96" s="593"/>
    </row>
    <row r="97" spans="2:92" ht="14.25" x14ac:dyDescent="0.25">
      <c r="B97" s="109" t="s">
        <v>313</v>
      </c>
      <c r="D97" s="107"/>
      <c r="E97" s="107"/>
      <c r="F97" s="107"/>
      <c r="G97" s="107"/>
      <c r="H97" s="107"/>
      <c r="J97" s="107"/>
      <c r="K97" s="107"/>
      <c r="L97" s="107"/>
      <c r="O97" s="548"/>
      <c r="P97" s="616"/>
      <c r="Q97" s="558"/>
      <c r="R97" s="558"/>
      <c r="S97" s="620"/>
      <c r="BA97" s="593"/>
      <c r="CN97" s="593"/>
    </row>
    <row r="98" spans="2:92" ht="15" customHeight="1" x14ac:dyDescent="0.2">
      <c r="B98" s="692"/>
      <c r="C98" s="693"/>
      <c r="D98" s="621">
        <v>2020</v>
      </c>
      <c r="E98" s="621">
        <v>2021</v>
      </c>
      <c r="F98" s="621">
        <v>2022</v>
      </c>
      <c r="G98" s="621">
        <v>2023</v>
      </c>
      <c r="H98" s="511">
        <v>2024</v>
      </c>
      <c r="I98" s="511" t="s">
        <v>238</v>
      </c>
      <c r="J98" s="622"/>
      <c r="K98" s="622"/>
      <c r="L98" s="622"/>
      <c r="O98" s="548"/>
      <c r="P98" s="616"/>
      <c r="Q98" s="623"/>
      <c r="R98" s="623"/>
      <c r="S98" s="620"/>
      <c r="BA98" s="593"/>
      <c r="CN98" s="593"/>
    </row>
    <row r="99" spans="2:92" ht="13.5" customHeight="1" x14ac:dyDescent="0.2">
      <c r="B99" s="694" t="s">
        <v>278</v>
      </c>
      <c r="C99" s="695"/>
      <c r="D99" s="624">
        <f>SUM(D100:D102)</f>
        <v>13975.101000000001</v>
      </c>
      <c r="E99" s="624">
        <f t="shared" ref="E99:H99" si="30">SUM(E100:E102)</f>
        <v>13975.101000000001</v>
      </c>
      <c r="F99" s="624">
        <f t="shared" si="30"/>
        <v>16715.140590752693</v>
      </c>
      <c r="G99" s="624">
        <f t="shared" si="30"/>
        <v>17057.907736746103</v>
      </c>
      <c r="H99" s="624">
        <f t="shared" si="30"/>
        <v>17358.234666598215</v>
      </c>
      <c r="I99" s="624">
        <f t="shared" ref="I99:I102" si="31">AVERAGE(D99:H99)</f>
        <v>15816.296998819404</v>
      </c>
      <c r="J99" s="625"/>
      <c r="K99" s="625"/>
      <c r="L99" s="626"/>
      <c r="N99" s="548"/>
      <c r="P99" s="593"/>
      <c r="Q99" s="593"/>
      <c r="R99" s="593"/>
      <c r="S99" s="627"/>
      <c r="BA99" s="593"/>
      <c r="CN99" s="593"/>
    </row>
    <row r="100" spans="2:92" x14ac:dyDescent="0.2">
      <c r="B100" s="696" t="s">
        <v>260</v>
      </c>
      <c r="C100" s="697"/>
      <c r="D100" s="435">
        <f>'C. Demanda'!C6</f>
        <v>13975.101000000001</v>
      </c>
      <c r="E100" s="435">
        <f>'C. Demanda'!D6</f>
        <v>13975.101000000001</v>
      </c>
      <c r="F100" s="435">
        <f>'C. Demanda'!E6</f>
        <v>13715.140590752693</v>
      </c>
      <c r="G100" s="435">
        <f>'C. Demanda'!F6</f>
        <v>14057.907736746103</v>
      </c>
      <c r="H100" s="435">
        <f>'C. Demanda'!G6</f>
        <v>14358.234666598215</v>
      </c>
      <c r="I100" s="435">
        <f t="shared" si="31"/>
        <v>14016.296998819404</v>
      </c>
      <c r="J100" s="628"/>
      <c r="K100" s="625"/>
      <c r="L100" s="626"/>
      <c r="N100" s="548"/>
      <c r="BA100" s="593"/>
      <c r="CN100" s="593"/>
    </row>
    <row r="101" spans="2:92" x14ac:dyDescent="0.2">
      <c r="B101" s="698" t="s">
        <v>185</v>
      </c>
      <c r="C101" s="699"/>
      <c r="D101" s="435">
        <f>'C. Demanda'!C7</f>
        <v>0</v>
      </c>
      <c r="E101" s="435">
        <f>'C. Demanda'!D7</f>
        <v>0</v>
      </c>
      <c r="F101" s="435">
        <f>'C. Demanda'!E7</f>
        <v>3000</v>
      </c>
      <c r="G101" s="435">
        <f>'C. Demanda'!F7</f>
        <v>3000</v>
      </c>
      <c r="H101" s="435">
        <f>'C. Demanda'!G7</f>
        <v>3000</v>
      </c>
      <c r="I101" s="435">
        <f t="shared" si="31"/>
        <v>1800</v>
      </c>
      <c r="J101" s="628"/>
      <c r="K101" s="625"/>
      <c r="L101" s="626"/>
      <c r="N101" s="546"/>
      <c r="O101" s="563"/>
      <c r="P101" s="563"/>
      <c r="Q101" s="558"/>
      <c r="R101" s="558"/>
      <c r="S101" s="558"/>
      <c r="T101" s="558"/>
      <c r="U101" s="558"/>
      <c r="V101" s="558"/>
      <c r="W101" s="558"/>
      <c r="X101" s="558"/>
      <c r="Y101" s="558"/>
      <c r="Z101" s="558"/>
      <c r="AA101" s="558"/>
      <c r="AB101" s="558"/>
      <c r="AC101" s="558"/>
      <c r="AD101" s="558"/>
      <c r="AE101" s="558"/>
      <c r="AF101" s="558"/>
      <c r="AG101" s="558"/>
      <c r="AH101" s="558"/>
      <c r="AI101" s="558"/>
      <c r="AJ101" s="558"/>
      <c r="AK101" s="558"/>
      <c r="AL101" s="558"/>
      <c r="AM101" s="558"/>
      <c r="AN101" s="558"/>
      <c r="AO101" s="558"/>
      <c r="AP101" s="558"/>
      <c r="AQ101" s="558"/>
      <c r="AR101" s="558"/>
      <c r="AS101" s="558"/>
      <c r="AT101" s="558"/>
      <c r="AU101" s="558"/>
      <c r="AV101" s="558"/>
      <c r="AW101" s="558"/>
      <c r="AX101" s="558"/>
      <c r="AY101" s="558"/>
      <c r="AZ101" s="558"/>
      <c r="BA101" s="593"/>
      <c r="CN101" s="593"/>
    </row>
    <row r="102" spans="2:92" x14ac:dyDescent="0.2">
      <c r="B102" s="698" t="str">
        <f>$B$37</f>
        <v>[NOVO PTR]</v>
      </c>
      <c r="C102" s="699"/>
      <c r="D102" s="435">
        <v>0</v>
      </c>
      <c r="E102" s="435">
        <v>0</v>
      </c>
      <c r="F102" s="435">
        <v>0</v>
      </c>
      <c r="G102" s="435">
        <v>0</v>
      </c>
      <c r="H102" s="435">
        <v>0</v>
      </c>
      <c r="I102" s="435">
        <f t="shared" si="31"/>
        <v>0</v>
      </c>
      <c r="J102" s="628"/>
      <c r="K102" s="625"/>
      <c r="L102" s="626"/>
      <c r="N102" s="546"/>
      <c r="O102" s="563"/>
      <c r="P102" s="563"/>
      <c r="Q102" s="558"/>
      <c r="R102" s="558"/>
      <c r="S102" s="558"/>
      <c r="T102" s="558"/>
      <c r="U102" s="558"/>
      <c r="V102" s="558"/>
      <c r="W102" s="558"/>
      <c r="X102" s="558"/>
      <c r="Y102" s="558"/>
      <c r="Z102" s="558"/>
      <c r="AA102" s="558"/>
      <c r="AB102" s="558"/>
      <c r="AC102" s="558"/>
      <c r="AD102" s="558"/>
      <c r="AE102" s="558"/>
      <c r="AF102" s="558"/>
      <c r="AG102" s="558"/>
      <c r="AH102" s="558"/>
      <c r="AI102" s="558"/>
      <c r="AJ102" s="558"/>
      <c r="AK102" s="558"/>
      <c r="AL102" s="558"/>
      <c r="AM102" s="558"/>
      <c r="AN102" s="558"/>
      <c r="AO102" s="558"/>
      <c r="AP102" s="558"/>
      <c r="AQ102" s="558"/>
      <c r="AR102" s="558"/>
      <c r="AS102" s="558"/>
      <c r="AT102" s="558"/>
      <c r="AU102" s="558"/>
      <c r="AV102" s="558"/>
      <c r="AW102" s="558"/>
      <c r="AX102" s="558"/>
      <c r="AY102" s="558"/>
      <c r="AZ102" s="558"/>
      <c r="BA102" s="593"/>
      <c r="CN102" s="593"/>
    </row>
    <row r="103" spans="2:92" x14ac:dyDescent="0.2">
      <c r="B103" s="109"/>
      <c r="D103" s="109"/>
      <c r="E103" s="109"/>
      <c r="F103" s="109"/>
      <c r="G103" s="109"/>
      <c r="H103" s="109"/>
      <c r="I103" s="535"/>
      <c r="J103" s="109"/>
      <c r="K103" s="109"/>
      <c r="L103" s="109"/>
      <c r="N103" s="546"/>
      <c r="O103" s="563"/>
      <c r="P103" s="563"/>
      <c r="Q103" s="558"/>
      <c r="R103" s="558"/>
      <c r="S103" s="615" t="s">
        <v>118</v>
      </c>
      <c r="T103" s="558"/>
      <c r="U103" s="558"/>
      <c r="V103" s="558"/>
      <c r="W103" s="558"/>
      <c r="X103" s="558"/>
      <c r="Y103" s="558"/>
      <c r="Z103" s="558"/>
      <c r="AA103" s="558"/>
      <c r="AB103" s="558"/>
      <c r="AC103" s="558"/>
      <c r="AD103" s="558"/>
      <c r="AE103" s="558"/>
      <c r="AF103" s="558"/>
      <c r="AG103" s="558"/>
      <c r="AH103" s="558"/>
      <c r="AI103" s="558"/>
      <c r="AJ103" s="558"/>
      <c r="AK103" s="558"/>
      <c r="AL103" s="558"/>
      <c r="AM103" s="558"/>
      <c r="AN103" s="558"/>
      <c r="AO103" s="558"/>
      <c r="AP103" s="558"/>
      <c r="AQ103" s="558"/>
      <c r="AR103" s="558"/>
      <c r="AS103" s="558"/>
      <c r="AT103" s="558"/>
      <c r="AU103" s="558"/>
      <c r="AV103" s="558"/>
      <c r="AW103" s="558"/>
      <c r="AX103" s="558"/>
      <c r="AY103" s="558"/>
      <c r="AZ103" s="558"/>
      <c r="BA103" s="593"/>
      <c r="CN103" s="593"/>
    </row>
    <row r="104" spans="2:92" ht="14.25" x14ac:dyDescent="0.25">
      <c r="B104" s="109" t="s">
        <v>314</v>
      </c>
      <c r="D104" s="109"/>
      <c r="E104" s="109"/>
      <c r="F104" s="109"/>
      <c r="G104" s="109"/>
      <c r="H104" s="109"/>
      <c r="I104" s="535"/>
      <c r="J104" s="109"/>
      <c r="K104" s="109"/>
      <c r="L104" s="109"/>
      <c r="N104" s="546"/>
      <c r="O104" s="593"/>
      <c r="P104" s="593"/>
      <c r="Q104" s="593"/>
      <c r="R104" s="593"/>
      <c r="S104" s="593"/>
      <c r="T104" s="593"/>
      <c r="U104" s="593"/>
      <c r="V104" s="593"/>
      <c r="W104" s="593"/>
      <c r="X104" s="593"/>
      <c r="Y104" s="593"/>
      <c r="Z104" s="593"/>
      <c r="AA104" s="593"/>
      <c r="AB104" s="593"/>
      <c r="AC104" s="593"/>
      <c r="AD104" s="593"/>
      <c r="AE104" s="593"/>
      <c r="AF104" s="593"/>
      <c r="AG104" s="593"/>
      <c r="AH104" s="593"/>
      <c r="AI104" s="593"/>
      <c r="AJ104" s="593"/>
      <c r="AK104" s="593"/>
      <c r="AL104" s="593"/>
      <c r="AM104" s="593"/>
      <c r="AN104" s="593"/>
      <c r="AO104" s="593"/>
      <c r="AP104" s="593"/>
      <c r="AQ104" s="593"/>
      <c r="AR104" s="593"/>
      <c r="AS104" s="593"/>
      <c r="AT104" s="593"/>
      <c r="AU104" s="593"/>
      <c r="AV104" s="593"/>
      <c r="AW104" s="593"/>
      <c r="AX104" s="593"/>
      <c r="AY104" s="593"/>
      <c r="AZ104" s="593"/>
      <c r="BA104" s="593"/>
      <c r="CN104" s="593"/>
    </row>
    <row r="105" spans="2:92" x14ac:dyDescent="0.2">
      <c r="B105" s="692"/>
      <c r="C105" s="693"/>
      <c r="D105" s="621">
        <v>2020</v>
      </c>
      <c r="E105" s="621">
        <v>2021</v>
      </c>
      <c r="F105" s="621">
        <v>2022</v>
      </c>
      <c r="G105" s="621">
        <v>2023</v>
      </c>
      <c r="H105" s="511">
        <v>2024</v>
      </c>
      <c r="I105" s="511" t="s">
        <v>238</v>
      </c>
      <c r="J105" s="622"/>
      <c r="K105" s="622"/>
      <c r="L105" s="622"/>
      <c r="O105" s="593"/>
      <c r="P105" s="593"/>
      <c r="Q105" s="593"/>
      <c r="R105" s="593"/>
      <c r="S105" s="593"/>
      <c r="T105" s="593"/>
      <c r="U105" s="593"/>
      <c r="V105" s="593"/>
      <c r="W105" s="593"/>
      <c r="X105" s="593"/>
      <c r="Y105" s="593"/>
      <c r="Z105" s="593"/>
      <c r="AA105" s="593"/>
      <c r="AB105" s="593"/>
      <c r="AC105" s="593"/>
      <c r="AD105" s="593"/>
      <c r="AE105" s="593"/>
      <c r="AF105" s="593"/>
      <c r="AG105" s="593"/>
      <c r="AH105" s="593"/>
      <c r="AI105" s="593"/>
      <c r="AJ105" s="593"/>
      <c r="AK105" s="593"/>
      <c r="AL105" s="593"/>
      <c r="AM105" s="593"/>
      <c r="AN105" s="593"/>
      <c r="AO105" s="593"/>
      <c r="AP105" s="593"/>
      <c r="AQ105" s="593"/>
      <c r="AR105" s="593"/>
      <c r="AS105" s="593"/>
      <c r="AT105" s="593"/>
      <c r="AU105" s="593"/>
      <c r="AV105" s="593"/>
      <c r="AW105" s="593"/>
      <c r="AX105" s="593"/>
      <c r="AY105" s="593"/>
      <c r="AZ105" s="593"/>
      <c r="BA105" s="593"/>
      <c r="CN105" s="593"/>
    </row>
    <row r="106" spans="2:92" x14ac:dyDescent="0.2">
      <c r="B106" s="690" t="s">
        <v>277</v>
      </c>
      <c r="C106" s="691"/>
      <c r="D106" s="434">
        <f>SUM(D107:D115)</f>
        <v>13975.101000000001</v>
      </c>
      <c r="E106" s="434">
        <f t="shared" ref="E106:H106" si="32">SUM(E107:E115)</f>
        <v>13975.101000000001</v>
      </c>
      <c r="F106" s="434">
        <f t="shared" si="32"/>
        <v>16715.140590752693</v>
      </c>
      <c r="G106" s="434">
        <f t="shared" si="32"/>
        <v>17057.907736746052</v>
      </c>
      <c r="H106" s="434">
        <f t="shared" si="32"/>
        <v>17358.234666598215</v>
      </c>
      <c r="I106" s="434">
        <f t="shared" ref="I106:I115" si="33">AVERAGE(D106:H106)</f>
        <v>15816.296998819395</v>
      </c>
      <c r="J106" s="628"/>
      <c r="K106" s="625"/>
      <c r="L106" s="626"/>
      <c r="O106" s="593"/>
      <c r="P106" s="593"/>
      <c r="Q106" s="593"/>
      <c r="R106" s="593"/>
      <c r="S106" s="593"/>
      <c r="T106" s="593"/>
      <c r="U106" s="593"/>
      <c r="V106" s="593"/>
      <c r="W106" s="593"/>
      <c r="X106" s="593"/>
      <c r="Y106" s="593"/>
      <c r="Z106" s="593"/>
      <c r="AA106" s="593"/>
      <c r="AB106" s="593"/>
      <c r="AC106" s="593"/>
      <c r="AD106" s="593"/>
      <c r="AE106" s="593"/>
      <c r="AF106" s="593"/>
      <c r="AG106" s="593"/>
      <c r="AH106" s="593"/>
      <c r="AI106" s="593"/>
      <c r="AJ106" s="593"/>
      <c r="AK106" s="593"/>
      <c r="AL106" s="593"/>
      <c r="AM106" s="593"/>
      <c r="AN106" s="593"/>
      <c r="AO106" s="593"/>
      <c r="AP106" s="593"/>
      <c r="AQ106" s="593"/>
      <c r="AR106" s="593"/>
      <c r="AS106" s="593"/>
      <c r="AT106" s="593"/>
      <c r="AU106" s="593"/>
      <c r="AV106" s="593"/>
      <c r="AW106" s="593"/>
      <c r="AX106" s="593"/>
      <c r="AY106" s="593"/>
      <c r="AZ106" s="593"/>
      <c r="BA106" s="593"/>
      <c r="CN106" s="593"/>
    </row>
    <row r="107" spans="2:92" x14ac:dyDescent="0.2">
      <c r="B107" s="688" t="s">
        <v>248</v>
      </c>
      <c r="C107" s="689"/>
      <c r="D107" s="435">
        <f>'C. Demanda'!C12</f>
        <v>95.104404000000002</v>
      </c>
      <c r="E107" s="435">
        <f>'C. Demanda'!D12</f>
        <v>105.84199800000002</v>
      </c>
      <c r="F107" s="435">
        <f>'C. Demanda'!E12</f>
        <v>2212.2003639999971</v>
      </c>
      <c r="G107" s="435">
        <f>'C. Demanda'!F12</f>
        <v>2216.520467422366</v>
      </c>
      <c r="H107" s="435">
        <f>'C. Demanda'!G12</f>
        <v>2220.8561877422935</v>
      </c>
      <c r="I107" s="435">
        <f t="shared" si="33"/>
        <v>1370.1046842329313</v>
      </c>
      <c r="J107" s="628"/>
      <c r="K107" s="625"/>
      <c r="L107" s="626"/>
      <c r="O107" s="593"/>
      <c r="P107" s="593"/>
      <c r="Q107" s="593"/>
      <c r="R107" s="593"/>
      <c r="S107" s="593"/>
      <c r="T107" s="593"/>
      <c r="U107" s="593"/>
      <c r="V107" s="593"/>
      <c r="W107" s="593"/>
      <c r="X107" s="593"/>
      <c r="Y107" s="593"/>
      <c r="Z107" s="593"/>
      <c r="AA107" s="593"/>
      <c r="AB107" s="593"/>
      <c r="AC107" s="593"/>
      <c r="AD107" s="593"/>
      <c r="AE107" s="593"/>
      <c r="AF107" s="593"/>
      <c r="AG107" s="593"/>
      <c r="AH107" s="593"/>
      <c r="AI107" s="593"/>
      <c r="AJ107" s="593"/>
      <c r="AK107" s="593"/>
      <c r="AL107" s="593"/>
      <c r="AM107" s="593"/>
      <c r="AN107" s="593"/>
      <c r="AO107" s="593"/>
      <c r="AP107" s="593"/>
      <c r="AQ107" s="593"/>
      <c r="AR107" s="593"/>
      <c r="AS107" s="593"/>
      <c r="AT107" s="593"/>
      <c r="AU107" s="593"/>
      <c r="AV107" s="593"/>
      <c r="AW107" s="593"/>
      <c r="AX107" s="593"/>
      <c r="AY107" s="593"/>
      <c r="AZ107" s="593"/>
      <c r="BA107" s="593"/>
      <c r="CN107" s="593"/>
    </row>
    <row r="108" spans="2:92" x14ac:dyDescent="0.2">
      <c r="B108" s="688" t="s">
        <v>249</v>
      </c>
      <c r="C108" s="689"/>
      <c r="D108" s="435">
        <f>'C. Demanda'!C13</f>
        <v>800.28191281405316</v>
      </c>
      <c r="E108" s="435">
        <f>'C. Demanda'!D13</f>
        <v>832.77847137061849</v>
      </c>
      <c r="F108" s="435">
        <f>'C. Demanda'!E13</f>
        <v>865.52474011730442</v>
      </c>
      <c r="G108" s="435">
        <f>'C. Demanda'!F13</f>
        <v>898.46545132504957</v>
      </c>
      <c r="H108" s="435">
        <f>'C. Demanda'!G13</f>
        <v>931.5252410969249</v>
      </c>
      <c r="I108" s="435">
        <f t="shared" si="33"/>
        <v>865.7151633447902</v>
      </c>
      <c r="J108" s="628"/>
      <c r="K108" s="625"/>
      <c r="L108" s="626"/>
      <c r="O108" s="563"/>
      <c r="P108" s="563"/>
      <c r="Q108" s="558"/>
      <c r="R108" s="558"/>
      <c r="S108" s="558"/>
      <c r="T108" s="558"/>
      <c r="U108" s="558"/>
      <c r="V108" s="558"/>
      <c r="W108" s="558"/>
      <c r="X108" s="558"/>
      <c r="Y108" s="558"/>
      <c r="Z108" s="558"/>
      <c r="AA108" s="558"/>
      <c r="AB108" s="558"/>
      <c r="AC108" s="558"/>
      <c r="AD108" s="558"/>
      <c r="AE108" s="558"/>
      <c r="AF108" s="558"/>
      <c r="AG108" s="558"/>
      <c r="AH108" s="558"/>
      <c r="AI108" s="558"/>
      <c r="AJ108" s="558"/>
      <c r="AK108" s="558"/>
      <c r="AL108" s="558"/>
      <c r="AM108" s="558"/>
      <c r="AN108" s="558"/>
      <c r="AO108" s="558"/>
      <c r="AP108" s="558"/>
      <c r="AQ108" s="558"/>
      <c r="AR108" s="558"/>
      <c r="AS108" s="558"/>
      <c r="AT108" s="558"/>
      <c r="AU108" s="558"/>
      <c r="AV108" s="558"/>
      <c r="AW108" s="558"/>
      <c r="AX108" s="558"/>
      <c r="AY108" s="558"/>
      <c r="AZ108" s="558"/>
      <c r="BA108" s="593"/>
      <c r="CN108" s="593"/>
    </row>
    <row r="109" spans="2:92" ht="15" customHeight="1" x14ac:dyDescent="0.2">
      <c r="B109" s="688" t="s">
        <v>250</v>
      </c>
      <c r="C109" s="689"/>
      <c r="D109" s="435">
        <f>'C. Demanda'!C14</f>
        <v>10181.198722586178</v>
      </c>
      <c r="E109" s="435">
        <f>'C. Demanda'!D14</f>
        <v>10047.720323911184</v>
      </c>
      <c r="F109" s="435">
        <f>'C. Demanda'!E14</f>
        <v>10556.314688314709</v>
      </c>
      <c r="G109" s="435">
        <f>'C. Demanda'!F14</f>
        <v>10767.394828916125</v>
      </c>
      <c r="H109" s="435">
        <f>'C. Demanda'!G14</f>
        <v>10979.238010725141</v>
      </c>
      <c r="I109" s="435">
        <f t="shared" si="33"/>
        <v>10506.373314890667</v>
      </c>
      <c r="J109" s="628"/>
      <c r="K109" s="625"/>
      <c r="L109" s="626"/>
      <c r="O109" s="563"/>
      <c r="P109" s="563"/>
      <c r="Q109" s="558"/>
      <c r="R109" s="558"/>
      <c r="S109" s="558"/>
      <c r="T109" s="558"/>
      <c r="U109" s="558"/>
      <c r="V109" s="558"/>
      <c r="W109" s="558"/>
      <c r="X109" s="558"/>
      <c r="Y109" s="558"/>
      <c r="Z109" s="558"/>
      <c r="AA109" s="558"/>
      <c r="AB109" s="558"/>
      <c r="AC109" s="558"/>
      <c r="AD109" s="558"/>
      <c r="AE109" s="558"/>
      <c r="AF109" s="558"/>
      <c r="AG109" s="615"/>
      <c r="AH109" s="558"/>
      <c r="AI109" s="558"/>
      <c r="AJ109" s="558"/>
      <c r="AK109" s="558"/>
      <c r="AL109" s="558"/>
      <c r="AM109" s="558"/>
      <c r="AN109" s="558"/>
      <c r="AO109" s="558"/>
      <c r="AP109" s="558"/>
      <c r="AQ109" s="558"/>
      <c r="AR109" s="558"/>
      <c r="AS109" s="558"/>
      <c r="AT109" s="558"/>
      <c r="AU109" s="558"/>
      <c r="AV109" s="558"/>
      <c r="AW109" s="558"/>
      <c r="AX109" s="558"/>
      <c r="AY109" s="558"/>
      <c r="AZ109" s="558"/>
      <c r="BA109" s="593"/>
      <c r="CN109" s="593"/>
    </row>
    <row r="110" spans="2:92" ht="13.5" customHeight="1" x14ac:dyDescent="0.2">
      <c r="B110" s="688" t="s">
        <v>251</v>
      </c>
      <c r="C110" s="689"/>
      <c r="D110" s="435">
        <f>'C. Demanda'!C15</f>
        <v>1E-3</v>
      </c>
      <c r="E110" s="435">
        <f>'C. Demanda'!D15</f>
        <v>1E-3</v>
      </c>
      <c r="F110" s="435">
        <f>'C. Demanda'!E15</f>
        <v>1E-3</v>
      </c>
      <c r="G110" s="435">
        <f>'C. Demanda'!F15</f>
        <v>1E-3</v>
      </c>
      <c r="H110" s="435">
        <f>'C. Demanda'!G15</f>
        <v>1E-3</v>
      </c>
      <c r="I110" s="435">
        <f t="shared" si="33"/>
        <v>1E-3</v>
      </c>
      <c r="J110" s="628"/>
      <c r="K110" s="625"/>
      <c r="L110" s="626"/>
      <c r="N110" s="548"/>
      <c r="O110" s="563"/>
      <c r="P110" s="563"/>
      <c r="Q110" s="558"/>
      <c r="R110" s="558"/>
      <c r="S110" s="558"/>
      <c r="T110" s="558"/>
      <c r="U110" s="558"/>
      <c r="V110" s="558"/>
      <c r="W110" s="558"/>
      <c r="X110" s="558"/>
      <c r="Y110" s="558"/>
      <c r="Z110" s="558"/>
      <c r="AA110" s="558"/>
      <c r="AB110" s="558"/>
      <c r="AC110" s="558"/>
      <c r="AD110" s="558"/>
      <c r="AE110" s="558"/>
      <c r="AF110" s="558"/>
      <c r="AG110" s="615"/>
      <c r="AH110" s="558"/>
      <c r="AI110" s="558"/>
      <c r="AJ110" s="558"/>
      <c r="AK110" s="558"/>
      <c r="AL110" s="558"/>
      <c r="AM110" s="558"/>
      <c r="AN110" s="558"/>
      <c r="AO110" s="558"/>
      <c r="AP110" s="558"/>
      <c r="AQ110" s="558"/>
      <c r="AR110" s="558"/>
      <c r="AS110" s="558"/>
      <c r="AT110" s="558"/>
      <c r="AU110" s="558"/>
      <c r="AV110" s="558"/>
      <c r="AW110" s="558"/>
      <c r="AX110" s="558"/>
      <c r="AY110" s="558"/>
      <c r="AZ110" s="558"/>
      <c r="BA110" s="593"/>
      <c r="CN110" s="593"/>
    </row>
    <row r="111" spans="2:92" x14ac:dyDescent="0.2">
      <c r="B111" s="688" t="s">
        <v>252</v>
      </c>
      <c r="C111" s="689"/>
      <c r="D111" s="435">
        <f>'C. Demanda'!C16</f>
        <v>1173.0158602708207</v>
      </c>
      <c r="E111" s="435">
        <f>'C. Demanda'!D16</f>
        <v>1220.6477984424976</v>
      </c>
      <c r="F111" s="435">
        <f>'C. Demanda'!E16</f>
        <v>1268.6457501511456</v>
      </c>
      <c r="G111" s="435">
        <f>'C. Demanda'!F16</f>
        <v>1316.9287065401197</v>
      </c>
      <c r="H111" s="435">
        <f>'C. Demanda'!G16</f>
        <v>1320.0000000000005</v>
      </c>
      <c r="I111" s="435">
        <f t="shared" si="33"/>
        <v>1259.8476230809167</v>
      </c>
      <c r="J111" s="628"/>
      <c r="K111" s="625"/>
      <c r="L111" s="626"/>
      <c r="N111" s="548"/>
      <c r="O111" s="563"/>
      <c r="P111" s="563"/>
      <c r="Q111" s="558"/>
      <c r="R111" s="558"/>
      <c r="S111" s="558"/>
      <c r="T111" s="558"/>
      <c r="U111" s="558"/>
      <c r="V111" s="558"/>
      <c r="W111" s="558"/>
      <c r="X111" s="558"/>
      <c r="Y111" s="558"/>
      <c r="Z111" s="558"/>
      <c r="AA111" s="558"/>
      <c r="AB111" s="558"/>
      <c r="AC111" s="558"/>
      <c r="AD111" s="558"/>
      <c r="AE111" s="558"/>
      <c r="AF111" s="558"/>
      <c r="AG111" s="615"/>
      <c r="AH111" s="558"/>
      <c r="AI111" s="558"/>
      <c r="AJ111" s="558"/>
      <c r="AK111" s="558"/>
      <c r="AL111" s="558"/>
      <c r="AM111" s="558"/>
      <c r="AN111" s="558"/>
      <c r="AO111" s="558"/>
      <c r="AP111" s="558"/>
      <c r="AQ111" s="558"/>
      <c r="AR111" s="558"/>
      <c r="AS111" s="558"/>
      <c r="AT111" s="558"/>
      <c r="AU111" s="558"/>
      <c r="AV111" s="558"/>
      <c r="AW111" s="558"/>
      <c r="AX111" s="558"/>
      <c r="AY111" s="558"/>
      <c r="AZ111" s="558"/>
      <c r="BA111" s="593"/>
      <c r="CN111" s="593"/>
    </row>
    <row r="112" spans="2:92" x14ac:dyDescent="0.2">
      <c r="B112" s="688" t="s">
        <v>253</v>
      </c>
      <c r="C112" s="689"/>
      <c r="D112" s="435">
        <f>'C. Demanda'!C17</f>
        <v>1E-3</v>
      </c>
      <c r="E112" s="435">
        <f>'C. Demanda'!D17</f>
        <v>1E-3</v>
      </c>
      <c r="F112" s="435">
        <f>'C. Demanda'!E17</f>
        <v>1E-3</v>
      </c>
      <c r="G112" s="435">
        <f>'C. Demanda'!F17</f>
        <v>1E-3</v>
      </c>
      <c r="H112" s="435">
        <f>'C. Demanda'!G17</f>
        <v>1E-3</v>
      </c>
      <c r="I112" s="435">
        <f t="shared" si="33"/>
        <v>1E-3</v>
      </c>
      <c r="J112" s="628"/>
      <c r="K112" s="625"/>
      <c r="L112" s="626"/>
      <c r="N112" s="546"/>
      <c r="O112" s="616"/>
      <c r="P112" s="563"/>
      <c r="Q112" s="558"/>
      <c r="R112" s="558"/>
      <c r="S112" s="558"/>
      <c r="T112" s="558"/>
      <c r="U112" s="558"/>
      <c r="V112" s="558"/>
      <c r="W112" s="558"/>
      <c r="X112" s="558"/>
      <c r="Y112" s="558"/>
      <c r="Z112" s="558"/>
      <c r="AA112" s="558"/>
      <c r="AB112" s="558"/>
      <c r="AC112" s="558"/>
      <c r="AD112" s="558"/>
      <c r="AE112" s="558"/>
      <c r="AF112" s="558"/>
      <c r="AG112" s="615"/>
      <c r="AH112" s="558"/>
      <c r="AI112" s="558"/>
      <c r="AJ112" s="558"/>
      <c r="AK112" s="558"/>
      <c r="AL112" s="558"/>
      <c r="AM112" s="558"/>
      <c r="AN112" s="558"/>
      <c r="AO112" s="558"/>
      <c r="AP112" s="558"/>
      <c r="AQ112" s="558"/>
      <c r="AR112" s="558"/>
      <c r="AS112" s="558"/>
      <c r="AT112" s="558"/>
      <c r="AU112" s="558"/>
      <c r="AV112" s="558"/>
      <c r="AW112" s="558"/>
      <c r="AX112" s="558"/>
      <c r="AY112" s="558"/>
      <c r="AZ112" s="558"/>
      <c r="BA112" s="593"/>
      <c r="CN112" s="593"/>
    </row>
    <row r="113" spans="2:92" x14ac:dyDescent="0.2">
      <c r="B113" s="688" t="s">
        <v>254</v>
      </c>
      <c r="C113" s="689"/>
      <c r="D113" s="435">
        <f>'C. Demanda'!C18</f>
        <v>1049.3971003289471</v>
      </c>
      <c r="E113" s="435">
        <f>'C. Demanda'!D18</f>
        <v>1092.009408275698</v>
      </c>
      <c r="F113" s="435">
        <f>'C. Demanda'!E18</f>
        <v>1136.3520481695396</v>
      </c>
      <c r="G113" s="435">
        <f>'C. Demanda'!F18</f>
        <v>1182.4952825423895</v>
      </c>
      <c r="H113" s="435">
        <f>'C. Demanda'!G18</f>
        <v>1230.5122270338572</v>
      </c>
      <c r="I113" s="435">
        <f t="shared" si="33"/>
        <v>1138.1532132700863</v>
      </c>
      <c r="J113" s="628"/>
      <c r="K113" s="625"/>
      <c r="L113" s="626"/>
      <c r="N113" s="546"/>
      <c r="O113" s="563"/>
      <c r="P113" s="563"/>
      <c r="Q113" s="558"/>
      <c r="R113" s="558"/>
      <c r="S113" s="558"/>
      <c r="T113" s="558"/>
      <c r="U113" s="558"/>
      <c r="V113" s="558"/>
      <c r="W113" s="558"/>
      <c r="X113" s="558"/>
      <c r="Y113" s="558"/>
      <c r="Z113" s="558"/>
      <c r="AA113" s="558"/>
      <c r="AB113" s="558"/>
      <c r="AC113" s="558"/>
      <c r="AD113" s="558"/>
      <c r="AE113" s="558"/>
      <c r="AF113" s="558"/>
      <c r="AG113" s="615"/>
      <c r="AH113" s="558"/>
      <c r="AI113" s="558"/>
      <c r="AJ113" s="558"/>
      <c r="AK113" s="558"/>
      <c r="AL113" s="558"/>
      <c r="AM113" s="558"/>
      <c r="AN113" s="558"/>
      <c r="AO113" s="558"/>
      <c r="AP113" s="558"/>
      <c r="AQ113" s="558"/>
      <c r="AR113" s="558"/>
      <c r="AS113" s="558"/>
      <c r="AT113" s="558"/>
      <c r="AU113" s="558"/>
      <c r="AV113" s="558"/>
      <c r="AW113" s="558"/>
      <c r="AX113" s="558"/>
      <c r="AY113" s="558"/>
      <c r="AZ113" s="558"/>
      <c r="BA113" s="593"/>
      <c r="CN113" s="593"/>
    </row>
    <row r="114" spans="2:92" x14ac:dyDescent="0.2">
      <c r="B114" s="688" t="s">
        <v>255</v>
      </c>
      <c r="C114" s="689"/>
      <c r="D114" s="435">
        <f>'C. Demanda'!C19</f>
        <v>676.1</v>
      </c>
      <c r="E114" s="435">
        <f>'C. Demanda'!D19</f>
        <v>676.1</v>
      </c>
      <c r="F114" s="435">
        <f>'C. Demanda'!E19</f>
        <v>676.1</v>
      </c>
      <c r="G114" s="435">
        <f>'C. Demanda'!F19</f>
        <v>676.1</v>
      </c>
      <c r="H114" s="435">
        <f>'C. Demanda'!G19</f>
        <v>676.1</v>
      </c>
      <c r="I114" s="435">
        <f t="shared" si="33"/>
        <v>676.1</v>
      </c>
      <c r="J114" s="628"/>
      <c r="K114" s="625"/>
      <c r="L114" s="626"/>
      <c r="N114" s="546"/>
      <c r="O114" s="563"/>
      <c r="P114" s="563"/>
      <c r="Q114" s="558"/>
      <c r="R114" s="558"/>
      <c r="S114" s="558"/>
      <c r="T114" s="558"/>
      <c r="U114" s="558"/>
      <c r="V114" s="558"/>
      <c r="W114" s="558"/>
      <c r="X114" s="558"/>
      <c r="Y114" s="558"/>
      <c r="Z114" s="558"/>
      <c r="AA114" s="558"/>
      <c r="AB114" s="558"/>
      <c r="AC114" s="558"/>
      <c r="AD114" s="558"/>
      <c r="AE114" s="558"/>
      <c r="AF114" s="558"/>
      <c r="AG114" s="615"/>
      <c r="AH114" s="558"/>
      <c r="AI114" s="558"/>
      <c r="AJ114" s="558"/>
      <c r="AK114" s="558"/>
      <c r="AL114" s="558"/>
      <c r="AM114" s="558"/>
      <c r="AN114" s="558"/>
      <c r="AO114" s="558"/>
      <c r="AP114" s="558"/>
      <c r="AQ114" s="558"/>
      <c r="AR114" s="558"/>
      <c r="AS114" s="558"/>
      <c r="AT114" s="558"/>
      <c r="AU114" s="558"/>
      <c r="AV114" s="558"/>
      <c r="AW114" s="558"/>
      <c r="AX114" s="558"/>
      <c r="AY114" s="558"/>
      <c r="AZ114" s="558"/>
      <c r="BA114" s="593"/>
      <c r="CN114" s="593"/>
    </row>
    <row r="115" spans="2:92" x14ac:dyDescent="0.2">
      <c r="B115" s="688" t="s">
        <v>256</v>
      </c>
      <c r="C115" s="689"/>
      <c r="D115" s="435">
        <f>'C. Demanda'!C20</f>
        <v>1E-3</v>
      </c>
      <c r="E115" s="435">
        <f>'C. Demanda'!D20</f>
        <v>1E-3</v>
      </c>
      <c r="F115" s="435">
        <f>'C. Demanda'!E20</f>
        <v>1E-3</v>
      </c>
      <c r="G115" s="435">
        <f>'C. Demanda'!F20</f>
        <v>1E-3</v>
      </c>
      <c r="H115" s="435">
        <f>'C. Demanda'!G20</f>
        <v>1E-3</v>
      </c>
      <c r="I115" s="435">
        <f t="shared" si="33"/>
        <v>1E-3</v>
      </c>
      <c r="J115" s="628"/>
      <c r="K115" s="625"/>
      <c r="L115" s="626"/>
      <c r="O115" s="563"/>
      <c r="P115" s="563"/>
      <c r="Q115" s="558"/>
      <c r="R115" s="558"/>
      <c r="S115" s="558"/>
      <c r="T115" s="558"/>
      <c r="U115" s="558"/>
      <c r="V115" s="558"/>
      <c r="W115" s="558"/>
      <c r="X115" s="558"/>
      <c r="Y115" s="558"/>
      <c r="Z115" s="558"/>
      <c r="AA115" s="558"/>
      <c r="AB115" s="558"/>
      <c r="AC115" s="558"/>
      <c r="AD115" s="558"/>
      <c r="AE115" s="558"/>
      <c r="AF115" s="558"/>
      <c r="AG115" s="615"/>
      <c r="AH115" s="558"/>
      <c r="AI115" s="558"/>
      <c r="AJ115" s="558"/>
      <c r="AK115" s="558"/>
      <c r="AL115" s="558"/>
      <c r="AM115" s="558"/>
      <c r="AN115" s="558"/>
      <c r="AO115" s="558"/>
      <c r="AP115" s="558"/>
      <c r="AQ115" s="558"/>
      <c r="AR115" s="558"/>
      <c r="AS115" s="558"/>
      <c r="AT115" s="558"/>
      <c r="AU115" s="558"/>
      <c r="AV115" s="558"/>
      <c r="AW115" s="558"/>
      <c r="AX115" s="558"/>
      <c r="AY115" s="558"/>
      <c r="AZ115" s="558"/>
      <c r="BA115" s="593"/>
      <c r="CN115" s="593"/>
    </row>
    <row r="116" spans="2:92" x14ac:dyDescent="0.2">
      <c r="B116" s="619"/>
      <c r="C116" s="546"/>
      <c r="O116" s="563"/>
      <c r="P116" s="563"/>
      <c r="Q116" s="558"/>
      <c r="R116" s="558"/>
      <c r="S116" s="558"/>
      <c r="T116" s="558"/>
      <c r="U116" s="558"/>
      <c r="V116" s="558"/>
      <c r="W116" s="558"/>
      <c r="X116" s="558"/>
      <c r="Y116" s="558"/>
      <c r="Z116" s="558"/>
      <c r="AA116" s="558"/>
      <c r="AB116" s="558"/>
      <c r="AC116" s="558"/>
      <c r="AD116" s="558"/>
      <c r="AE116" s="558"/>
      <c r="AF116" s="558"/>
      <c r="AG116" s="615"/>
      <c r="AH116" s="558"/>
      <c r="AI116" s="558"/>
      <c r="AJ116" s="558"/>
      <c r="AK116" s="558"/>
      <c r="AL116" s="558"/>
      <c r="AM116" s="558"/>
      <c r="AN116" s="558"/>
      <c r="AO116" s="558"/>
      <c r="AP116" s="558"/>
      <c r="AQ116" s="558"/>
      <c r="AR116" s="558"/>
      <c r="AS116" s="558"/>
      <c r="AT116" s="558"/>
      <c r="AU116" s="558"/>
      <c r="AV116" s="558"/>
      <c r="AW116" s="558"/>
      <c r="AX116" s="558"/>
      <c r="AY116" s="558"/>
      <c r="AZ116" s="558"/>
      <c r="BA116" s="593"/>
      <c r="CN116" s="593"/>
    </row>
    <row r="117" spans="2:92" x14ac:dyDescent="0.2">
      <c r="B117" s="619"/>
      <c r="C117" s="546"/>
      <c r="O117" s="563"/>
      <c r="P117" s="563"/>
      <c r="Q117" s="558"/>
      <c r="R117" s="558"/>
      <c r="S117" s="558"/>
      <c r="T117" s="558"/>
      <c r="U117" s="558"/>
      <c r="V117" s="558"/>
      <c r="W117" s="558"/>
      <c r="X117" s="558"/>
      <c r="Y117" s="558"/>
      <c r="Z117" s="558"/>
      <c r="AA117" s="558"/>
      <c r="AB117" s="558"/>
      <c r="AC117" s="558"/>
      <c r="AD117" s="558"/>
      <c r="AE117" s="558"/>
      <c r="AF117" s="558"/>
      <c r="AG117" s="615"/>
      <c r="AH117" s="558"/>
      <c r="AI117" s="558"/>
      <c r="AJ117" s="558"/>
      <c r="AK117" s="558"/>
      <c r="AL117" s="558"/>
      <c r="AM117" s="558"/>
      <c r="AN117" s="558"/>
      <c r="AO117" s="558"/>
      <c r="AP117" s="558"/>
      <c r="AQ117" s="558"/>
      <c r="AR117" s="558"/>
      <c r="AS117" s="558"/>
      <c r="AT117" s="558"/>
      <c r="AU117" s="558"/>
      <c r="AV117" s="558"/>
      <c r="AW117" s="558"/>
      <c r="AX117" s="558"/>
      <c r="AY117" s="558"/>
      <c r="AZ117" s="558"/>
      <c r="BA117" s="593"/>
      <c r="CN117" s="593"/>
    </row>
    <row r="118" spans="2:92" x14ac:dyDescent="0.2">
      <c r="B118" s="619"/>
      <c r="C118" s="546"/>
    </row>
    <row r="119" spans="2:92" x14ac:dyDescent="0.2">
      <c r="B119" s="619"/>
      <c r="C119" s="546"/>
    </row>
    <row r="120" spans="2:92" x14ac:dyDescent="0.2">
      <c r="B120" s="619"/>
      <c r="C120" s="546"/>
    </row>
    <row r="121" spans="2:92" x14ac:dyDescent="0.2">
      <c r="B121" s="619"/>
      <c r="C121" s="546"/>
    </row>
    <row r="122" spans="2:92" x14ac:dyDescent="0.2">
      <c r="B122" s="619"/>
      <c r="C122" s="546"/>
    </row>
    <row r="123" spans="2:92" x14ac:dyDescent="0.2">
      <c r="B123" s="619"/>
      <c r="C123" s="546"/>
    </row>
    <row r="124" spans="2:92" x14ac:dyDescent="0.2">
      <c r="B124" s="619"/>
      <c r="C124" s="546"/>
    </row>
    <row r="125" spans="2:92" x14ac:dyDescent="0.2">
      <c r="B125" s="619"/>
      <c r="C125" s="546"/>
    </row>
    <row r="126" spans="2:92" x14ac:dyDescent="0.2">
      <c r="B126" s="619"/>
      <c r="C126" s="546"/>
    </row>
    <row r="127" spans="2:92" x14ac:dyDescent="0.2">
      <c r="B127" s="619"/>
      <c r="C127" s="546"/>
    </row>
    <row r="128" spans="2:92" x14ac:dyDescent="0.2">
      <c r="B128" s="619"/>
      <c r="C128" s="546"/>
    </row>
    <row r="129" spans="2:3" x14ac:dyDescent="0.2">
      <c r="B129" s="619"/>
      <c r="C129" s="546"/>
    </row>
    <row r="130" spans="2:3" x14ac:dyDescent="0.2">
      <c r="B130" s="619"/>
      <c r="C130" s="546"/>
    </row>
    <row r="131" spans="2:3" x14ac:dyDescent="0.2">
      <c r="B131" s="619"/>
      <c r="C131" s="546"/>
    </row>
    <row r="132" spans="2:3" x14ac:dyDescent="0.2">
      <c r="B132" s="619"/>
      <c r="C132" s="546"/>
    </row>
    <row r="133" spans="2:3" x14ac:dyDescent="0.2">
      <c r="B133" s="619"/>
      <c r="C133" s="546"/>
    </row>
    <row r="134" spans="2:3" x14ac:dyDescent="0.2">
      <c r="B134" s="619"/>
      <c r="C134" s="546"/>
    </row>
    <row r="135" spans="2:3" x14ac:dyDescent="0.2">
      <c r="B135" s="619"/>
      <c r="C135" s="546"/>
    </row>
    <row r="136" spans="2:3" x14ac:dyDescent="0.2">
      <c r="B136" s="619"/>
      <c r="C136" s="546"/>
    </row>
    <row r="137" spans="2:3" x14ac:dyDescent="0.2">
      <c r="B137" s="619"/>
      <c r="C137" s="546"/>
    </row>
    <row r="138" spans="2:3" x14ac:dyDescent="0.2">
      <c r="B138" s="619"/>
      <c r="C138" s="546"/>
    </row>
    <row r="139" spans="2:3" x14ac:dyDescent="0.2">
      <c r="B139" s="619"/>
      <c r="C139" s="546"/>
    </row>
    <row r="140" spans="2:3" x14ac:dyDescent="0.2">
      <c r="B140" s="619"/>
      <c r="C140" s="546"/>
    </row>
    <row r="141" spans="2:3" x14ac:dyDescent="0.2">
      <c r="B141" s="619"/>
      <c r="C141" s="546"/>
    </row>
    <row r="142" spans="2:3" x14ac:dyDescent="0.2">
      <c r="B142" s="619"/>
      <c r="C142" s="546"/>
    </row>
    <row r="143" spans="2:3" x14ac:dyDescent="0.2">
      <c r="B143" s="619"/>
      <c r="C143" s="546"/>
    </row>
    <row r="144" spans="2:3" x14ac:dyDescent="0.2">
      <c r="B144" s="619"/>
      <c r="C144" s="546"/>
    </row>
    <row r="145" spans="2:3" x14ac:dyDescent="0.2">
      <c r="B145" s="619"/>
      <c r="C145" s="546"/>
    </row>
    <row r="146" spans="2:3" x14ac:dyDescent="0.2">
      <c r="B146" s="619"/>
      <c r="C146" s="546"/>
    </row>
    <row r="147" spans="2:3" x14ac:dyDescent="0.2">
      <c r="B147" s="619"/>
      <c r="C147" s="546"/>
    </row>
    <row r="148" spans="2:3" x14ac:dyDescent="0.2">
      <c r="B148" s="619"/>
      <c r="C148" s="546"/>
    </row>
    <row r="149" spans="2:3" x14ac:dyDescent="0.2">
      <c r="B149" s="619"/>
      <c r="C149" s="546"/>
    </row>
    <row r="150" spans="2:3" x14ac:dyDescent="0.2">
      <c r="B150" s="619"/>
      <c r="C150" s="546"/>
    </row>
    <row r="151" spans="2:3" x14ac:dyDescent="0.2">
      <c r="B151" s="619"/>
      <c r="C151" s="546"/>
    </row>
    <row r="152" spans="2:3" x14ac:dyDescent="0.2">
      <c r="B152" s="619"/>
      <c r="C152" s="546"/>
    </row>
    <row r="153" spans="2:3" x14ac:dyDescent="0.2">
      <c r="B153" s="619"/>
      <c r="C153" s="546"/>
    </row>
    <row r="154" spans="2:3" x14ac:dyDescent="0.2">
      <c r="B154" s="619"/>
      <c r="C154" s="546"/>
    </row>
    <row r="155" spans="2:3" x14ac:dyDescent="0.2">
      <c r="B155" s="619"/>
      <c r="C155" s="546"/>
    </row>
    <row r="156" spans="2:3" x14ac:dyDescent="0.2">
      <c r="B156" s="619"/>
      <c r="C156" s="546"/>
    </row>
    <row r="157" spans="2:3" x14ac:dyDescent="0.2">
      <c r="B157" s="619"/>
      <c r="C157" s="546"/>
    </row>
    <row r="158" spans="2:3" x14ac:dyDescent="0.2">
      <c r="B158" s="619"/>
      <c r="C158" s="546"/>
    </row>
    <row r="159" spans="2:3" x14ac:dyDescent="0.2">
      <c r="B159" s="619"/>
      <c r="C159" s="546"/>
    </row>
    <row r="160" spans="2:3" x14ac:dyDescent="0.2">
      <c r="B160" s="619"/>
      <c r="C160" s="546"/>
    </row>
    <row r="161" spans="2:3" x14ac:dyDescent="0.2">
      <c r="B161" s="619"/>
      <c r="C161" s="546"/>
    </row>
    <row r="162" spans="2:3" x14ac:dyDescent="0.2">
      <c r="B162" s="619"/>
      <c r="C162" s="546"/>
    </row>
    <row r="163" spans="2:3" x14ac:dyDescent="0.2">
      <c r="B163" s="619"/>
      <c r="C163" s="546"/>
    </row>
    <row r="164" spans="2:3" x14ac:dyDescent="0.2">
      <c r="B164" s="619"/>
      <c r="C164" s="546"/>
    </row>
    <row r="165" spans="2:3" x14ac:dyDescent="0.2">
      <c r="B165" s="619"/>
      <c r="C165" s="546"/>
    </row>
    <row r="166" spans="2:3" x14ac:dyDescent="0.2">
      <c r="B166" s="619"/>
      <c r="C166" s="546"/>
    </row>
    <row r="167" spans="2:3" x14ac:dyDescent="0.2">
      <c r="B167" s="619"/>
      <c r="C167" s="546"/>
    </row>
    <row r="168" spans="2:3" x14ac:dyDescent="0.2">
      <c r="B168" s="619"/>
      <c r="C168" s="546"/>
    </row>
    <row r="169" spans="2:3" x14ac:dyDescent="0.2">
      <c r="B169" s="619"/>
      <c r="C169" s="546"/>
    </row>
    <row r="170" spans="2:3" x14ac:dyDescent="0.2">
      <c r="B170" s="619"/>
      <c r="C170" s="546"/>
    </row>
    <row r="171" spans="2:3" x14ac:dyDescent="0.2">
      <c r="B171" s="619"/>
      <c r="C171" s="546"/>
    </row>
    <row r="172" spans="2:3" x14ac:dyDescent="0.2">
      <c r="B172" s="619"/>
      <c r="C172" s="546"/>
    </row>
    <row r="173" spans="2:3" x14ac:dyDescent="0.2">
      <c r="B173" s="619"/>
      <c r="C173" s="546"/>
    </row>
    <row r="174" spans="2:3" x14ac:dyDescent="0.2">
      <c r="B174" s="619"/>
      <c r="C174" s="546"/>
    </row>
    <row r="175" spans="2:3" x14ac:dyDescent="0.2">
      <c r="B175" s="619"/>
      <c r="C175" s="546"/>
    </row>
    <row r="176" spans="2:3" x14ac:dyDescent="0.2">
      <c r="B176" s="619"/>
      <c r="C176" s="546"/>
    </row>
    <row r="177" spans="2:3" x14ac:dyDescent="0.2">
      <c r="B177" s="619"/>
      <c r="C177" s="546"/>
    </row>
    <row r="178" spans="2:3" x14ac:dyDescent="0.2">
      <c r="B178" s="619"/>
      <c r="C178" s="546"/>
    </row>
    <row r="179" spans="2:3" x14ac:dyDescent="0.2">
      <c r="B179" s="619"/>
      <c r="C179" s="546"/>
    </row>
    <row r="180" spans="2:3" x14ac:dyDescent="0.2">
      <c r="B180" s="619"/>
      <c r="C180" s="546"/>
    </row>
    <row r="181" spans="2:3" x14ac:dyDescent="0.2">
      <c r="B181" s="619"/>
      <c r="C181" s="546"/>
    </row>
    <row r="182" spans="2:3" x14ac:dyDescent="0.2">
      <c r="B182" s="619"/>
      <c r="C182" s="546"/>
    </row>
    <row r="183" spans="2:3" x14ac:dyDescent="0.2">
      <c r="B183" s="619"/>
      <c r="C183" s="546"/>
    </row>
    <row r="184" spans="2:3" x14ac:dyDescent="0.2">
      <c r="B184" s="619"/>
      <c r="C184" s="546"/>
    </row>
    <row r="185" spans="2:3" x14ac:dyDescent="0.2">
      <c r="B185" s="619"/>
      <c r="C185" s="546"/>
    </row>
    <row r="186" spans="2:3" x14ac:dyDescent="0.2">
      <c r="B186" s="619"/>
      <c r="C186" s="546"/>
    </row>
    <row r="187" spans="2:3" x14ac:dyDescent="0.2">
      <c r="B187" s="619"/>
      <c r="C187" s="546"/>
    </row>
    <row r="188" spans="2:3" x14ac:dyDescent="0.2">
      <c r="B188" s="619"/>
      <c r="C188" s="546"/>
    </row>
    <row r="189" spans="2:3" x14ac:dyDescent="0.2">
      <c r="B189" s="619"/>
      <c r="C189" s="546"/>
    </row>
    <row r="190" spans="2:3" x14ac:dyDescent="0.2">
      <c r="B190" s="619"/>
      <c r="C190" s="546"/>
    </row>
    <row r="191" spans="2:3" x14ac:dyDescent="0.2">
      <c r="B191" s="619"/>
      <c r="C191" s="546"/>
    </row>
    <row r="192" spans="2:3" x14ac:dyDescent="0.2">
      <c r="B192" s="619"/>
      <c r="C192" s="546"/>
    </row>
    <row r="193" spans="2:3" x14ac:dyDescent="0.2">
      <c r="B193" s="619"/>
      <c r="C193" s="546"/>
    </row>
    <row r="194" spans="2:3" x14ac:dyDescent="0.2">
      <c r="B194" s="619"/>
      <c r="C194" s="546"/>
    </row>
    <row r="195" spans="2:3" x14ac:dyDescent="0.2">
      <c r="B195" s="619"/>
      <c r="C195" s="546"/>
    </row>
    <row r="196" spans="2:3" x14ac:dyDescent="0.2">
      <c r="B196" s="619"/>
      <c r="C196" s="546"/>
    </row>
    <row r="197" spans="2:3" x14ac:dyDescent="0.2">
      <c r="B197" s="619"/>
      <c r="C197" s="546"/>
    </row>
    <row r="198" spans="2:3" x14ac:dyDescent="0.2">
      <c r="B198" s="619"/>
      <c r="C198" s="546"/>
    </row>
    <row r="199" spans="2:3" x14ac:dyDescent="0.2">
      <c r="B199" s="619"/>
      <c r="C199" s="546"/>
    </row>
    <row r="200" spans="2:3" x14ac:dyDescent="0.2">
      <c r="B200" s="619"/>
      <c r="C200" s="546"/>
    </row>
    <row r="201" spans="2:3" x14ac:dyDescent="0.2">
      <c r="B201" s="619"/>
      <c r="C201" s="546"/>
    </row>
    <row r="202" spans="2:3" x14ac:dyDescent="0.2">
      <c r="B202" s="619"/>
      <c r="C202" s="546"/>
    </row>
    <row r="203" spans="2:3" x14ac:dyDescent="0.2">
      <c r="B203" s="619"/>
      <c r="C203" s="546"/>
    </row>
    <row r="204" spans="2:3" x14ac:dyDescent="0.2">
      <c r="B204" s="619"/>
      <c r="C204" s="546"/>
    </row>
    <row r="205" spans="2:3" x14ac:dyDescent="0.2">
      <c r="B205" s="619"/>
      <c r="C205" s="546"/>
    </row>
    <row r="206" spans="2:3" x14ac:dyDescent="0.2">
      <c r="B206" s="619"/>
      <c r="C206" s="546"/>
    </row>
    <row r="207" spans="2:3" x14ac:dyDescent="0.2">
      <c r="B207" s="619"/>
      <c r="C207" s="546"/>
    </row>
    <row r="208" spans="2:3" x14ac:dyDescent="0.2">
      <c r="B208" s="619"/>
      <c r="C208" s="546"/>
    </row>
    <row r="209" spans="2:3" x14ac:dyDescent="0.2">
      <c r="B209" s="619"/>
      <c r="C209" s="546"/>
    </row>
    <row r="210" spans="2:3" x14ac:dyDescent="0.2">
      <c r="B210" s="619"/>
      <c r="C210" s="546"/>
    </row>
    <row r="211" spans="2:3" x14ac:dyDescent="0.2">
      <c r="B211" s="619"/>
      <c r="C211" s="546"/>
    </row>
    <row r="212" spans="2:3" x14ac:dyDescent="0.2">
      <c r="B212" s="619"/>
      <c r="C212" s="546"/>
    </row>
    <row r="213" spans="2:3" x14ac:dyDescent="0.2">
      <c r="B213" s="619"/>
      <c r="C213" s="546"/>
    </row>
    <row r="214" spans="2:3" x14ac:dyDescent="0.2">
      <c r="B214" s="619"/>
      <c r="C214" s="546"/>
    </row>
    <row r="215" spans="2:3" x14ac:dyDescent="0.2">
      <c r="B215" s="619"/>
      <c r="C215" s="546"/>
    </row>
    <row r="216" spans="2:3" x14ac:dyDescent="0.2">
      <c r="B216" s="619"/>
      <c r="C216" s="546"/>
    </row>
    <row r="217" spans="2:3" x14ac:dyDescent="0.2">
      <c r="B217" s="619"/>
      <c r="C217" s="546"/>
    </row>
    <row r="218" spans="2:3" x14ac:dyDescent="0.2">
      <c r="B218" s="619"/>
      <c r="C218" s="546"/>
    </row>
    <row r="219" spans="2:3" x14ac:dyDescent="0.2">
      <c r="B219" s="619"/>
      <c r="C219" s="546"/>
    </row>
    <row r="220" spans="2:3" x14ac:dyDescent="0.2">
      <c r="B220" s="619"/>
      <c r="C220" s="546"/>
    </row>
    <row r="221" spans="2:3" x14ac:dyDescent="0.2">
      <c r="B221" s="619"/>
      <c r="C221" s="546"/>
    </row>
    <row r="222" spans="2:3" x14ac:dyDescent="0.2">
      <c r="B222" s="619"/>
      <c r="C222" s="546"/>
    </row>
    <row r="223" spans="2:3" x14ac:dyDescent="0.2">
      <c r="B223" s="619"/>
      <c r="C223" s="546"/>
    </row>
    <row r="224" spans="2:3" x14ac:dyDescent="0.2">
      <c r="B224" s="619"/>
      <c r="C224" s="546"/>
    </row>
    <row r="225" spans="2:3" x14ac:dyDescent="0.2">
      <c r="B225" s="619"/>
      <c r="C225" s="546"/>
    </row>
    <row r="226" spans="2:3" x14ac:dyDescent="0.2">
      <c r="B226" s="619"/>
      <c r="C226" s="546"/>
    </row>
    <row r="227" spans="2:3" x14ac:dyDescent="0.2">
      <c r="B227" s="619"/>
      <c r="C227" s="546"/>
    </row>
    <row r="228" spans="2:3" x14ac:dyDescent="0.2">
      <c r="B228" s="619"/>
      <c r="C228" s="546"/>
    </row>
    <row r="229" spans="2:3" x14ac:dyDescent="0.2">
      <c r="B229" s="619"/>
      <c r="C229" s="546"/>
    </row>
    <row r="230" spans="2:3" x14ac:dyDescent="0.2">
      <c r="B230" s="619"/>
      <c r="C230" s="546"/>
    </row>
    <row r="231" spans="2:3" x14ac:dyDescent="0.2">
      <c r="B231" s="619"/>
      <c r="C231" s="546"/>
    </row>
    <row r="232" spans="2:3" x14ac:dyDescent="0.2">
      <c r="B232" s="619"/>
      <c r="C232" s="546"/>
    </row>
    <row r="233" spans="2:3" x14ac:dyDescent="0.2">
      <c r="B233" s="619"/>
      <c r="C233" s="546"/>
    </row>
    <row r="234" spans="2:3" x14ac:dyDescent="0.2">
      <c r="B234" s="619"/>
      <c r="C234" s="546"/>
    </row>
    <row r="235" spans="2:3" x14ac:dyDescent="0.2">
      <c r="B235" s="619"/>
      <c r="C235" s="546"/>
    </row>
    <row r="236" spans="2:3" x14ac:dyDescent="0.2">
      <c r="B236" s="619"/>
      <c r="C236" s="546"/>
    </row>
    <row r="237" spans="2:3" x14ac:dyDescent="0.2">
      <c r="B237" s="619"/>
      <c r="C237" s="546"/>
    </row>
    <row r="238" spans="2:3" x14ac:dyDescent="0.2">
      <c r="B238" s="619"/>
      <c r="C238" s="546"/>
    </row>
    <row r="239" spans="2:3" x14ac:dyDescent="0.2">
      <c r="B239" s="619"/>
      <c r="C239" s="546"/>
    </row>
    <row r="240" spans="2:3" x14ac:dyDescent="0.2">
      <c r="B240" s="619"/>
      <c r="C240" s="546"/>
    </row>
    <row r="241" spans="2:3" x14ac:dyDescent="0.2">
      <c r="B241" s="619"/>
      <c r="C241" s="546"/>
    </row>
    <row r="242" spans="2:3" x14ac:dyDescent="0.2">
      <c r="B242" s="619"/>
      <c r="C242" s="546"/>
    </row>
    <row r="243" spans="2:3" x14ac:dyDescent="0.2">
      <c r="B243" s="619"/>
      <c r="C243" s="546"/>
    </row>
    <row r="244" spans="2:3" x14ac:dyDescent="0.2">
      <c r="B244" s="619"/>
      <c r="C244" s="546"/>
    </row>
    <row r="245" spans="2:3" x14ac:dyDescent="0.2">
      <c r="B245" s="619"/>
      <c r="C245" s="546"/>
    </row>
    <row r="246" spans="2:3" x14ac:dyDescent="0.2">
      <c r="B246" s="619"/>
      <c r="C246" s="546"/>
    </row>
    <row r="247" spans="2:3" x14ac:dyDescent="0.2">
      <c r="B247" s="619"/>
      <c r="C247" s="546"/>
    </row>
    <row r="248" spans="2:3" x14ac:dyDescent="0.2">
      <c r="B248" s="619"/>
      <c r="C248" s="546"/>
    </row>
    <row r="249" spans="2:3" x14ac:dyDescent="0.2">
      <c r="B249" s="619"/>
      <c r="C249" s="546"/>
    </row>
    <row r="250" spans="2:3" x14ac:dyDescent="0.2">
      <c r="B250" s="619"/>
      <c r="C250" s="546"/>
    </row>
    <row r="251" spans="2:3" x14ac:dyDescent="0.2">
      <c r="B251" s="619"/>
      <c r="C251" s="546"/>
    </row>
    <row r="252" spans="2:3" x14ac:dyDescent="0.2">
      <c r="B252" s="619"/>
      <c r="C252" s="546"/>
    </row>
    <row r="253" spans="2:3" x14ac:dyDescent="0.2">
      <c r="B253" s="619"/>
      <c r="C253" s="546"/>
    </row>
    <row r="254" spans="2:3" x14ac:dyDescent="0.2">
      <c r="B254" s="619"/>
      <c r="C254" s="546"/>
    </row>
    <row r="255" spans="2:3" x14ac:dyDescent="0.2">
      <c r="B255" s="619"/>
      <c r="C255" s="546"/>
    </row>
    <row r="256" spans="2:3" x14ac:dyDescent="0.2">
      <c r="B256" s="619"/>
      <c r="C256" s="546"/>
    </row>
    <row r="257" spans="2:3" x14ac:dyDescent="0.2">
      <c r="B257" s="619"/>
      <c r="C257" s="546"/>
    </row>
    <row r="258" spans="2:3" x14ac:dyDescent="0.2">
      <c r="B258" s="619"/>
      <c r="C258" s="546"/>
    </row>
    <row r="259" spans="2:3" x14ac:dyDescent="0.2">
      <c r="B259" s="619"/>
      <c r="C259" s="546"/>
    </row>
    <row r="260" spans="2:3" x14ac:dyDescent="0.2">
      <c r="B260" s="619"/>
      <c r="C260" s="546"/>
    </row>
    <row r="261" spans="2:3" x14ac:dyDescent="0.2">
      <c r="B261" s="619"/>
      <c r="C261" s="546"/>
    </row>
    <row r="262" spans="2:3" x14ac:dyDescent="0.2">
      <c r="B262" s="619"/>
      <c r="C262" s="546"/>
    </row>
    <row r="263" spans="2:3" x14ac:dyDescent="0.2">
      <c r="B263" s="619"/>
      <c r="C263" s="546"/>
    </row>
    <row r="264" spans="2:3" x14ac:dyDescent="0.2">
      <c r="B264" s="619"/>
      <c r="C264" s="546"/>
    </row>
    <row r="265" spans="2:3" x14ac:dyDescent="0.2">
      <c r="B265" s="619"/>
      <c r="C265" s="546"/>
    </row>
    <row r="266" spans="2:3" x14ac:dyDescent="0.2">
      <c r="B266" s="619"/>
      <c r="C266" s="546"/>
    </row>
    <row r="267" spans="2:3" x14ac:dyDescent="0.2">
      <c r="B267" s="619"/>
      <c r="C267" s="546"/>
    </row>
    <row r="268" spans="2:3" x14ac:dyDescent="0.2">
      <c r="B268" s="619"/>
      <c r="C268" s="546"/>
    </row>
    <row r="269" spans="2:3" x14ac:dyDescent="0.2">
      <c r="B269" s="619"/>
      <c r="C269" s="546"/>
    </row>
    <row r="270" spans="2:3" x14ac:dyDescent="0.2">
      <c r="B270" s="619"/>
      <c r="C270" s="546"/>
    </row>
    <row r="271" spans="2:3" x14ac:dyDescent="0.2">
      <c r="B271" s="619"/>
      <c r="C271" s="546"/>
    </row>
    <row r="272" spans="2:3" x14ac:dyDescent="0.2">
      <c r="B272" s="619"/>
      <c r="C272" s="546"/>
    </row>
    <row r="273" spans="2:3" x14ac:dyDescent="0.2">
      <c r="B273" s="619"/>
      <c r="C273" s="546"/>
    </row>
    <row r="274" spans="2:3" x14ac:dyDescent="0.2">
      <c r="B274" s="619"/>
      <c r="C274" s="546"/>
    </row>
    <row r="275" spans="2:3" x14ac:dyDescent="0.2">
      <c r="B275" s="619"/>
      <c r="C275" s="546"/>
    </row>
    <row r="276" spans="2:3" x14ac:dyDescent="0.2">
      <c r="B276" s="619"/>
      <c r="C276" s="546"/>
    </row>
    <row r="277" spans="2:3" x14ac:dyDescent="0.2">
      <c r="B277" s="619"/>
      <c r="C277" s="546"/>
    </row>
    <row r="278" spans="2:3" x14ac:dyDescent="0.2">
      <c r="B278" s="619"/>
      <c r="C278" s="546"/>
    </row>
    <row r="279" spans="2:3" x14ac:dyDescent="0.2">
      <c r="B279" s="619"/>
      <c r="C279" s="546"/>
    </row>
    <row r="280" spans="2:3" x14ac:dyDescent="0.2">
      <c r="B280" s="619"/>
      <c r="C280" s="546"/>
    </row>
    <row r="281" spans="2:3" x14ac:dyDescent="0.2">
      <c r="B281" s="619"/>
      <c r="C281" s="546"/>
    </row>
    <row r="282" spans="2:3" x14ac:dyDescent="0.2">
      <c r="B282" s="619"/>
      <c r="C282" s="546"/>
    </row>
    <row r="283" spans="2:3" x14ac:dyDescent="0.2">
      <c r="B283" s="619"/>
      <c r="C283" s="546"/>
    </row>
    <row r="284" spans="2:3" x14ac:dyDescent="0.2">
      <c r="B284" s="619"/>
      <c r="C284" s="546"/>
    </row>
    <row r="285" spans="2:3" x14ac:dyDescent="0.2">
      <c r="B285" s="619"/>
      <c r="C285" s="546"/>
    </row>
    <row r="286" spans="2:3" x14ac:dyDescent="0.2">
      <c r="B286" s="619"/>
      <c r="C286" s="546"/>
    </row>
    <row r="287" spans="2:3" x14ac:dyDescent="0.2">
      <c r="B287" s="619"/>
      <c r="C287" s="546"/>
    </row>
    <row r="288" spans="2:3" x14ac:dyDescent="0.2">
      <c r="B288" s="619"/>
      <c r="C288" s="546"/>
    </row>
    <row r="289" spans="2:3" x14ac:dyDescent="0.2">
      <c r="B289" s="619"/>
      <c r="C289" s="546"/>
    </row>
    <row r="290" spans="2:3" x14ac:dyDescent="0.2">
      <c r="B290" s="619"/>
      <c r="C290" s="546"/>
    </row>
    <row r="291" spans="2:3" x14ac:dyDescent="0.2">
      <c r="B291" s="619"/>
      <c r="C291" s="546"/>
    </row>
    <row r="292" spans="2:3" x14ac:dyDescent="0.2">
      <c r="B292" s="619"/>
      <c r="C292" s="546"/>
    </row>
    <row r="293" spans="2:3" x14ac:dyDescent="0.2">
      <c r="B293" s="619"/>
      <c r="C293" s="546"/>
    </row>
    <row r="294" spans="2:3" x14ac:dyDescent="0.2">
      <c r="B294" s="619"/>
      <c r="C294" s="546"/>
    </row>
    <row r="295" spans="2:3" x14ac:dyDescent="0.2">
      <c r="B295" s="619"/>
      <c r="C295" s="546"/>
    </row>
    <row r="296" spans="2:3" x14ac:dyDescent="0.2">
      <c r="B296" s="619"/>
      <c r="C296" s="546"/>
    </row>
    <row r="297" spans="2:3" x14ac:dyDescent="0.2">
      <c r="B297" s="619"/>
      <c r="C297" s="546"/>
    </row>
    <row r="298" spans="2:3" x14ac:dyDescent="0.2">
      <c r="B298" s="619"/>
      <c r="C298" s="546"/>
    </row>
    <row r="299" spans="2:3" x14ac:dyDescent="0.2">
      <c r="B299" s="619"/>
      <c r="C299" s="546"/>
    </row>
    <row r="300" spans="2:3" x14ac:dyDescent="0.2">
      <c r="B300" s="619"/>
      <c r="C300" s="546"/>
    </row>
    <row r="301" spans="2:3" x14ac:dyDescent="0.2">
      <c r="B301" s="619"/>
      <c r="C301" s="546"/>
    </row>
    <row r="302" spans="2:3" x14ac:dyDescent="0.2">
      <c r="B302" s="619"/>
      <c r="C302" s="546"/>
    </row>
    <row r="303" spans="2:3" x14ac:dyDescent="0.2">
      <c r="B303" s="619"/>
      <c r="C303" s="546"/>
    </row>
    <row r="304" spans="2:3" x14ac:dyDescent="0.2">
      <c r="B304" s="619"/>
      <c r="C304" s="546"/>
    </row>
    <row r="305" spans="2:3" x14ac:dyDescent="0.2">
      <c r="B305" s="619"/>
      <c r="C305" s="546"/>
    </row>
    <row r="306" spans="2:3" x14ac:dyDescent="0.2">
      <c r="B306" s="619"/>
      <c r="C306" s="546"/>
    </row>
    <row r="307" spans="2:3" x14ac:dyDescent="0.2">
      <c r="B307" s="619"/>
      <c r="C307" s="546"/>
    </row>
    <row r="308" spans="2:3" x14ac:dyDescent="0.2">
      <c r="B308" s="619"/>
      <c r="C308" s="546"/>
    </row>
    <row r="309" spans="2:3" x14ac:dyDescent="0.2">
      <c r="B309" s="619"/>
      <c r="C309" s="546"/>
    </row>
    <row r="310" spans="2:3" x14ac:dyDescent="0.2">
      <c r="B310" s="619"/>
      <c r="C310" s="546"/>
    </row>
    <row r="311" spans="2:3" x14ac:dyDescent="0.2">
      <c r="B311" s="619"/>
      <c r="C311" s="546"/>
    </row>
    <row r="312" spans="2:3" x14ac:dyDescent="0.2">
      <c r="B312" s="619"/>
      <c r="C312" s="546"/>
    </row>
    <row r="313" spans="2:3" x14ac:dyDescent="0.2">
      <c r="B313" s="619"/>
      <c r="C313" s="546"/>
    </row>
    <row r="314" spans="2:3" x14ac:dyDescent="0.2">
      <c r="B314" s="619"/>
      <c r="C314" s="546"/>
    </row>
    <row r="315" spans="2:3" x14ac:dyDescent="0.2">
      <c r="B315" s="619"/>
      <c r="C315" s="546"/>
    </row>
    <row r="316" spans="2:3" x14ac:dyDescent="0.2">
      <c r="B316" s="619"/>
      <c r="C316" s="546"/>
    </row>
    <row r="317" spans="2:3" x14ac:dyDescent="0.2">
      <c r="B317" s="619"/>
      <c r="C317" s="546"/>
    </row>
    <row r="318" spans="2:3" x14ac:dyDescent="0.2">
      <c r="B318" s="619"/>
      <c r="C318" s="546"/>
    </row>
    <row r="319" spans="2:3" x14ac:dyDescent="0.2">
      <c r="B319" s="619"/>
      <c r="C319" s="546"/>
    </row>
    <row r="320" spans="2:3" x14ac:dyDescent="0.2">
      <c r="B320" s="619"/>
      <c r="C320" s="546"/>
    </row>
    <row r="321" spans="2:3" x14ac:dyDescent="0.2">
      <c r="B321" s="619"/>
      <c r="C321" s="546"/>
    </row>
    <row r="322" spans="2:3" x14ac:dyDescent="0.2">
      <c r="B322" s="619"/>
      <c r="C322" s="546"/>
    </row>
    <row r="323" spans="2:3" x14ac:dyDescent="0.2">
      <c r="B323" s="619"/>
      <c r="C323" s="546"/>
    </row>
    <row r="324" spans="2:3" x14ac:dyDescent="0.2">
      <c r="B324" s="619"/>
      <c r="C324" s="546"/>
    </row>
    <row r="325" spans="2:3" x14ac:dyDescent="0.2">
      <c r="B325" s="619"/>
      <c r="C325" s="546"/>
    </row>
    <row r="326" spans="2:3" x14ac:dyDescent="0.2">
      <c r="B326" s="619"/>
      <c r="C326" s="546"/>
    </row>
    <row r="327" spans="2:3" x14ac:dyDescent="0.2">
      <c r="B327" s="619"/>
      <c r="C327" s="546"/>
    </row>
    <row r="328" spans="2:3" x14ac:dyDescent="0.2">
      <c r="B328" s="619"/>
      <c r="C328" s="546"/>
    </row>
    <row r="329" spans="2:3" x14ac:dyDescent="0.2">
      <c r="B329" s="619"/>
      <c r="C329" s="546"/>
    </row>
    <row r="330" spans="2:3" x14ac:dyDescent="0.2">
      <c r="B330" s="619"/>
      <c r="C330" s="546"/>
    </row>
    <row r="331" spans="2:3" x14ac:dyDescent="0.2">
      <c r="B331" s="619"/>
      <c r="C331" s="546"/>
    </row>
    <row r="332" spans="2:3" x14ac:dyDescent="0.2">
      <c r="B332" s="619"/>
      <c r="C332" s="546"/>
    </row>
    <row r="333" spans="2:3" x14ac:dyDescent="0.2">
      <c r="B333" s="619"/>
      <c r="C333" s="546"/>
    </row>
    <row r="334" spans="2:3" x14ac:dyDescent="0.2">
      <c r="B334" s="619"/>
      <c r="C334" s="546"/>
    </row>
    <row r="335" spans="2:3" x14ac:dyDescent="0.2">
      <c r="B335" s="619"/>
      <c r="C335" s="546"/>
    </row>
    <row r="336" spans="2:3" x14ac:dyDescent="0.2">
      <c r="B336" s="619"/>
      <c r="C336" s="546"/>
    </row>
    <row r="337" spans="2:3" x14ac:dyDescent="0.2">
      <c r="B337" s="619"/>
      <c r="C337" s="546"/>
    </row>
    <row r="338" spans="2:3" x14ac:dyDescent="0.2">
      <c r="B338" s="619"/>
      <c r="C338" s="546"/>
    </row>
    <row r="339" spans="2:3" x14ac:dyDescent="0.2">
      <c r="B339" s="619"/>
      <c r="C339" s="546"/>
    </row>
    <row r="340" spans="2:3" x14ac:dyDescent="0.2">
      <c r="B340" s="619"/>
      <c r="C340" s="546"/>
    </row>
    <row r="341" spans="2:3" x14ac:dyDescent="0.2">
      <c r="B341" s="619"/>
      <c r="C341" s="546"/>
    </row>
    <row r="342" spans="2:3" x14ac:dyDescent="0.2">
      <c r="B342" s="619"/>
      <c r="C342" s="546"/>
    </row>
    <row r="343" spans="2:3" x14ac:dyDescent="0.2">
      <c r="B343" s="619"/>
      <c r="C343" s="546"/>
    </row>
    <row r="344" spans="2:3" x14ac:dyDescent="0.2">
      <c r="B344" s="619"/>
      <c r="C344" s="546"/>
    </row>
    <row r="345" spans="2:3" x14ac:dyDescent="0.2">
      <c r="B345" s="619"/>
      <c r="C345" s="546"/>
    </row>
    <row r="346" spans="2:3" x14ac:dyDescent="0.2">
      <c r="B346" s="619"/>
      <c r="C346" s="546"/>
    </row>
    <row r="347" spans="2:3" x14ac:dyDescent="0.2">
      <c r="B347" s="619"/>
      <c r="C347" s="546"/>
    </row>
    <row r="348" spans="2:3" x14ac:dyDescent="0.2">
      <c r="B348" s="619"/>
      <c r="C348" s="546"/>
    </row>
  </sheetData>
  <mergeCells count="28">
    <mergeCell ref="Q86:S86"/>
    <mergeCell ref="B17:C17"/>
    <mergeCell ref="B41:B42"/>
    <mergeCell ref="B58:B59"/>
    <mergeCell ref="C58:C59"/>
    <mergeCell ref="D58:D59"/>
    <mergeCell ref="E58:F58"/>
    <mergeCell ref="B105:C105"/>
    <mergeCell ref="B65:B66"/>
    <mergeCell ref="C65:C66"/>
    <mergeCell ref="D65:D66"/>
    <mergeCell ref="E65:F65"/>
    <mergeCell ref="B86:B87"/>
    <mergeCell ref="B98:C98"/>
    <mergeCell ref="B99:C99"/>
    <mergeCell ref="B100:C100"/>
    <mergeCell ref="B101:C101"/>
    <mergeCell ref="B102:C102"/>
    <mergeCell ref="B106:C106"/>
    <mergeCell ref="B107:C107"/>
    <mergeCell ref="B108:C108"/>
    <mergeCell ref="B109:C109"/>
    <mergeCell ref="B110:C110"/>
    <mergeCell ref="B111:C111"/>
    <mergeCell ref="B112:C112"/>
    <mergeCell ref="B113:C113"/>
    <mergeCell ref="B114:C114"/>
    <mergeCell ref="B115:C115"/>
  </mergeCells>
  <pageMargins left="0.511811024" right="0.511811024" top="0.78740157499999996" bottom="0.78740157499999996" header="0.31496062000000002" footer="0.31496062000000002"/>
  <pageSetup paperSize="9" scale="60" orientation="landscape" horizontalDpi="360" verticalDpi="36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2:L43"/>
  <sheetViews>
    <sheetView showGridLines="0" workbookViewId="0">
      <selection activeCell="G1" sqref="G1"/>
    </sheetView>
  </sheetViews>
  <sheetFormatPr defaultRowHeight="12.75" x14ac:dyDescent="0.2"/>
  <cols>
    <col min="1" max="1" width="9.140625" style="107"/>
    <col min="2" max="2" width="30.7109375" style="107" customWidth="1"/>
    <col min="3" max="7" width="10.7109375" style="107" customWidth="1"/>
    <col min="8" max="10" width="12.7109375" style="107" customWidth="1"/>
    <col min="11" max="12" width="16.7109375" style="107" customWidth="1"/>
    <col min="13" max="16384" width="9.140625" style="107"/>
  </cols>
  <sheetData>
    <row r="2" spans="2:12" ht="14.25" x14ac:dyDescent="0.2">
      <c r="B2" s="108" t="s">
        <v>295</v>
      </c>
      <c r="K2" s="108"/>
    </row>
    <row r="3" spans="2:12" x14ac:dyDescent="0.2">
      <c r="B3" s="465" t="s">
        <v>290</v>
      </c>
      <c r="C3" s="700" t="s">
        <v>296</v>
      </c>
      <c r="D3" s="700"/>
      <c r="E3" s="700"/>
      <c r="F3" s="700"/>
      <c r="G3" s="700"/>
      <c r="H3" s="701"/>
      <c r="K3" s="635"/>
      <c r="L3" s="643"/>
    </row>
    <row r="4" spans="2:12" x14ac:dyDescent="0.2">
      <c r="B4" s="466"/>
      <c r="C4" s="467" t="s">
        <v>382</v>
      </c>
      <c r="D4" s="467" t="s">
        <v>383</v>
      </c>
      <c r="E4" s="467" t="s">
        <v>384</v>
      </c>
      <c r="F4" s="467" t="s">
        <v>385</v>
      </c>
      <c r="G4" s="467" t="s">
        <v>386</v>
      </c>
      <c r="H4" s="467" t="s">
        <v>1</v>
      </c>
      <c r="K4" s="635"/>
      <c r="L4" s="644"/>
    </row>
    <row r="5" spans="2:12" x14ac:dyDescent="0.2">
      <c r="B5" s="468" t="s">
        <v>320</v>
      </c>
      <c r="C5" s="469">
        <f>'Entrada e Saída CWD Zonal (TM)'!F60</f>
        <v>1.4305574513628792</v>
      </c>
      <c r="D5" s="469">
        <f>'Entrada e Saída CWD Zonal (TM)'!$D$81</f>
        <v>0.54045792416640681</v>
      </c>
      <c r="E5" s="469">
        <v>0</v>
      </c>
      <c r="F5" s="469">
        <f>$H$32</f>
        <v>3.3109506496227493E-2</v>
      </c>
      <c r="G5" s="469">
        <f>$H$42</f>
        <v>3.5874839717246233E-4</v>
      </c>
      <c r="H5" s="469">
        <f>C5+D5+E5+F5+G5</f>
        <v>2.0044836304226861</v>
      </c>
      <c r="K5" s="635"/>
      <c r="L5" s="633"/>
    </row>
    <row r="6" spans="2:12" x14ac:dyDescent="0.2">
      <c r="B6" s="468" t="s">
        <v>247</v>
      </c>
      <c r="C6" s="469">
        <f>'Entrada e Saída CWD Zonal (TM)'!F61</f>
        <v>0.33850617371588976</v>
      </c>
      <c r="D6" s="469">
        <f>'Entrada e Saída CWD Zonal (TM)'!$D$81</f>
        <v>0.54045792416640681</v>
      </c>
      <c r="E6" s="469">
        <v>0</v>
      </c>
      <c r="F6" s="469">
        <f>$H$32</f>
        <v>3.3109506496227493E-2</v>
      </c>
      <c r="G6" s="469">
        <f>$H$42</f>
        <v>3.5874839717246233E-4</v>
      </c>
      <c r="H6" s="469">
        <f>C6+D6+E6+F6+G6</f>
        <v>0.91243235277569645</v>
      </c>
      <c r="K6" s="635"/>
      <c r="L6" s="633"/>
    </row>
    <row r="7" spans="2:12" x14ac:dyDescent="0.2">
      <c r="B7" s="109"/>
      <c r="C7" s="506"/>
      <c r="D7" s="507"/>
      <c r="E7" s="507"/>
      <c r="F7" s="507"/>
      <c r="G7" s="507"/>
      <c r="H7" s="507"/>
      <c r="K7" s="636"/>
      <c r="L7" s="636"/>
    </row>
    <row r="8" spans="2:12" ht="14.25" x14ac:dyDescent="0.2">
      <c r="B8" s="108" t="s">
        <v>297</v>
      </c>
      <c r="C8" s="506"/>
      <c r="D8" s="507"/>
      <c r="E8" s="507"/>
      <c r="F8" s="507"/>
      <c r="G8" s="507"/>
      <c r="H8" s="507"/>
      <c r="K8" s="108"/>
      <c r="L8" s="636"/>
    </row>
    <row r="9" spans="2:12" x14ac:dyDescent="0.2">
      <c r="B9" s="465" t="s">
        <v>290</v>
      </c>
      <c r="C9" s="702" t="s">
        <v>296</v>
      </c>
      <c r="D9" s="702"/>
      <c r="E9" s="702"/>
      <c r="F9" s="702"/>
      <c r="G9" s="702"/>
      <c r="H9" s="703"/>
      <c r="K9" s="635"/>
      <c r="L9" s="643"/>
    </row>
    <row r="10" spans="2:12" x14ac:dyDescent="0.2">
      <c r="B10" s="466"/>
      <c r="C10" s="508" t="s">
        <v>382</v>
      </c>
      <c r="D10" s="508" t="s">
        <v>383</v>
      </c>
      <c r="E10" s="508" t="s">
        <v>384</v>
      </c>
      <c r="F10" s="508" t="s">
        <v>385</v>
      </c>
      <c r="G10" s="508" t="s">
        <v>386</v>
      </c>
      <c r="H10" s="508" t="s">
        <v>1</v>
      </c>
      <c r="K10" s="635"/>
      <c r="L10" s="644"/>
    </row>
    <row r="11" spans="2:12" x14ac:dyDescent="0.2">
      <c r="B11" s="468" t="s">
        <v>248</v>
      </c>
      <c r="C11" s="469">
        <v>0</v>
      </c>
      <c r="D11" s="469">
        <f>'Entrada e Saída CWD Zonal (TM)'!$D$84</f>
        <v>0.54894760765597828</v>
      </c>
      <c r="E11" s="469">
        <f>'Entrada e Saída CWD Zonal (TM)'!F67</f>
        <v>0.62159113589399728</v>
      </c>
      <c r="F11" s="469">
        <f t="shared" ref="F11:F19" si="0">$H$32</f>
        <v>3.3109506496227493E-2</v>
      </c>
      <c r="G11" s="469">
        <f t="shared" ref="G11:G19" si="1">$H$42</f>
        <v>3.5874839717246233E-4</v>
      </c>
      <c r="H11" s="469">
        <f>C11+D11+E11+F11+G11</f>
        <v>1.2040069984433754</v>
      </c>
      <c r="K11" s="635"/>
      <c r="L11" s="633"/>
    </row>
    <row r="12" spans="2:12" x14ac:dyDescent="0.2">
      <c r="B12" s="468" t="s">
        <v>249</v>
      </c>
      <c r="C12" s="469">
        <v>0</v>
      </c>
      <c r="D12" s="469">
        <f>'Entrada e Saída CWD Zonal (TM)'!$D$84</f>
        <v>0.54894760765597828</v>
      </c>
      <c r="E12" s="469">
        <f>'Entrada e Saída CWD Zonal (TM)'!F68</f>
        <v>1.0861074080943911</v>
      </c>
      <c r="F12" s="469">
        <f t="shared" si="0"/>
        <v>3.3109506496227493E-2</v>
      </c>
      <c r="G12" s="469">
        <f t="shared" si="1"/>
        <v>3.5874839717246233E-4</v>
      </c>
      <c r="H12" s="469">
        <f t="shared" ref="H12:H19" si="2">C12+D12+E12+F12+G12</f>
        <v>1.6685232706437694</v>
      </c>
      <c r="K12" s="635"/>
      <c r="L12" s="633"/>
    </row>
    <row r="13" spans="2:12" x14ac:dyDescent="0.2">
      <c r="B13" s="468" t="s">
        <v>250</v>
      </c>
      <c r="C13" s="469">
        <v>0</v>
      </c>
      <c r="D13" s="469">
        <f>'Entrada e Saída CWD Zonal (TM)'!$D$84</f>
        <v>0.54894760765597828</v>
      </c>
      <c r="E13" s="469">
        <f>'Entrada e Saída CWD Zonal (TM)'!F69</f>
        <v>1.3568390455006576</v>
      </c>
      <c r="F13" s="469">
        <f t="shared" si="0"/>
        <v>3.3109506496227493E-2</v>
      </c>
      <c r="G13" s="469">
        <f t="shared" si="1"/>
        <v>3.5874839717246233E-4</v>
      </c>
      <c r="H13" s="469">
        <f t="shared" si="2"/>
        <v>1.9392549080500359</v>
      </c>
      <c r="K13" s="635"/>
      <c r="L13" s="633"/>
    </row>
    <row r="14" spans="2:12" x14ac:dyDescent="0.2">
      <c r="B14" s="468" t="s">
        <v>251</v>
      </c>
      <c r="C14" s="469">
        <v>0</v>
      </c>
      <c r="D14" s="469">
        <f>'Entrada e Saída CWD Zonal (TM)'!$D$84</f>
        <v>0.54894760765597828</v>
      </c>
      <c r="E14" s="469">
        <f>'Entrada e Saída CWD Zonal (TM)'!F70</f>
        <v>1.3596404546514409</v>
      </c>
      <c r="F14" s="469">
        <f t="shared" si="0"/>
        <v>3.3109506496227493E-2</v>
      </c>
      <c r="G14" s="469">
        <f t="shared" si="1"/>
        <v>3.5874839717246233E-4</v>
      </c>
      <c r="H14" s="469">
        <f t="shared" si="2"/>
        <v>1.9420563172008192</v>
      </c>
      <c r="K14" s="635"/>
      <c r="L14" s="633"/>
    </row>
    <row r="15" spans="2:12" x14ac:dyDescent="0.2">
      <c r="B15" s="468" t="s">
        <v>252</v>
      </c>
      <c r="C15" s="469">
        <v>0</v>
      </c>
      <c r="D15" s="469">
        <f>'Entrada e Saída CWD Zonal (TM)'!$D$84</f>
        <v>0.54894760765597828</v>
      </c>
      <c r="E15" s="469">
        <f>'Entrada e Saída CWD Zonal (TM)'!F71</f>
        <v>1.4447136299322842</v>
      </c>
      <c r="F15" s="469">
        <f t="shared" si="0"/>
        <v>3.3109506496227493E-2</v>
      </c>
      <c r="G15" s="469">
        <f t="shared" si="1"/>
        <v>3.5874839717246233E-4</v>
      </c>
      <c r="H15" s="469">
        <f t="shared" si="2"/>
        <v>2.0271294924816625</v>
      </c>
      <c r="K15" s="635"/>
      <c r="L15" s="633"/>
    </row>
    <row r="16" spans="2:12" x14ac:dyDescent="0.2">
      <c r="B16" s="468" t="s">
        <v>253</v>
      </c>
      <c r="C16" s="469">
        <v>0</v>
      </c>
      <c r="D16" s="469">
        <f>'Entrada e Saída CWD Zonal (TM)'!$D$84</f>
        <v>0.54894760765597828</v>
      </c>
      <c r="E16" s="469">
        <f>'Entrada e Saída CWD Zonal (TM)'!F72</f>
        <v>1.9094289144995407</v>
      </c>
      <c r="F16" s="469">
        <f t="shared" si="0"/>
        <v>3.3109506496227493E-2</v>
      </c>
      <c r="G16" s="469">
        <f t="shared" si="1"/>
        <v>3.5874839717246233E-4</v>
      </c>
      <c r="H16" s="469">
        <f t="shared" si="2"/>
        <v>2.4918447770489194</v>
      </c>
      <c r="K16" s="635"/>
      <c r="L16" s="633"/>
    </row>
    <row r="17" spans="2:12" x14ac:dyDescent="0.2">
      <c r="B17" s="468" t="s">
        <v>254</v>
      </c>
      <c r="C17" s="469">
        <v>0</v>
      </c>
      <c r="D17" s="469">
        <f>'Entrada e Saída CWD Zonal (TM)'!$D$84</f>
        <v>0.54894760765597828</v>
      </c>
      <c r="E17" s="469">
        <f>'Entrada e Saída CWD Zonal (TM)'!F73</f>
        <v>2.2599028833978778</v>
      </c>
      <c r="F17" s="469">
        <f t="shared" si="0"/>
        <v>3.3109506496227493E-2</v>
      </c>
      <c r="G17" s="469">
        <f t="shared" si="1"/>
        <v>3.5874839717246233E-4</v>
      </c>
      <c r="H17" s="469">
        <f t="shared" si="2"/>
        <v>2.8423187459472561</v>
      </c>
      <c r="K17" s="635"/>
      <c r="L17" s="633"/>
    </row>
    <row r="18" spans="2:12" x14ac:dyDescent="0.2">
      <c r="B18" s="468" t="s">
        <v>255</v>
      </c>
      <c r="C18" s="469">
        <v>0</v>
      </c>
      <c r="D18" s="469">
        <f>'Entrada e Saída CWD Zonal (TM)'!$D$84</f>
        <v>0.54894760765597828</v>
      </c>
      <c r="E18" s="469">
        <f>'Entrada e Saída CWD Zonal (TM)'!F74</f>
        <v>2.2599028833978778</v>
      </c>
      <c r="F18" s="469">
        <f t="shared" si="0"/>
        <v>3.3109506496227493E-2</v>
      </c>
      <c r="G18" s="469">
        <f t="shared" si="1"/>
        <v>3.5874839717246233E-4</v>
      </c>
      <c r="H18" s="469">
        <f t="shared" si="2"/>
        <v>2.8423187459472561</v>
      </c>
      <c r="K18" s="635"/>
      <c r="L18" s="633"/>
    </row>
    <row r="19" spans="2:12" x14ac:dyDescent="0.2">
      <c r="B19" s="468" t="s">
        <v>256</v>
      </c>
      <c r="C19" s="469">
        <v>0</v>
      </c>
      <c r="D19" s="469">
        <f>'Entrada e Saída CWD Zonal (TM)'!$D$84</f>
        <v>0.54894760765597828</v>
      </c>
      <c r="E19" s="469">
        <f>'Entrada e Saída CWD Zonal (TM)'!F75</f>
        <v>2.7530595613844682</v>
      </c>
      <c r="F19" s="469">
        <f t="shared" si="0"/>
        <v>3.3109506496227493E-2</v>
      </c>
      <c r="G19" s="469">
        <f t="shared" si="1"/>
        <v>3.5874839717246233E-4</v>
      </c>
      <c r="H19" s="469">
        <f t="shared" si="2"/>
        <v>3.3354754239338464</v>
      </c>
      <c r="K19" s="635"/>
      <c r="L19" s="633"/>
    </row>
    <row r="21" spans="2:12" x14ac:dyDescent="0.2">
      <c r="K21" s="635"/>
      <c r="L21" s="633"/>
    </row>
    <row r="22" spans="2:12" x14ac:dyDescent="0.2">
      <c r="K22" s="636"/>
      <c r="L22" s="634"/>
    </row>
    <row r="23" spans="2:12" x14ac:dyDescent="0.2">
      <c r="B23" s="122"/>
      <c r="C23" s="122"/>
      <c r="D23" s="122"/>
      <c r="E23" s="122"/>
      <c r="F23" s="122"/>
      <c r="G23" s="122"/>
      <c r="H23" s="122"/>
      <c r="I23" s="122"/>
      <c r="J23" s="122"/>
      <c r="K23" s="635"/>
      <c r="L23" s="633"/>
    </row>
    <row r="24" spans="2:12" x14ac:dyDescent="0.2">
      <c r="B24" s="276" t="s">
        <v>387</v>
      </c>
      <c r="C24" s="122"/>
      <c r="D24" s="122"/>
      <c r="E24" s="122"/>
      <c r="F24" s="122"/>
      <c r="G24" s="122"/>
      <c r="H24" s="122"/>
      <c r="I24" s="122"/>
      <c r="J24" s="122"/>
      <c r="K24" s="635"/>
      <c r="L24" s="633"/>
    </row>
    <row r="25" spans="2:12" x14ac:dyDescent="0.2">
      <c r="B25" s="94" t="s">
        <v>321</v>
      </c>
      <c r="C25" s="122"/>
      <c r="D25" s="122"/>
      <c r="E25" s="122"/>
      <c r="F25" s="122"/>
      <c r="G25" s="122"/>
      <c r="H25" s="122"/>
      <c r="I25" s="122"/>
      <c r="J25" s="122"/>
      <c r="K25" s="637"/>
    </row>
    <row r="26" spans="2:12" x14ac:dyDescent="0.2">
      <c r="B26" s="263"/>
      <c r="C26" s="264">
        <v>2020</v>
      </c>
      <c r="D26" s="264">
        <v>2021</v>
      </c>
      <c r="E26" s="264">
        <v>2022</v>
      </c>
      <c r="F26" s="264">
        <v>2023</v>
      </c>
      <c r="G26" s="265">
        <v>2024</v>
      </c>
      <c r="H26" s="266" t="s">
        <v>41</v>
      </c>
      <c r="I26" s="267" t="s">
        <v>3</v>
      </c>
      <c r="J26" s="266" t="s">
        <v>238</v>
      </c>
    </row>
    <row r="27" spans="2:12" x14ac:dyDescent="0.2">
      <c r="B27" s="106" t="s">
        <v>1</v>
      </c>
      <c r="C27" s="101">
        <f>'FC ECTL'!C12</f>
        <v>13983.576639221461</v>
      </c>
      <c r="D27" s="101">
        <f>'FC ECTL'!D12</f>
        <v>13945.370145671672</v>
      </c>
      <c r="E27" s="101">
        <f>'FC ECTL'!E12</f>
        <v>13945.370145671672</v>
      </c>
      <c r="F27" s="101">
        <f>'FC ECTL'!F12</f>
        <v>13945.370145671672</v>
      </c>
      <c r="G27" s="101">
        <f>'FC ECTL'!G12</f>
        <v>13983.576639221461</v>
      </c>
      <c r="H27" s="252">
        <f>SUM(C27:G27)</f>
        <v>69803.263715457942</v>
      </c>
      <c r="I27" s="273">
        <f>SUM(I28:I29)</f>
        <v>0</v>
      </c>
      <c r="J27" s="253">
        <f>AVERAGE(C27:G27)</f>
        <v>13960.652743091588</v>
      </c>
    </row>
    <row r="28" spans="2:12" x14ac:dyDescent="0.2">
      <c r="B28" s="122"/>
      <c r="C28" s="122"/>
      <c r="D28" s="122"/>
      <c r="E28" s="122"/>
      <c r="F28" s="122"/>
      <c r="G28" s="122"/>
      <c r="H28" s="122"/>
      <c r="I28" s="122"/>
      <c r="J28" s="122"/>
    </row>
    <row r="29" spans="2:12" x14ac:dyDescent="0.2">
      <c r="B29" s="94" t="s">
        <v>387</v>
      </c>
      <c r="C29" s="122"/>
      <c r="D29" s="122"/>
      <c r="E29" s="122"/>
      <c r="F29" s="122"/>
      <c r="G29" s="122"/>
      <c r="H29" s="122"/>
      <c r="I29" s="122"/>
      <c r="J29" s="122"/>
    </row>
    <row r="30" spans="2:12" x14ac:dyDescent="0.2">
      <c r="B30" s="269"/>
      <c r="C30" s="270">
        <v>2020</v>
      </c>
      <c r="D30" s="270">
        <v>2021</v>
      </c>
      <c r="E30" s="270">
        <v>2022</v>
      </c>
      <c r="F30" s="270">
        <v>2023</v>
      </c>
      <c r="G30" s="271">
        <v>2024</v>
      </c>
      <c r="H30" s="272" t="s">
        <v>41</v>
      </c>
      <c r="I30" s="122"/>
      <c r="J30" s="122"/>
    </row>
    <row r="31" spans="2:12" x14ac:dyDescent="0.2">
      <c r="B31" s="110" t="s">
        <v>290</v>
      </c>
      <c r="C31" s="101"/>
      <c r="D31" s="101"/>
      <c r="E31" s="101"/>
      <c r="F31" s="101"/>
      <c r="G31" s="101"/>
      <c r="H31" s="242"/>
      <c r="I31" s="122"/>
      <c r="J31" s="122"/>
    </row>
    <row r="32" spans="2:12" x14ac:dyDescent="0.2">
      <c r="B32" s="111" t="s">
        <v>322</v>
      </c>
      <c r="C32" s="105">
        <f>C27*1000/('C. Demanda'!C100+'C. Demanda'!C106)</f>
        <v>3.747124009829151E-2</v>
      </c>
      <c r="D32" s="105">
        <f>D27*1000/('C. Demanda'!D100+'C. Demanda'!D106)</f>
        <v>3.7471240098291496E-2</v>
      </c>
      <c r="E32" s="105">
        <f>E27*1000/('C. Demanda'!E100+'C. Demanda'!E106)</f>
        <v>3.1328744267851386E-2</v>
      </c>
      <c r="F32" s="105">
        <f>F27*1000/('C. Demanda'!F100+'C. Demanda'!F106)</f>
        <v>3.0699214291140635E-2</v>
      </c>
      <c r="G32" s="105">
        <f>G27*1000/('C. Demanda'!G100+'C. Demanda'!G106)</f>
        <v>3.0168065763999666E-2</v>
      </c>
      <c r="H32" s="275">
        <f>H27*1000/('C. Demanda'!H100+'C. Demanda'!H106)</f>
        <v>3.3109506496227493E-2</v>
      </c>
      <c r="I32" s="125"/>
      <c r="J32" s="122"/>
    </row>
    <row r="33" spans="2:10" x14ac:dyDescent="0.2">
      <c r="B33" s="122"/>
      <c r="C33" s="122"/>
      <c r="D33" s="122"/>
      <c r="E33" s="122"/>
      <c r="F33" s="122"/>
      <c r="G33" s="122"/>
      <c r="H33" s="122"/>
      <c r="I33" s="122"/>
      <c r="J33" s="122"/>
    </row>
    <row r="34" spans="2:10" x14ac:dyDescent="0.2">
      <c r="B34" s="276" t="s">
        <v>388</v>
      </c>
      <c r="C34" s="122"/>
      <c r="D34" s="122"/>
      <c r="E34" s="122"/>
      <c r="F34" s="122"/>
      <c r="G34" s="122"/>
      <c r="H34" s="122"/>
      <c r="I34" s="122"/>
      <c r="J34" s="122"/>
    </row>
    <row r="35" spans="2:10" x14ac:dyDescent="0.2">
      <c r="B35" s="94" t="s">
        <v>323</v>
      </c>
      <c r="C35" s="122"/>
      <c r="D35" s="122"/>
      <c r="E35" s="122"/>
      <c r="F35" s="122"/>
      <c r="G35" s="122"/>
      <c r="H35" s="122"/>
      <c r="I35" s="122"/>
      <c r="J35" s="122"/>
    </row>
    <row r="36" spans="2:10" x14ac:dyDescent="0.2">
      <c r="B36" s="263"/>
      <c r="C36" s="264">
        <v>2020</v>
      </c>
      <c r="D36" s="264">
        <v>2021</v>
      </c>
      <c r="E36" s="264">
        <v>2022</v>
      </c>
      <c r="F36" s="264">
        <v>2023</v>
      </c>
      <c r="G36" s="265">
        <v>2024</v>
      </c>
      <c r="H36" s="266" t="s">
        <v>41</v>
      </c>
      <c r="I36" s="267" t="s">
        <v>3</v>
      </c>
      <c r="J36" s="266" t="s">
        <v>238</v>
      </c>
    </row>
    <row r="37" spans="2:10" x14ac:dyDescent="0.2">
      <c r="B37" s="106" t="s">
        <v>1</v>
      </c>
      <c r="C37" s="101">
        <f>'FC EM'!C12</f>
        <v>133.94362784904757</v>
      </c>
      <c r="D37" s="101">
        <f>'FC EM'!D12</f>
        <v>133.5776616527387</v>
      </c>
      <c r="E37" s="101">
        <f>'FC EM'!E12</f>
        <v>159.76767497490883</v>
      </c>
      <c r="F37" s="101">
        <f>'FC EM'!F12</f>
        <v>163.04393278894381</v>
      </c>
      <c r="G37" s="101">
        <v>166</v>
      </c>
      <c r="H37" s="252">
        <f>SUM(C37:G37)</f>
        <v>756.33289726563896</v>
      </c>
      <c r="I37" s="273">
        <f>SUM(I38:I39)</f>
        <v>0</v>
      </c>
      <c r="J37" s="253">
        <f>AVERAGE(C37:G37)</f>
        <v>151.2665794531278</v>
      </c>
    </row>
    <row r="38" spans="2:10" x14ac:dyDescent="0.2">
      <c r="B38" s="122"/>
      <c r="C38" s="122"/>
      <c r="D38" s="122"/>
      <c r="E38" s="122"/>
      <c r="F38" s="122"/>
      <c r="G38" s="122"/>
      <c r="H38" s="122"/>
      <c r="I38" s="122"/>
      <c r="J38" s="122"/>
    </row>
    <row r="39" spans="2:10" x14ac:dyDescent="0.2">
      <c r="B39" s="94" t="s">
        <v>388</v>
      </c>
      <c r="C39" s="122"/>
      <c r="D39" s="122"/>
      <c r="E39" s="122"/>
      <c r="F39" s="122"/>
      <c r="G39" s="122"/>
      <c r="H39" s="122"/>
      <c r="I39" s="122"/>
      <c r="J39" s="122"/>
    </row>
    <row r="40" spans="2:10" x14ac:dyDescent="0.2">
      <c r="B40" s="269"/>
      <c r="C40" s="270">
        <v>2020</v>
      </c>
      <c r="D40" s="270">
        <v>2021</v>
      </c>
      <c r="E40" s="270">
        <v>2022</v>
      </c>
      <c r="F40" s="270">
        <v>2023</v>
      </c>
      <c r="G40" s="271">
        <v>2024</v>
      </c>
      <c r="H40" s="272" t="s">
        <v>41</v>
      </c>
      <c r="I40" s="122"/>
      <c r="J40" s="122"/>
    </row>
    <row r="41" spans="2:10" x14ac:dyDescent="0.2">
      <c r="B41" s="110" t="s">
        <v>290</v>
      </c>
      <c r="C41" s="101"/>
      <c r="D41" s="101"/>
      <c r="E41" s="101"/>
      <c r="F41" s="101"/>
      <c r="G41" s="101"/>
      <c r="H41" s="242"/>
      <c r="I41" s="122"/>
      <c r="J41" s="122"/>
    </row>
    <row r="42" spans="2:10" x14ac:dyDescent="0.2">
      <c r="B42" s="111" t="s">
        <v>324</v>
      </c>
      <c r="C42" s="274">
        <f>C37*1000/('C. Demanda'!C100+'C. Demanda'!C106)</f>
        <v>3.5892346917099619E-4</v>
      </c>
      <c r="D42" s="274">
        <f>D37*1000/('C. Demanda'!D100+'C. Demanda'!D106)</f>
        <v>3.5892346917099614E-4</v>
      </c>
      <c r="E42" s="274">
        <f>E37*1000/('C. Demanda'!E100+'C. Demanda'!E106)</f>
        <v>3.589234691709963E-4</v>
      </c>
      <c r="F42" s="274">
        <f>F37*1000/('C. Demanda'!F100+'C. Demanda'!F106)</f>
        <v>3.5892346917099619E-4</v>
      </c>
      <c r="G42" s="274">
        <f>G37*1000/('C. Demanda'!G100+'C. Demanda'!G106)</f>
        <v>3.5812718348306351E-4</v>
      </c>
      <c r="H42" s="275">
        <f>H37*1000/('C. Demanda'!H100+'C. Demanda'!H106)</f>
        <v>3.5874839717246233E-4</v>
      </c>
      <c r="I42" s="125"/>
      <c r="J42" s="122"/>
    </row>
    <row r="43" spans="2:10" x14ac:dyDescent="0.2">
      <c r="B43" s="122"/>
      <c r="C43" s="122"/>
      <c r="D43" s="122"/>
      <c r="E43" s="122"/>
      <c r="F43" s="122"/>
      <c r="G43" s="122"/>
      <c r="H43" s="122"/>
      <c r="I43" s="122"/>
      <c r="J43" s="122"/>
    </row>
  </sheetData>
  <mergeCells count="2">
    <mergeCell ref="C3:H3"/>
    <mergeCell ref="C9:H9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2:P43"/>
  <sheetViews>
    <sheetView showGridLines="0" workbookViewId="0"/>
  </sheetViews>
  <sheetFormatPr defaultRowHeight="12.75" x14ac:dyDescent="0.2"/>
  <cols>
    <col min="1" max="1" width="9.140625" style="107"/>
    <col min="2" max="2" width="30.7109375" style="107" customWidth="1"/>
    <col min="3" max="7" width="10.7109375" style="107" customWidth="1"/>
    <col min="8" max="9" width="12.7109375" style="107" customWidth="1"/>
    <col min="10" max="10" width="15" style="107" customWidth="1"/>
    <col min="11" max="11" width="4.28515625" style="634" customWidth="1"/>
    <col min="12" max="14" width="16.7109375" style="107" customWidth="1"/>
    <col min="15" max="16384" width="9.140625" style="107"/>
  </cols>
  <sheetData>
    <row r="2" spans="2:10" ht="14.25" x14ac:dyDescent="0.2">
      <c r="B2" s="108" t="s">
        <v>295</v>
      </c>
    </row>
    <row r="3" spans="2:10" x14ac:dyDescent="0.2">
      <c r="B3" s="465" t="s">
        <v>290</v>
      </c>
      <c r="C3" s="700" t="s">
        <v>296</v>
      </c>
      <c r="D3" s="700"/>
      <c r="E3" s="700"/>
      <c r="F3" s="700"/>
      <c r="G3" s="700"/>
      <c r="H3" s="701"/>
    </row>
    <row r="4" spans="2:10" x14ac:dyDescent="0.2">
      <c r="B4" s="466"/>
      <c r="C4" s="467" t="s">
        <v>382</v>
      </c>
      <c r="D4" s="467" t="s">
        <v>383</v>
      </c>
      <c r="E4" s="467" t="s">
        <v>384</v>
      </c>
      <c r="F4" s="467" t="s">
        <v>385</v>
      </c>
      <c r="G4" s="467" t="s">
        <v>386</v>
      </c>
      <c r="H4" s="467" t="s">
        <v>1</v>
      </c>
    </row>
    <row r="5" spans="2:10" x14ac:dyDescent="0.2">
      <c r="B5" s="468" t="s">
        <v>320</v>
      </c>
      <c r="C5" s="469">
        <f>'Entrada e Saída CWD Zonal (TR)'!F60</f>
        <v>1.5926103364655493</v>
      </c>
      <c r="D5" s="469">
        <f>'Entrada e Saída CWD Zonal (TR)'!$D$81</f>
        <v>0.59249677811462598</v>
      </c>
      <c r="E5" s="469">
        <v>0</v>
      </c>
      <c r="F5" s="469">
        <f>$H$32</f>
        <v>3.3109506496227493E-2</v>
      </c>
      <c r="G5" s="469">
        <f>$H$42</f>
        <v>3.5874839717246233E-4</v>
      </c>
      <c r="H5" s="469">
        <f>C5+D5+E5+F5+G5</f>
        <v>2.2185753694735753</v>
      </c>
      <c r="I5" s="638"/>
      <c r="J5" s="632"/>
    </row>
    <row r="6" spans="2:10" x14ac:dyDescent="0.2">
      <c r="B6" s="468" t="s">
        <v>247</v>
      </c>
      <c r="C6" s="469">
        <f>'Entrada e Saída CWD Zonal (TR)'!F61</f>
        <v>0.37685199619471788</v>
      </c>
      <c r="D6" s="469">
        <f>'Entrada e Saída CWD Zonal (TR)'!$D$81</f>
        <v>0.59249677811462598</v>
      </c>
      <c r="E6" s="469">
        <v>0</v>
      </c>
      <c r="F6" s="469">
        <f>$H$32</f>
        <v>3.3109506496227493E-2</v>
      </c>
      <c r="G6" s="469">
        <f>$H$42</f>
        <v>3.5874839717246233E-4</v>
      </c>
      <c r="H6" s="469">
        <f>C6+D6+E6+F6+G6</f>
        <v>1.0028170292027438</v>
      </c>
      <c r="I6" s="638"/>
      <c r="J6" s="632"/>
    </row>
    <row r="7" spans="2:10" x14ac:dyDescent="0.2">
      <c r="B7" s="109"/>
      <c r="C7" s="506"/>
      <c r="D7" s="507"/>
      <c r="E7" s="507"/>
      <c r="F7" s="507"/>
      <c r="G7" s="507"/>
      <c r="H7" s="507"/>
      <c r="I7" s="638"/>
      <c r="J7" s="632"/>
    </row>
    <row r="8" spans="2:10" ht="14.25" x14ac:dyDescent="0.2">
      <c r="B8" s="108" t="s">
        <v>297</v>
      </c>
      <c r="C8" s="506"/>
      <c r="D8" s="507"/>
      <c r="E8" s="507"/>
      <c r="F8" s="507"/>
      <c r="G8" s="507"/>
      <c r="H8" s="507"/>
      <c r="I8" s="638"/>
      <c r="J8" s="632"/>
    </row>
    <row r="9" spans="2:10" x14ac:dyDescent="0.2">
      <c r="B9" s="465" t="s">
        <v>290</v>
      </c>
      <c r="C9" s="702" t="s">
        <v>296</v>
      </c>
      <c r="D9" s="702"/>
      <c r="E9" s="702"/>
      <c r="F9" s="702"/>
      <c r="G9" s="702"/>
      <c r="H9" s="703"/>
      <c r="I9" s="638"/>
      <c r="J9" s="632"/>
    </row>
    <row r="10" spans="2:10" x14ac:dyDescent="0.2">
      <c r="B10" s="466"/>
      <c r="C10" s="467" t="s">
        <v>382</v>
      </c>
      <c r="D10" s="467" t="s">
        <v>383</v>
      </c>
      <c r="E10" s="467" t="s">
        <v>384</v>
      </c>
      <c r="F10" s="467" t="s">
        <v>385</v>
      </c>
      <c r="G10" s="467" t="s">
        <v>386</v>
      </c>
      <c r="H10" s="467" t="s">
        <v>1</v>
      </c>
      <c r="I10" s="638"/>
      <c r="J10" s="632"/>
    </row>
    <row r="11" spans="2:10" x14ac:dyDescent="0.2">
      <c r="B11" s="468" t="s">
        <v>248</v>
      </c>
      <c r="C11" s="469">
        <v>0</v>
      </c>
      <c r="D11" s="469">
        <f>'Entrada e Saída CWD Zonal (TR)'!$D$84</f>
        <v>0.59249677811462609</v>
      </c>
      <c r="E11" s="469">
        <f>'Entrada e Saída CWD Zonal (TR)'!F67</f>
        <v>0.63461748773750992</v>
      </c>
      <c r="F11" s="469">
        <f t="shared" ref="F11:F19" si="0">$H$32</f>
        <v>3.3109506496227493E-2</v>
      </c>
      <c r="G11" s="469">
        <f t="shared" ref="G11:G19" si="1">$H$42</f>
        <v>3.5874839717246233E-4</v>
      </c>
      <c r="H11" s="469">
        <f>C11+D11+E11+F11+G11</f>
        <v>1.2605825207455361</v>
      </c>
      <c r="I11" s="638"/>
      <c r="J11" s="632"/>
    </row>
    <row r="12" spans="2:10" x14ac:dyDescent="0.2">
      <c r="B12" s="468" t="s">
        <v>249</v>
      </c>
      <c r="C12" s="469">
        <v>0</v>
      </c>
      <c r="D12" s="469">
        <f>'Entrada e Saída CWD Zonal (TR)'!$D$84</f>
        <v>0.59249677811462609</v>
      </c>
      <c r="E12" s="469">
        <f>'Entrada e Saída CWD Zonal (TR)'!F68</f>
        <v>1.1088683781608881</v>
      </c>
      <c r="F12" s="469">
        <f t="shared" si="0"/>
        <v>3.3109506496227493E-2</v>
      </c>
      <c r="G12" s="469">
        <f t="shared" si="1"/>
        <v>3.5874839717246233E-4</v>
      </c>
      <c r="H12" s="469">
        <f t="shared" ref="H12:H19" si="2">C12+D12+E12+F12+G12</f>
        <v>1.7348334111689143</v>
      </c>
      <c r="I12" s="638"/>
      <c r="J12" s="632"/>
    </row>
    <row r="13" spans="2:10" x14ac:dyDescent="0.2">
      <c r="B13" s="468" t="s">
        <v>250</v>
      </c>
      <c r="C13" s="469">
        <v>0</v>
      </c>
      <c r="D13" s="469">
        <f>'Entrada e Saída CWD Zonal (TR)'!$D$84</f>
        <v>0.59249677811462609</v>
      </c>
      <c r="E13" s="469">
        <f>'Entrada e Saída CWD Zonal (TR)'!F69</f>
        <v>1.3852735931978146</v>
      </c>
      <c r="F13" s="469">
        <f t="shared" si="0"/>
        <v>3.3109506496227493E-2</v>
      </c>
      <c r="G13" s="469">
        <f t="shared" si="1"/>
        <v>3.5874839717246233E-4</v>
      </c>
      <c r="H13" s="469">
        <f t="shared" si="2"/>
        <v>2.011238626205841</v>
      </c>
      <c r="I13" s="638"/>
      <c r="J13" s="632"/>
    </row>
    <row r="14" spans="2:10" x14ac:dyDescent="0.2">
      <c r="B14" s="468" t="s">
        <v>251</v>
      </c>
      <c r="C14" s="469">
        <v>0</v>
      </c>
      <c r="D14" s="469">
        <f>'Entrada e Saída CWD Zonal (TR)'!$D$84</f>
        <v>0.59249677811462609</v>
      </c>
      <c r="E14" s="469">
        <f>'Entrada e Saída CWD Zonal (TR)'!F70</f>
        <v>1.3881337099767288</v>
      </c>
      <c r="F14" s="469">
        <f t="shared" si="0"/>
        <v>3.3109506496227493E-2</v>
      </c>
      <c r="G14" s="469">
        <f t="shared" si="1"/>
        <v>3.5874839717246233E-4</v>
      </c>
      <c r="H14" s="469">
        <f t="shared" si="2"/>
        <v>2.0140987429847552</v>
      </c>
      <c r="I14" s="638"/>
      <c r="J14" s="632"/>
    </row>
    <row r="15" spans="2:10" x14ac:dyDescent="0.2">
      <c r="B15" s="468" t="s">
        <v>252</v>
      </c>
      <c r="C15" s="469">
        <v>0</v>
      </c>
      <c r="D15" s="469">
        <f>'Entrada e Saída CWD Zonal (TR)'!$D$84</f>
        <v>0.59249677811462609</v>
      </c>
      <c r="E15" s="469">
        <f>'Entrada e Saída CWD Zonal (TR)'!F71</f>
        <v>1.4749897181354239</v>
      </c>
      <c r="F15" s="469">
        <f t="shared" si="0"/>
        <v>3.3109506496227493E-2</v>
      </c>
      <c r="G15" s="469">
        <f t="shared" si="1"/>
        <v>3.5874839717246233E-4</v>
      </c>
      <c r="H15" s="469">
        <f t="shared" si="2"/>
        <v>2.1009547511434503</v>
      </c>
      <c r="I15" s="638"/>
      <c r="J15" s="632"/>
    </row>
    <row r="16" spans="2:10" x14ac:dyDescent="0.2">
      <c r="B16" s="468" t="s">
        <v>253</v>
      </c>
      <c r="C16" s="469">
        <v>0</v>
      </c>
      <c r="D16" s="469">
        <f>'Entrada e Saída CWD Zonal (TR)'!$D$84</f>
        <v>0.59249677811462609</v>
      </c>
      <c r="E16" s="469">
        <f>'Entrada e Saída CWD Zonal (TR)'!F72</f>
        <v>1.9494437915210328</v>
      </c>
      <c r="F16" s="469">
        <f t="shared" si="0"/>
        <v>3.3109506496227493E-2</v>
      </c>
      <c r="G16" s="469">
        <f t="shared" si="1"/>
        <v>3.5874839717246233E-4</v>
      </c>
      <c r="H16" s="469">
        <f t="shared" si="2"/>
        <v>2.5754088245290592</v>
      </c>
      <c r="I16" s="638"/>
      <c r="J16" s="632"/>
    </row>
    <row r="17" spans="2:16" x14ac:dyDescent="0.2">
      <c r="B17" s="468" t="s">
        <v>254</v>
      </c>
      <c r="C17" s="469">
        <v>0</v>
      </c>
      <c r="D17" s="469">
        <f>'Entrada e Saída CWD Zonal (TR)'!$D$84</f>
        <v>0.59249677811462609</v>
      </c>
      <c r="E17" s="469">
        <f>'Entrada e Saída CWD Zonal (TR)'!F73</f>
        <v>2.3072624552955219</v>
      </c>
      <c r="F17" s="469">
        <f t="shared" si="0"/>
        <v>3.3109506496227493E-2</v>
      </c>
      <c r="G17" s="469">
        <f t="shared" si="1"/>
        <v>3.5874839717246233E-4</v>
      </c>
      <c r="H17" s="469">
        <f t="shared" si="2"/>
        <v>2.9332274883035483</v>
      </c>
      <c r="I17" s="638"/>
      <c r="J17" s="632"/>
    </row>
    <row r="18" spans="2:16" x14ac:dyDescent="0.2">
      <c r="B18" s="468" t="s">
        <v>255</v>
      </c>
      <c r="C18" s="469">
        <v>0</v>
      </c>
      <c r="D18" s="469">
        <f>'Entrada e Saída CWD Zonal (TR)'!$D$84</f>
        <v>0.59249677811462609</v>
      </c>
      <c r="E18" s="469">
        <f>'Entrada e Saída CWD Zonal (TR)'!F74</f>
        <v>2.3072624552955223</v>
      </c>
      <c r="F18" s="469">
        <f t="shared" si="0"/>
        <v>3.3109506496227493E-2</v>
      </c>
      <c r="G18" s="469">
        <f t="shared" si="1"/>
        <v>3.5874839717246233E-4</v>
      </c>
      <c r="H18" s="469">
        <f t="shared" si="2"/>
        <v>2.9332274883035487</v>
      </c>
      <c r="I18" s="638"/>
      <c r="J18" s="632"/>
    </row>
    <row r="19" spans="2:16" x14ac:dyDescent="0.2">
      <c r="B19" s="468" t="s">
        <v>256</v>
      </c>
      <c r="C19" s="469">
        <v>0</v>
      </c>
      <c r="D19" s="469">
        <f>'Entrada e Saída CWD Zonal (TR)'!$D$84</f>
        <v>0.59249677811462609</v>
      </c>
      <c r="E19" s="469">
        <f>'Entrada e Saída CWD Zonal (TR)'!F75</f>
        <v>2.8107539531186143</v>
      </c>
      <c r="F19" s="469">
        <f t="shared" si="0"/>
        <v>3.3109506496227493E-2</v>
      </c>
      <c r="G19" s="469">
        <f t="shared" si="1"/>
        <v>3.5874839717246233E-4</v>
      </c>
      <c r="H19" s="469">
        <f t="shared" si="2"/>
        <v>3.4367189861266407</v>
      </c>
      <c r="I19" s="638"/>
      <c r="J19" s="632"/>
    </row>
    <row r="23" spans="2:16" x14ac:dyDescent="0.2">
      <c r="B23" s="122"/>
      <c r="C23" s="122"/>
      <c r="D23" s="122"/>
      <c r="E23" s="122"/>
      <c r="F23" s="122"/>
      <c r="G23" s="122"/>
      <c r="H23" s="122"/>
      <c r="I23" s="122"/>
      <c r="J23" s="122"/>
      <c r="K23" s="124"/>
    </row>
    <row r="24" spans="2:16" x14ac:dyDescent="0.2">
      <c r="B24" s="276" t="s">
        <v>431</v>
      </c>
      <c r="C24" s="122"/>
      <c r="D24" s="122"/>
      <c r="E24" s="122"/>
      <c r="F24" s="122"/>
      <c r="G24" s="122"/>
      <c r="H24" s="122"/>
      <c r="I24" s="122"/>
      <c r="J24" s="122"/>
      <c r="K24" s="124"/>
      <c r="P24" s="632"/>
    </row>
    <row r="25" spans="2:16" x14ac:dyDescent="0.2">
      <c r="B25" s="94" t="s">
        <v>321</v>
      </c>
      <c r="C25" s="122"/>
      <c r="D25" s="122"/>
      <c r="E25" s="122"/>
      <c r="F25" s="122"/>
      <c r="G25" s="122"/>
      <c r="H25" s="122"/>
      <c r="I25" s="122"/>
      <c r="J25" s="122"/>
      <c r="K25" s="124"/>
    </row>
    <row r="26" spans="2:16" x14ac:dyDescent="0.2">
      <c r="B26" s="263"/>
      <c r="C26" s="264">
        <v>2020</v>
      </c>
      <c r="D26" s="264">
        <v>2021</v>
      </c>
      <c r="E26" s="264">
        <v>2022</v>
      </c>
      <c r="F26" s="264">
        <v>2023</v>
      </c>
      <c r="G26" s="265">
        <v>2024</v>
      </c>
      <c r="H26" s="266" t="s">
        <v>41</v>
      </c>
      <c r="I26" s="267" t="s">
        <v>3</v>
      </c>
      <c r="J26" s="266" t="s">
        <v>238</v>
      </c>
      <c r="K26" s="639"/>
      <c r="P26" s="632"/>
    </row>
    <row r="27" spans="2:16" x14ac:dyDescent="0.2">
      <c r="B27" s="106" t="s">
        <v>1</v>
      </c>
      <c r="C27" s="101">
        <f>'FC ECTL'!C12</f>
        <v>13983.576639221461</v>
      </c>
      <c r="D27" s="101">
        <f>'FC ECTL'!D12</f>
        <v>13945.370145671672</v>
      </c>
      <c r="E27" s="101">
        <f>'FC ECTL'!E12</f>
        <v>13945.370145671672</v>
      </c>
      <c r="F27" s="101">
        <f>'FC ECTL'!F12</f>
        <v>13945.370145671672</v>
      </c>
      <c r="G27" s="101">
        <f>'FC ECTL'!G12</f>
        <v>13983.576639221461</v>
      </c>
      <c r="H27" s="252">
        <f>SUM(C27:G27)</f>
        <v>69803.263715457942</v>
      </c>
      <c r="I27" s="273">
        <f>SUM(I28:I29)</f>
        <v>0</v>
      </c>
      <c r="J27" s="253">
        <f>AVERAGE(C27:G27)</f>
        <v>13960.652743091588</v>
      </c>
      <c r="K27" s="640"/>
    </row>
    <row r="28" spans="2:16" x14ac:dyDescent="0.2">
      <c r="B28" s="122"/>
      <c r="C28" s="122"/>
      <c r="D28" s="122"/>
      <c r="E28" s="122"/>
      <c r="F28" s="122"/>
      <c r="G28" s="122"/>
      <c r="H28" s="122"/>
      <c r="I28" s="122"/>
      <c r="J28" s="122"/>
      <c r="K28" s="124"/>
    </row>
    <row r="29" spans="2:16" x14ac:dyDescent="0.2">
      <c r="B29" s="94" t="s">
        <v>387</v>
      </c>
      <c r="C29" s="122"/>
      <c r="D29" s="122"/>
      <c r="E29" s="122"/>
      <c r="F29" s="122"/>
      <c r="G29" s="122"/>
      <c r="H29" s="122"/>
      <c r="I29" s="122"/>
      <c r="J29" s="122"/>
      <c r="K29" s="124"/>
    </row>
    <row r="30" spans="2:16" x14ac:dyDescent="0.2">
      <c r="B30" s="269"/>
      <c r="C30" s="270">
        <v>2020</v>
      </c>
      <c r="D30" s="270">
        <v>2021</v>
      </c>
      <c r="E30" s="270">
        <v>2022</v>
      </c>
      <c r="F30" s="270">
        <v>2023</v>
      </c>
      <c r="G30" s="271">
        <v>2024</v>
      </c>
      <c r="H30" s="272" t="s">
        <v>41</v>
      </c>
      <c r="I30" s="122"/>
      <c r="J30" s="122"/>
      <c r="K30" s="124"/>
    </row>
    <row r="31" spans="2:16" x14ac:dyDescent="0.2">
      <c r="B31" s="110" t="s">
        <v>290</v>
      </c>
      <c r="C31" s="101"/>
      <c r="D31" s="101"/>
      <c r="E31" s="101"/>
      <c r="F31" s="101"/>
      <c r="G31" s="101"/>
      <c r="H31" s="242"/>
      <c r="I31" s="122"/>
      <c r="J31" s="122"/>
      <c r="K31" s="124"/>
    </row>
    <row r="32" spans="2:16" x14ac:dyDescent="0.2">
      <c r="B32" s="111" t="s">
        <v>322</v>
      </c>
      <c r="C32" s="105">
        <f>C27*1000/('C. Demanda'!C100+'C. Demanda'!C106)</f>
        <v>3.747124009829151E-2</v>
      </c>
      <c r="D32" s="105">
        <f>D27*1000/('C. Demanda'!D100+'C. Demanda'!D106)</f>
        <v>3.7471240098291496E-2</v>
      </c>
      <c r="E32" s="105">
        <f>E27*1000/('C. Demanda'!E100+'C. Demanda'!E106)</f>
        <v>3.1328744267851386E-2</v>
      </c>
      <c r="F32" s="105">
        <f>F27*1000/('C. Demanda'!F100+'C. Demanda'!F106)</f>
        <v>3.0699214291140635E-2</v>
      </c>
      <c r="G32" s="105">
        <f>G27*1000/('C. Demanda'!G100+'C. Demanda'!G106)</f>
        <v>3.0168065763999666E-2</v>
      </c>
      <c r="H32" s="243">
        <f>H27*1000/('C. Demanda'!H100+'C. Demanda'!H106)</f>
        <v>3.3109506496227493E-2</v>
      </c>
      <c r="I32" s="125"/>
      <c r="J32" s="122"/>
      <c r="K32" s="124"/>
    </row>
    <row r="33" spans="2:11" x14ac:dyDescent="0.2">
      <c r="B33" s="122"/>
      <c r="C33" s="122"/>
      <c r="D33" s="122"/>
      <c r="E33" s="122"/>
      <c r="F33" s="122"/>
      <c r="G33" s="122"/>
      <c r="H33" s="122"/>
      <c r="I33" s="122"/>
      <c r="J33" s="122"/>
      <c r="K33" s="124"/>
    </row>
    <row r="34" spans="2:11" x14ac:dyDescent="0.2">
      <c r="B34" s="276" t="s">
        <v>430</v>
      </c>
      <c r="C34" s="122"/>
      <c r="D34" s="122"/>
      <c r="E34" s="122"/>
      <c r="F34" s="122"/>
      <c r="G34" s="122"/>
      <c r="H34" s="122"/>
      <c r="I34" s="122"/>
      <c r="J34" s="122"/>
      <c r="K34" s="124"/>
    </row>
    <row r="35" spans="2:11" x14ac:dyDescent="0.2">
      <c r="B35" s="94" t="s">
        <v>323</v>
      </c>
      <c r="C35" s="122"/>
      <c r="D35" s="122"/>
      <c r="E35" s="122"/>
      <c r="F35" s="122"/>
      <c r="G35" s="122"/>
      <c r="H35" s="122"/>
      <c r="I35" s="122"/>
      <c r="J35" s="122"/>
      <c r="K35" s="124"/>
    </row>
    <row r="36" spans="2:11" x14ac:dyDescent="0.2">
      <c r="B36" s="263"/>
      <c r="C36" s="264">
        <v>2020</v>
      </c>
      <c r="D36" s="264">
        <v>2021</v>
      </c>
      <c r="E36" s="264">
        <v>2022</v>
      </c>
      <c r="F36" s="264">
        <v>2023</v>
      </c>
      <c r="G36" s="265">
        <v>2024</v>
      </c>
      <c r="H36" s="266" t="s">
        <v>41</v>
      </c>
      <c r="I36" s="267" t="s">
        <v>3</v>
      </c>
      <c r="J36" s="266" t="s">
        <v>238</v>
      </c>
      <c r="K36" s="639"/>
    </row>
    <row r="37" spans="2:11" x14ac:dyDescent="0.2">
      <c r="B37" s="106" t="s">
        <v>1</v>
      </c>
      <c r="C37" s="101">
        <f>'FC EM'!C12</f>
        <v>133.94362784904757</v>
      </c>
      <c r="D37" s="101">
        <f>'FC EM'!D12</f>
        <v>133.5776616527387</v>
      </c>
      <c r="E37" s="101">
        <f>'FC EM'!E12</f>
        <v>159.76767497490883</v>
      </c>
      <c r="F37" s="101">
        <f>'FC EM'!F12</f>
        <v>163.04393278894381</v>
      </c>
      <c r="G37" s="101">
        <v>166</v>
      </c>
      <c r="H37" s="252">
        <f>SUM(C37:G37)</f>
        <v>756.33289726563896</v>
      </c>
      <c r="I37" s="273">
        <f>SUM(I38:I39)</f>
        <v>0</v>
      </c>
      <c r="J37" s="253">
        <f>AVERAGE(C37:G37)</f>
        <v>151.2665794531278</v>
      </c>
      <c r="K37" s="640"/>
    </row>
    <row r="38" spans="2:11" x14ac:dyDescent="0.2">
      <c r="B38" s="122"/>
      <c r="C38" s="122"/>
      <c r="D38" s="122"/>
      <c r="E38" s="122"/>
      <c r="F38" s="122"/>
      <c r="G38" s="122"/>
      <c r="H38" s="122"/>
      <c r="I38" s="122"/>
      <c r="J38" s="122"/>
      <c r="K38" s="124"/>
    </row>
    <row r="39" spans="2:11" x14ac:dyDescent="0.2">
      <c r="B39" s="94" t="s">
        <v>430</v>
      </c>
      <c r="C39" s="122"/>
      <c r="D39" s="122"/>
      <c r="E39" s="122"/>
      <c r="F39" s="122"/>
      <c r="G39" s="122"/>
      <c r="H39" s="122"/>
      <c r="I39" s="122"/>
      <c r="J39" s="122"/>
      <c r="K39" s="124"/>
    </row>
    <row r="40" spans="2:11" x14ac:dyDescent="0.2">
      <c r="B40" s="269"/>
      <c r="C40" s="270">
        <v>2020</v>
      </c>
      <c r="D40" s="270">
        <v>2021</v>
      </c>
      <c r="E40" s="270">
        <v>2022</v>
      </c>
      <c r="F40" s="270">
        <v>2023</v>
      </c>
      <c r="G40" s="271">
        <v>2024</v>
      </c>
      <c r="H40" s="272" t="s">
        <v>41</v>
      </c>
      <c r="I40" s="122"/>
      <c r="J40" s="122"/>
      <c r="K40" s="124"/>
    </row>
    <row r="41" spans="2:11" x14ac:dyDescent="0.2">
      <c r="B41" s="110" t="s">
        <v>290</v>
      </c>
      <c r="C41" s="101"/>
      <c r="D41" s="101"/>
      <c r="E41" s="101"/>
      <c r="F41" s="101"/>
      <c r="G41" s="101"/>
      <c r="H41" s="242"/>
      <c r="I41" s="122"/>
      <c r="J41" s="122"/>
      <c r="K41" s="124"/>
    </row>
    <row r="42" spans="2:11" x14ac:dyDescent="0.2">
      <c r="B42" s="111" t="s">
        <v>324</v>
      </c>
      <c r="C42" s="274">
        <f>C37*1000/('C. Demanda'!C100+'C. Demanda'!C106)</f>
        <v>3.5892346917099619E-4</v>
      </c>
      <c r="D42" s="274">
        <f>D37*1000/('C. Demanda'!D100+'C. Demanda'!D106)</f>
        <v>3.5892346917099614E-4</v>
      </c>
      <c r="E42" s="274">
        <f>E37*1000/('C. Demanda'!E100+'C. Demanda'!E106)</f>
        <v>3.589234691709963E-4</v>
      </c>
      <c r="F42" s="274">
        <f>F37*1000/('C. Demanda'!F100+'C. Demanda'!F106)</f>
        <v>3.5892346917099619E-4</v>
      </c>
      <c r="G42" s="274">
        <f>G37*1000/('C. Demanda'!G100+'C. Demanda'!G106)</f>
        <v>3.5812718348306351E-4</v>
      </c>
      <c r="H42" s="275">
        <f>H37*1000/('C. Demanda'!H100+'C. Demanda'!H106)</f>
        <v>3.5874839717246233E-4</v>
      </c>
      <c r="I42" s="125"/>
      <c r="J42" s="122"/>
      <c r="K42" s="124"/>
    </row>
    <row r="43" spans="2:11" x14ac:dyDescent="0.2">
      <c r="B43" s="122"/>
      <c r="C43" s="122"/>
      <c r="D43" s="122"/>
      <c r="E43" s="122"/>
      <c r="F43" s="122"/>
      <c r="G43" s="122"/>
      <c r="H43" s="122"/>
      <c r="I43" s="122"/>
      <c r="J43" s="122"/>
      <c r="K43" s="124"/>
    </row>
  </sheetData>
  <mergeCells count="2">
    <mergeCell ref="C3:H3"/>
    <mergeCell ref="C9:H9"/>
  </mergeCells>
  <conditionalFormatting sqref="O24">
    <cfRule type="containsText" dxfId="19" priority="7" operator="containsText" text="ERRO">
      <formula>NOT(ISERROR(SEARCH("ERRO",O24)))</formula>
    </cfRule>
    <cfRule type="containsText" dxfId="18" priority="8" operator="containsText" text="Check">
      <formula>NOT(ISERROR(SEARCH("Check",O24)))</formula>
    </cfRule>
    <cfRule type="containsText" dxfId="17" priority="9" operator="containsText" text="&quot;ERRO&quot;">
      <formula>NOT(ISERROR(SEARCH("""ERRO""",O24)))</formula>
    </cfRule>
    <cfRule type="containsText" dxfId="16" priority="10" operator="containsText" text="&quot;Check&quot;">
      <formula>NOT(ISERROR(SEARCH("""Check""",O24)))</formula>
    </cfRule>
    <cfRule type="containsText" dxfId="15" priority="11" operator="containsText" text="&quot;ERRO&quot;">
      <formula>NOT(ISERROR(SEARCH("""ERRO""",O24)))</formula>
    </cfRule>
    <cfRule type="containsText" dxfId="14" priority="12" operator="containsText" text="&quot;check&quot;">
      <formula>NOT(ISERROR(SEARCH("""check""",O24)))</formula>
    </cfRule>
  </conditionalFormatting>
  <conditionalFormatting sqref="O26">
    <cfRule type="containsText" dxfId="13" priority="1" operator="containsText" text="ERRO">
      <formula>NOT(ISERROR(SEARCH("ERRO",O26)))</formula>
    </cfRule>
    <cfRule type="containsText" dxfId="12" priority="2" operator="containsText" text="Check">
      <formula>NOT(ISERROR(SEARCH("Check",O26)))</formula>
    </cfRule>
    <cfRule type="containsText" dxfId="11" priority="3" operator="containsText" text="&quot;ERRO&quot;">
      <formula>NOT(ISERROR(SEARCH("""ERRO""",O26)))</formula>
    </cfRule>
    <cfRule type="containsText" dxfId="10" priority="4" operator="containsText" text="&quot;Check&quot;">
      <formula>NOT(ISERROR(SEARCH("""Check""",O26)))</formula>
    </cfRule>
    <cfRule type="containsText" dxfId="9" priority="5" operator="containsText" text="&quot;ERRO&quot;">
      <formula>NOT(ISERROR(SEARCH("""ERRO""",O26)))</formula>
    </cfRule>
    <cfRule type="containsText" dxfId="8" priority="6" operator="containsText" text="&quot;check&quot;">
      <formula>NOT(ISERROR(SEARCH("""check""",O26)))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/>
  </sheetPr>
  <dimension ref="A2:L224"/>
  <sheetViews>
    <sheetView showGridLines="0" topLeftCell="A115" zoomScale="112" zoomScaleNormal="112" workbookViewId="0">
      <selection activeCell="H18" sqref="H18"/>
    </sheetView>
  </sheetViews>
  <sheetFormatPr defaultRowHeight="12.75" x14ac:dyDescent="0.2"/>
  <cols>
    <col min="1" max="1" width="20.28515625" style="122" bestFit="1" customWidth="1"/>
    <col min="2" max="2" width="30.7109375" style="122" customWidth="1"/>
    <col min="3" max="7" width="10.7109375" style="122" customWidth="1"/>
    <col min="8" max="10" width="14.7109375" style="122" customWidth="1"/>
    <col min="11" max="11" width="10.7109375" style="122" customWidth="1"/>
    <col min="12" max="12" width="15.28515625" style="122" bestFit="1" customWidth="1"/>
    <col min="13" max="13" width="10.7109375" style="122" customWidth="1"/>
    <col min="14" max="14" width="15.28515625" style="122" bestFit="1" customWidth="1"/>
    <col min="15" max="16384" width="9.140625" style="122"/>
  </cols>
  <sheetData>
    <row r="2" spans="2:10" x14ac:dyDescent="0.2">
      <c r="C2" s="165"/>
      <c r="D2" s="165"/>
      <c r="E2" s="165"/>
      <c r="F2" s="165"/>
      <c r="G2" s="165"/>
    </row>
    <row r="3" spans="2:10" x14ac:dyDescent="0.2">
      <c r="B3" s="94" t="s">
        <v>271</v>
      </c>
      <c r="C3" s="165"/>
      <c r="D3" s="165"/>
      <c r="E3" s="165"/>
      <c r="F3" s="165"/>
      <c r="G3" s="165"/>
    </row>
    <row r="4" spans="2:10" x14ac:dyDescent="0.2">
      <c r="B4" s="204"/>
      <c r="C4" s="261">
        <v>2020</v>
      </c>
      <c r="D4" s="261">
        <v>2021</v>
      </c>
      <c r="E4" s="261">
        <v>2022</v>
      </c>
      <c r="F4" s="261">
        <v>2023</v>
      </c>
      <c r="G4" s="262">
        <v>2024</v>
      </c>
      <c r="H4" s="203" t="s">
        <v>41</v>
      </c>
      <c r="I4" s="203" t="s">
        <v>3</v>
      </c>
      <c r="J4" s="203" t="s">
        <v>238</v>
      </c>
    </row>
    <row r="5" spans="2:10" x14ac:dyDescent="0.2">
      <c r="B5" s="103" t="s">
        <v>272</v>
      </c>
      <c r="C5" s="463">
        <f>Premissas!B59</f>
        <v>366</v>
      </c>
      <c r="D5" s="463">
        <f>Premissas!C59</f>
        <v>365</v>
      </c>
      <c r="E5" s="463">
        <f>Premissas!D59</f>
        <v>365</v>
      </c>
      <c r="F5" s="463">
        <f>Premissas!E59</f>
        <v>365</v>
      </c>
      <c r="G5" s="463">
        <f>Premissas!F59</f>
        <v>366</v>
      </c>
      <c r="H5" s="436">
        <f>SUM(C5:G5)</f>
        <v>1827</v>
      </c>
      <c r="I5" s="437"/>
      <c r="J5" s="464">
        <f>AVERAGE(C5:G5)</f>
        <v>365.4</v>
      </c>
    </row>
    <row r="6" spans="2:10" x14ac:dyDescent="0.2">
      <c r="C6" s="165"/>
      <c r="D6" s="165"/>
      <c r="E6" s="165"/>
      <c r="F6" s="165"/>
      <c r="G6" s="165"/>
    </row>
    <row r="7" spans="2:10" x14ac:dyDescent="0.2">
      <c r="C7" s="165"/>
      <c r="D7" s="165"/>
      <c r="E7" s="165"/>
      <c r="F7" s="165"/>
      <c r="G7" s="165"/>
    </row>
    <row r="8" spans="2:10" ht="14.25" x14ac:dyDescent="0.2">
      <c r="B8" s="94" t="s">
        <v>263</v>
      </c>
      <c r="G8" s="238"/>
    </row>
    <row r="9" spans="2:10" x14ac:dyDescent="0.2">
      <c r="B9" s="132" t="s">
        <v>257</v>
      </c>
      <c r="C9" s="165"/>
      <c r="D9" s="165"/>
    </row>
    <row r="10" spans="2:10" x14ac:dyDescent="0.2">
      <c r="B10" s="64" t="s">
        <v>258</v>
      </c>
      <c r="C10" s="451" t="s">
        <v>129</v>
      </c>
      <c r="D10" s="451" t="s">
        <v>185</v>
      </c>
    </row>
    <row r="11" spans="2:10" x14ac:dyDescent="0.2">
      <c r="B11" s="259" t="s">
        <v>248</v>
      </c>
      <c r="C11" s="435">
        <f>AVERAGE(Gasoduto!G5:G8)</f>
        <v>457.49999999999994</v>
      </c>
      <c r="D11" s="435">
        <f>AVERAGE(Gasoduto!H5:H8)</f>
        <v>806.90000000000009</v>
      </c>
      <c r="G11" s="125"/>
      <c r="H11" s="125"/>
    </row>
    <row r="12" spans="2:10" x14ac:dyDescent="0.2">
      <c r="B12" s="259" t="s">
        <v>249</v>
      </c>
      <c r="C12" s="435">
        <f>AVERAGE(Gasoduto!G9:G15)</f>
        <v>986.57142857142867</v>
      </c>
      <c r="D12" s="435">
        <f>AVERAGE(Gasoduto!H9:H15)</f>
        <v>277.82857142857154</v>
      </c>
      <c r="G12" s="125"/>
      <c r="H12" s="125"/>
    </row>
    <row r="13" spans="2:10" x14ac:dyDescent="0.2">
      <c r="B13" s="259" t="s">
        <v>250</v>
      </c>
      <c r="C13" s="435">
        <f>AVERAGE(Gasoduto!G16:G26)</f>
        <v>1283.2</v>
      </c>
      <c r="D13" s="435">
        <f>AVERAGE(Gasoduto!H16:H26)</f>
        <v>40.400000000000006</v>
      </c>
      <c r="G13" s="125"/>
      <c r="H13" s="125"/>
    </row>
    <row r="14" spans="2:10" x14ac:dyDescent="0.2">
      <c r="B14" s="259" t="s">
        <v>251</v>
      </c>
      <c r="C14" s="435">
        <f>AVERAGE(Gasoduto!G27:G30)</f>
        <v>1288.5500000000002</v>
      </c>
      <c r="D14" s="435">
        <f>AVERAGE(Gasoduto!H27:H30)</f>
        <v>24.150000000000034</v>
      </c>
    </row>
    <row r="15" spans="2:10" x14ac:dyDescent="0.2">
      <c r="B15" s="259" t="s">
        <v>252</v>
      </c>
      <c r="C15" s="435">
        <f>AVERAGE(Gasoduto!G31:G34)</f>
        <v>1357.9500000000003</v>
      </c>
      <c r="D15" s="435">
        <f>AVERAGE(Gasoduto!H31:H34)</f>
        <v>93.550000000000011</v>
      </c>
      <c r="G15" s="125"/>
      <c r="H15" s="125"/>
    </row>
    <row r="16" spans="2:10" x14ac:dyDescent="0.2">
      <c r="B16" s="259" t="s">
        <v>253</v>
      </c>
      <c r="C16" s="435">
        <f>AVERAGE(Gasoduto!G35:G38)</f>
        <v>1737.0500000000002</v>
      </c>
      <c r="D16" s="435">
        <f>AVERAGE(Gasoduto!H35:H38)</f>
        <v>472.65000000000003</v>
      </c>
      <c r="G16" s="125"/>
      <c r="H16" s="125"/>
    </row>
    <row r="17" spans="2:11" x14ac:dyDescent="0.2">
      <c r="B17" s="259" t="s">
        <v>254</v>
      </c>
      <c r="C17" s="435">
        <f>AVERAGE(Gasoduto!G39:G43)</f>
        <v>1922.3800000000003</v>
      </c>
      <c r="D17" s="435">
        <f>AVERAGE(Gasoduto!H39:H43)</f>
        <v>657.98</v>
      </c>
      <c r="G17" s="125"/>
      <c r="H17" s="125"/>
    </row>
    <row r="18" spans="2:11" x14ac:dyDescent="0.2">
      <c r="B18" s="259" t="s">
        <v>255</v>
      </c>
      <c r="C18" s="435">
        <f>AVERAGE(Gasoduto!G44:G47)</f>
        <v>2148.6750000000002</v>
      </c>
      <c r="D18" s="435">
        <f>AVERAGE(Gasoduto!H44:H47)</f>
        <v>884.27499999999986</v>
      </c>
      <c r="G18" s="125"/>
      <c r="H18" s="125"/>
    </row>
    <row r="19" spans="2:11" x14ac:dyDescent="0.2">
      <c r="B19" s="259" t="s">
        <v>256</v>
      </c>
      <c r="C19" s="435">
        <f>AVERAGE(Gasoduto!G48:G54)</f>
        <v>2425.2571428571432</v>
      </c>
      <c r="D19" s="435">
        <f>AVERAGE(Gasoduto!H48:H54)</f>
        <v>1160.8571428571427</v>
      </c>
      <c r="G19" s="125"/>
      <c r="H19" s="125"/>
    </row>
    <row r="21" spans="2:11" x14ac:dyDescent="0.2">
      <c r="C21" s="239"/>
      <c r="D21" s="239"/>
      <c r="E21" s="239"/>
      <c r="F21" s="239"/>
      <c r="G21" s="239"/>
    </row>
    <row r="22" spans="2:11" ht="14.25" x14ac:dyDescent="0.2">
      <c r="B22" s="94" t="s">
        <v>283</v>
      </c>
    </row>
    <row r="23" spans="2:11" x14ac:dyDescent="0.2">
      <c r="B23" s="433"/>
      <c r="C23" s="261">
        <v>2020</v>
      </c>
      <c r="D23" s="261">
        <v>2021</v>
      </c>
      <c r="E23" s="261">
        <v>2022</v>
      </c>
      <c r="F23" s="261">
        <v>2023</v>
      </c>
      <c r="G23" s="262">
        <v>2024</v>
      </c>
      <c r="H23" s="203" t="s">
        <v>41</v>
      </c>
      <c r="I23" s="203" t="s">
        <v>3</v>
      </c>
      <c r="J23" s="203" t="s">
        <v>238</v>
      </c>
    </row>
    <row r="24" spans="2:11" x14ac:dyDescent="0.2">
      <c r="B24" s="258"/>
      <c r="C24" s="438">
        <f t="shared" ref="C24:H24" si="0">SUM(C25:C26)</f>
        <v>1</v>
      </c>
      <c r="D24" s="438">
        <f t="shared" si="0"/>
        <v>1</v>
      </c>
      <c r="E24" s="438">
        <f t="shared" si="0"/>
        <v>1</v>
      </c>
      <c r="F24" s="438">
        <f t="shared" si="0"/>
        <v>1</v>
      </c>
      <c r="G24" s="438">
        <f t="shared" si="0"/>
        <v>1</v>
      </c>
      <c r="H24" s="437">
        <f t="shared" si="0"/>
        <v>1</v>
      </c>
      <c r="I24" s="437">
        <f>H24/H24</f>
        <v>1</v>
      </c>
      <c r="J24" s="437">
        <f>SUM(J25:J26)</f>
        <v>1</v>
      </c>
    </row>
    <row r="25" spans="2:11" x14ac:dyDescent="0.2">
      <c r="B25" s="259" t="s">
        <v>260</v>
      </c>
      <c r="C25" s="439">
        <f>+'C. Capacidade'!C81/'C. Capacidade'!C$80</f>
        <v>1</v>
      </c>
      <c r="D25" s="439">
        <f>+'C. Capacidade'!D81/'C. Capacidade'!D$80</f>
        <v>1</v>
      </c>
      <c r="E25" s="439">
        <f>+'C. Capacidade'!E81/'C. Capacidade'!E$80</f>
        <v>0.74356391410866118</v>
      </c>
      <c r="F25" s="439">
        <f>+'C. Capacidade'!F81/'C. Capacidade'!F$80</f>
        <v>0.74356391410866185</v>
      </c>
      <c r="G25" s="439">
        <f>+'C. Capacidade'!G81/'C. Capacidade'!G$80</f>
        <v>0.74356391410866129</v>
      </c>
      <c r="H25" s="437">
        <f>+'C. Capacidade'!H81/'C. Capacidade'!H$80</f>
        <v>0.84616642028631239</v>
      </c>
      <c r="I25" s="437">
        <f>H25/H24</f>
        <v>0.84616642028631239</v>
      </c>
      <c r="J25" s="437">
        <f>+'C. Capacidade'!J81/'C. Capacidade'!J$80</f>
        <v>0.84616642028631239</v>
      </c>
      <c r="K25" s="177"/>
    </row>
    <row r="26" spans="2:11" x14ac:dyDescent="0.2">
      <c r="B26" s="259" t="s">
        <v>185</v>
      </c>
      <c r="C26" s="439">
        <f>+'C. Capacidade'!C82/'C. Capacidade'!C$80</f>
        <v>0</v>
      </c>
      <c r="D26" s="439">
        <f>+'C. Capacidade'!D82/'C. Capacidade'!D$80</f>
        <v>0</v>
      </c>
      <c r="E26" s="439">
        <f>+'C. Capacidade'!E82/'C. Capacidade'!E$80</f>
        <v>0.25643608589133876</v>
      </c>
      <c r="F26" s="439">
        <f>+'C. Capacidade'!F82/'C. Capacidade'!F$80</f>
        <v>0.25643608589133815</v>
      </c>
      <c r="G26" s="439">
        <f>+'C. Capacidade'!G82/'C. Capacidade'!G$80</f>
        <v>0.25643608589133876</v>
      </c>
      <c r="H26" s="437">
        <f>+'C. Capacidade'!H82/'C. Capacidade'!H$80</f>
        <v>0.15383357971368755</v>
      </c>
      <c r="I26" s="437">
        <f>H26/H24</f>
        <v>0.15383357971368755</v>
      </c>
      <c r="J26" s="437">
        <f>+'C. Capacidade'!J82/'C. Capacidade'!J$80</f>
        <v>0.15383357971368758</v>
      </c>
      <c r="K26" s="177"/>
    </row>
    <row r="27" spans="2:11" x14ac:dyDescent="0.2">
      <c r="B27" s="132"/>
      <c r="C27" s="132"/>
      <c r="D27" s="132"/>
      <c r="E27" s="132"/>
      <c r="F27" s="132"/>
      <c r="G27" s="132"/>
      <c r="H27" s="132"/>
      <c r="I27" s="132"/>
      <c r="J27" s="132"/>
    </row>
    <row r="28" spans="2:11" ht="14.25" x14ac:dyDescent="0.2">
      <c r="B28" s="94" t="s">
        <v>284</v>
      </c>
    </row>
    <row r="29" spans="2:11" x14ac:dyDescent="0.2">
      <c r="B29" s="433"/>
      <c r="C29" s="261">
        <v>2020</v>
      </c>
      <c r="D29" s="261">
        <v>2021</v>
      </c>
      <c r="E29" s="261">
        <v>2022</v>
      </c>
      <c r="F29" s="261">
        <v>2023</v>
      </c>
      <c r="G29" s="262">
        <v>2024</v>
      </c>
      <c r="H29" s="203" t="s">
        <v>41</v>
      </c>
      <c r="I29" s="203" t="s">
        <v>3</v>
      </c>
      <c r="J29" s="203" t="s">
        <v>238</v>
      </c>
    </row>
    <row r="30" spans="2:11" x14ac:dyDescent="0.2">
      <c r="B30" s="258" t="s">
        <v>261</v>
      </c>
      <c r="C30" s="438">
        <f t="shared" ref="C30:H30" si="1">SUM(C31:C39)</f>
        <v>0.99999999999999967</v>
      </c>
      <c r="D30" s="438">
        <f t="shared" si="1"/>
        <v>0.99999999999999967</v>
      </c>
      <c r="E30" s="438">
        <f t="shared" si="1"/>
        <v>0.74356391410866129</v>
      </c>
      <c r="F30" s="438">
        <f t="shared" si="1"/>
        <v>0.74356391410866129</v>
      </c>
      <c r="G30" s="438">
        <f t="shared" si="1"/>
        <v>0.74356391410866129</v>
      </c>
      <c r="H30" s="437">
        <f t="shared" si="1"/>
        <v>0.84613834846519653</v>
      </c>
      <c r="I30" s="437">
        <f t="shared" ref="I30:I39" si="2">+H30/$H$30</f>
        <v>1</v>
      </c>
      <c r="J30" s="437">
        <f>SUM(J31:J39)</f>
        <v>0.84613834846519664</v>
      </c>
    </row>
    <row r="31" spans="2:11" x14ac:dyDescent="0.2">
      <c r="B31" s="260" t="s">
        <v>248</v>
      </c>
      <c r="C31" s="439">
        <f>'C. Capacidade'!C41/'C. Capacidade'!C$66</f>
        <v>0.18062160734015467</v>
      </c>
      <c r="D31" s="439">
        <f>'C. Capacidade'!D41/'C. Capacidade'!D$66</f>
        <v>0.18062160734015467</v>
      </c>
      <c r="E31" s="439">
        <f>'C. Capacidade'!E41/'C. Capacidade'!E$66</f>
        <v>0.18062160734015467</v>
      </c>
      <c r="F31" s="439">
        <f>'C. Capacidade'!F41/'C. Capacidade'!F$66</f>
        <v>0.18062160734015467</v>
      </c>
      <c r="G31" s="439">
        <f>'C. Capacidade'!G41/'C. Capacidade'!G$66</f>
        <v>0.18062160734015467</v>
      </c>
      <c r="H31" s="437">
        <f>'C. Capacidade'!H41/'C. Capacidade'!H$66</f>
        <v>0.18062160734015467</v>
      </c>
      <c r="I31" s="437">
        <f t="shared" si="2"/>
        <v>0.21346580930622366</v>
      </c>
      <c r="J31" s="437">
        <f>'C. Capacidade'!J41/'C. Capacidade'!J$66</f>
        <v>0.18062160734015467</v>
      </c>
    </row>
    <row r="32" spans="2:11" x14ac:dyDescent="0.2">
      <c r="B32" s="259" t="s">
        <v>249</v>
      </c>
      <c r="C32" s="439">
        <f>'C. Capacidade'!C42/'C. Capacidade'!C$66</f>
        <v>0.12009415381659221</v>
      </c>
      <c r="D32" s="439">
        <f>'C. Capacidade'!D42/'C. Capacidade'!D$66</f>
        <v>0.12009415381659221</v>
      </c>
      <c r="E32" s="439">
        <f>'C. Capacidade'!E42/'C. Capacidade'!E$66</f>
        <v>0.12009415381659221</v>
      </c>
      <c r="F32" s="439">
        <f>'C. Capacidade'!F42/'C. Capacidade'!F$66</f>
        <v>0.12009415381659221</v>
      </c>
      <c r="G32" s="439">
        <f>'C. Capacidade'!G42/'C. Capacidade'!G$66</f>
        <v>0.12009415381659221</v>
      </c>
      <c r="H32" s="437">
        <f>'C. Capacidade'!H42/'C. Capacidade'!H$66</f>
        <v>0.12009415381659221</v>
      </c>
      <c r="I32" s="437">
        <f t="shared" si="2"/>
        <v>0.14193205405998915</v>
      </c>
      <c r="J32" s="437">
        <f>'C. Capacidade'!J42/'C. Capacidade'!J$66</f>
        <v>0.12009415381659221</v>
      </c>
    </row>
    <row r="33" spans="2:10" x14ac:dyDescent="0.2">
      <c r="B33" s="259" t="s">
        <v>250</v>
      </c>
      <c r="C33" s="439">
        <f>'C. Capacidade'!C43/'C. Capacidade'!C$66</f>
        <v>0.54282557525099673</v>
      </c>
      <c r="D33" s="439">
        <f>'C. Capacidade'!D43/'C. Capacidade'!D$66</f>
        <v>0.54282557525099673</v>
      </c>
      <c r="E33" s="439">
        <f>'C. Capacidade'!E43/'C. Capacidade'!E$66</f>
        <v>0.34740836816063791</v>
      </c>
      <c r="F33" s="439">
        <f>'C. Capacidade'!F43/'C. Capacidade'!F$66</f>
        <v>0.34740836816063791</v>
      </c>
      <c r="G33" s="439">
        <f>'C. Capacidade'!G43/'C. Capacidade'!G$66</f>
        <v>0.34740836816063791</v>
      </c>
      <c r="H33" s="437">
        <f>'C. Capacidade'!H43/'C. Capacidade'!H$66</f>
        <v>0.42557525099678145</v>
      </c>
      <c r="I33" s="437">
        <f t="shared" si="2"/>
        <v>0.50296178133130232</v>
      </c>
      <c r="J33" s="437">
        <f>'C. Capacidade'!J43/'C. Capacidade'!J$66</f>
        <v>0.42557525099678151</v>
      </c>
    </row>
    <row r="34" spans="2:10" x14ac:dyDescent="0.2">
      <c r="B34" s="259" t="s">
        <v>251</v>
      </c>
      <c r="C34" s="439">
        <f>'C. Capacidade'!C44/'C. Capacidade'!C$66</f>
        <v>4.8037661526636886E-4</v>
      </c>
      <c r="D34" s="439">
        <f>'C. Capacidade'!D44/'C. Capacidade'!D$66</f>
        <v>4.8037661526636886E-4</v>
      </c>
      <c r="E34" s="439">
        <f>'C. Capacidade'!E44/'C. Capacidade'!E$66</f>
        <v>2.9302973531248499E-4</v>
      </c>
      <c r="F34" s="439">
        <f>'C. Capacidade'!F44/'C. Capacidade'!F$66</f>
        <v>2.9302973531248499E-4</v>
      </c>
      <c r="G34" s="439">
        <f>'C. Capacidade'!G44/'C. Capacidade'!G$66</f>
        <v>2.9302973531248499E-4</v>
      </c>
      <c r="H34" s="437">
        <f>'C. Capacidade'!H44/'C. Capacidade'!H$66</f>
        <v>3.6796848729403855E-4</v>
      </c>
      <c r="I34" s="437">
        <f t="shared" si="2"/>
        <v>4.3487981363980678E-4</v>
      </c>
      <c r="J34" s="437">
        <f>'C. Capacidade'!J44/'C. Capacidade'!J$66</f>
        <v>3.679684872940386E-4</v>
      </c>
    </row>
    <row r="35" spans="2:10" x14ac:dyDescent="0.2">
      <c r="B35" s="259" t="s">
        <v>252</v>
      </c>
      <c r="C35" s="439">
        <f>'C. Capacidade'!C45/'C. Capacidade'!C$66</f>
        <v>6.3409713215160687E-2</v>
      </c>
      <c r="D35" s="439">
        <f>'C. Capacidade'!D45/'C. Capacidade'!D$66</f>
        <v>6.3409713215160687E-2</v>
      </c>
      <c r="E35" s="439">
        <f>'C. Capacidade'!E45/'C. Capacidade'!E$66</f>
        <v>3.8679925061248017E-2</v>
      </c>
      <c r="F35" s="439">
        <f>'C. Capacidade'!F45/'C. Capacidade'!F$66</f>
        <v>3.8679925061248017E-2</v>
      </c>
      <c r="G35" s="439">
        <f>'C. Capacidade'!G45/'C. Capacidade'!G$66</f>
        <v>3.8679925061248017E-2</v>
      </c>
      <c r="H35" s="437">
        <f>'C. Capacidade'!H45/'C. Capacidade'!H$66</f>
        <v>4.857184032281308E-2</v>
      </c>
      <c r="I35" s="437">
        <f t="shared" si="2"/>
        <v>5.7404135400454484E-2</v>
      </c>
      <c r="J35" s="437">
        <f>'C. Capacidade'!J45/'C. Capacidade'!J$66</f>
        <v>4.857184032281308E-2</v>
      </c>
    </row>
    <row r="36" spans="2:10" x14ac:dyDescent="0.2">
      <c r="B36" s="259" t="s">
        <v>253</v>
      </c>
      <c r="C36" s="439">
        <f>'C. Capacidade'!C46/'C. Capacidade'!C$66</f>
        <v>4.8037661526636886E-4</v>
      </c>
      <c r="D36" s="439">
        <f>'C. Capacidade'!D46/'C. Capacidade'!D$66</f>
        <v>4.8037661526636886E-4</v>
      </c>
      <c r="E36" s="439">
        <f>'C. Capacidade'!E46/'C. Capacidade'!E$66</f>
        <v>2.9302973531248499E-4</v>
      </c>
      <c r="F36" s="439">
        <f>'C. Capacidade'!F46/'C. Capacidade'!F$66</f>
        <v>2.9302973531248499E-4</v>
      </c>
      <c r="G36" s="439">
        <f>'C. Capacidade'!G46/'C. Capacidade'!G$66</f>
        <v>2.9302973531248499E-4</v>
      </c>
      <c r="H36" s="437">
        <f>'C. Capacidade'!H46/'C. Capacidade'!H$66</f>
        <v>3.6796848729403855E-4</v>
      </c>
      <c r="I36" s="437">
        <f t="shared" si="2"/>
        <v>4.3487981363980678E-4</v>
      </c>
      <c r="J36" s="437">
        <f>'C. Capacidade'!J46/'C. Capacidade'!J$66</f>
        <v>3.679684872940386E-4</v>
      </c>
    </row>
    <row r="37" spans="2:10" x14ac:dyDescent="0.2">
      <c r="B37" s="259" t="s">
        <v>254</v>
      </c>
      <c r="C37" s="439">
        <f>'C. Capacidade'!C47/'C. Capacidade'!C$66</f>
        <v>5.9134361339290002E-2</v>
      </c>
      <c r="D37" s="439">
        <f>'C. Capacidade'!D47/'C. Capacidade'!D$66</f>
        <v>5.9134361339290002E-2</v>
      </c>
      <c r="E37" s="439">
        <f>'C. Capacidade'!E47/'C. Capacidade'!E$66</f>
        <v>3.6071960416966899E-2</v>
      </c>
      <c r="F37" s="439">
        <f>'C. Capacidade'!F47/'C. Capacidade'!F$66</f>
        <v>3.6071960416966899E-2</v>
      </c>
      <c r="G37" s="439">
        <f>'C. Capacidade'!G47/'C. Capacidade'!G$66</f>
        <v>3.6071960416966899E-2</v>
      </c>
      <c r="H37" s="437">
        <f>'C. Capacidade'!H47/'C. Capacidade'!H$66</f>
        <v>4.5296920785896137E-2</v>
      </c>
      <c r="I37" s="437">
        <f t="shared" si="2"/>
        <v>5.3533705059060202E-2</v>
      </c>
      <c r="J37" s="437">
        <f>'C. Capacidade'!J47/'C. Capacidade'!J$66</f>
        <v>4.5296920785896137E-2</v>
      </c>
    </row>
    <row r="38" spans="2:10" x14ac:dyDescent="0.2">
      <c r="B38" s="259" t="s">
        <v>255</v>
      </c>
      <c r="C38" s="439">
        <f>'C. Capacidade'!C48/'C. Capacidade'!C$66</f>
        <v>3.2473459192006532E-2</v>
      </c>
      <c r="D38" s="439">
        <f>'C. Capacidade'!D48/'C. Capacidade'!D$66</f>
        <v>3.2473459192006532E-2</v>
      </c>
      <c r="E38" s="439">
        <f>'C. Capacidade'!E48/'C. Capacidade'!E$66</f>
        <v>1.9808810107123986E-2</v>
      </c>
      <c r="F38" s="439">
        <f>'C. Capacidade'!F48/'C. Capacidade'!F$66</f>
        <v>1.9808810107123986E-2</v>
      </c>
      <c r="G38" s="439">
        <f>'C. Capacidade'!G48/'C. Capacidade'!G$66</f>
        <v>1.9808810107123986E-2</v>
      </c>
      <c r="H38" s="437">
        <f>'C. Capacidade'!H48/'C. Capacidade'!H$66</f>
        <v>2.4874669741077007E-2</v>
      </c>
      <c r="I38" s="437">
        <f t="shared" si="2"/>
        <v>2.9397875402050938E-2</v>
      </c>
      <c r="J38" s="437">
        <f>'C. Capacidade'!J48/'C. Capacidade'!J$66</f>
        <v>2.4874669741077007E-2</v>
      </c>
    </row>
    <row r="39" spans="2:10" x14ac:dyDescent="0.2">
      <c r="B39" s="259" t="s">
        <v>256</v>
      </c>
      <c r="C39" s="439">
        <f>'C. Capacidade'!C49/'C. Capacidade'!C$66</f>
        <v>4.8037661526636886E-4</v>
      </c>
      <c r="D39" s="439">
        <f>'C. Capacidade'!D49/'C. Capacidade'!D$66</f>
        <v>4.8037661526636886E-4</v>
      </c>
      <c r="E39" s="439">
        <f>'C. Capacidade'!E49/'C. Capacidade'!E$66</f>
        <v>2.9302973531248499E-4</v>
      </c>
      <c r="F39" s="439">
        <f>'C. Capacidade'!F49/'C. Capacidade'!F$66</f>
        <v>2.9302973531248499E-4</v>
      </c>
      <c r="G39" s="439">
        <f>'C. Capacidade'!G49/'C. Capacidade'!G$66</f>
        <v>2.9302973531248499E-4</v>
      </c>
      <c r="H39" s="437">
        <f>'C. Capacidade'!H49/'C. Capacidade'!H$66</f>
        <v>3.6796848729403855E-4</v>
      </c>
      <c r="I39" s="437">
        <f t="shared" si="2"/>
        <v>4.3487981363980678E-4</v>
      </c>
      <c r="J39" s="437">
        <f>'C. Capacidade'!J49/'C. Capacidade'!J$66</f>
        <v>3.679684872940386E-4</v>
      </c>
    </row>
    <row r="41" spans="2:10" ht="14.25" x14ac:dyDescent="0.2">
      <c r="B41" s="94" t="s">
        <v>285</v>
      </c>
    </row>
    <row r="42" spans="2:10" x14ac:dyDescent="0.2">
      <c r="B42" s="433"/>
      <c r="C42" s="261">
        <v>2020</v>
      </c>
      <c r="D42" s="261">
        <v>2021</v>
      </c>
      <c r="E42" s="261">
        <v>2022</v>
      </c>
      <c r="F42" s="261">
        <v>2023</v>
      </c>
      <c r="G42" s="262">
        <v>2024</v>
      </c>
      <c r="H42" s="203" t="s">
        <v>41</v>
      </c>
      <c r="I42" s="203" t="s">
        <v>3</v>
      </c>
      <c r="J42" s="203" t="s">
        <v>238</v>
      </c>
    </row>
    <row r="43" spans="2:10" x14ac:dyDescent="0.2">
      <c r="B43" s="258" t="s">
        <v>262</v>
      </c>
      <c r="C43" s="438">
        <f t="shared" ref="C43:H43" si="3">SUM(C44:C52)</f>
        <v>0</v>
      </c>
      <c r="D43" s="438">
        <f t="shared" si="3"/>
        <v>0</v>
      </c>
      <c r="E43" s="438">
        <f t="shared" si="3"/>
        <v>0.25643608589133882</v>
      </c>
      <c r="F43" s="438">
        <f t="shared" si="3"/>
        <v>0.25643608589133882</v>
      </c>
      <c r="G43" s="438">
        <f t="shared" si="3"/>
        <v>0.25643608589133882</v>
      </c>
      <c r="H43" s="437">
        <f t="shared" si="3"/>
        <v>0.15386165153480333</v>
      </c>
      <c r="I43" s="437">
        <f t="shared" ref="I43:I52" si="4">+H43/$H$43</f>
        <v>1</v>
      </c>
      <c r="J43" s="437">
        <f>SUM(J44:J52)</f>
        <v>0.15386165153480333</v>
      </c>
    </row>
    <row r="44" spans="2:10" x14ac:dyDescent="0.2">
      <c r="B44" s="260" t="s">
        <v>248</v>
      </c>
      <c r="C44" s="439">
        <f>'C. Capacidade'!C54/'C. Capacidade'!C$66</f>
        <v>0</v>
      </c>
      <c r="D44" s="439">
        <f>'C. Capacidade'!D54/'C. Capacidade'!D$66</f>
        <v>0</v>
      </c>
      <c r="E44" s="439">
        <f>'C. Capacidade'!E54/'C. Capacidade'!E$66</f>
        <v>0</v>
      </c>
      <c r="F44" s="439">
        <f>'C. Capacidade'!F54/'C. Capacidade'!F$66</f>
        <v>0</v>
      </c>
      <c r="G44" s="439">
        <f>'C. Capacidade'!G54/'C. Capacidade'!G$66</f>
        <v>0</v>
      </c>
      <c r="H44" s="437">
        <f>'C. Capacidade'!H54/'C. Capacidade'!H$66</f>
        <v>0</v>
      </c>
      <c r="I44" s="437">
        <f t="shared" si="4"/>
        <v>0</v>
      </c>
      <c r="J44" s="437">
        <f>'C. Capacidade'!J54/'C. Capacidade'!J$66</f>
        <v>0</v>
      </c>
    </row>
    <row r="45" spans="2:10" x14ac:dyDescent="0.2">
      <c r="B45" s="259" t="s">
        <v>249</v>
      </c>
      <c r="C45" s="439">
        <f>'C. Capacidade'!C55/'C. Capacidade'!C$66</f>
        <v>0</v>
      </c>
      <c r="D45" s="439">
        <f>'C. Capacidade'!D55/'C. Capacidade'!D$66</f>
        <v>0</v>
      </c>
      <c r="E45" s="439">
        <f>'C. Capacidade'!E55/'C. Capacidade'!E$66</f>
        <v>0</v>
      </c>
      <c r="F45" s="439">
        <f>'C. Capacidade'!F55/'C. Capacidade'!F$66</f>
        <v>0</v>
      </c>
      <c r="G45" s="439">
        <f>'C. Capacidade'!G55/'C. Capacidade'!G$66</f>
        <v>0</v>
      </c>
      <c r="H45" s="437">
        <f>'C. Capacidade'!H55/'C. Capacidade'!H$66</f>
        <v>0</v>
      </c>
      <c r="I45" s="437">
        <f t="shared" si="4"/>
        <v>0</v>
      </c>
      <c r="J45" s="437">
        <f>'C. Capacidade'!J55/'C. Capacidade'!J$66</f>
        <v>0</v>
      </c>
    </row>
    <row r="46" spans="2:10" x14ac:dyDescent="0.2">
      <c r="B46" s="259" t="s">
        <v>250</v>
      </c>
      <c r="C46" s="439">
        <f>'C. Capacidade'!C56/'C. Capacidade'!C$66</f>
        <v>0</v>
      </c>
      <c r="D46" s="439">
        <f>'C. Capacidade'!D56/'C. Capacidade'!D$66</f>
        <v>0</v>
      </c>
      <c r="E46" s="439">
        <f>'C. Capacidade'!E56/'C. Capacidade'!E$66</f>
        <v>0.19541720709035884</v>
      </c>
      <c r="F46" s="439">
        <f>'C. Capacidade'!F56/'C. Capacidade'!F$66</f>
        <v>0.19541720709035884</v>
      </c>
      <c r="G46" s="439">
        <f>'C. Capacidade'!G56/'C. Capacidade'!G$66</f>
        <v>0.19541720709035884</v>
      </c>
      <c r="H46" s="437">
        <f>'C. Capacidade'!H56/'C. Capacidade'!H$66</f>
        <v>0.1172503242542153</v>
      </c>
      <c r="I46" s="437">
        <f t="shared" si="4"/>
        <v>0.76205034252926507</v>
      </c>
      <c r="J46" s="437">
        <f>'C. Capacidade'!J56/'C. Capacidade'!J$66</f>
        <v>0.11725032425421532</v>
      </c>
    </row>
    <row r="47" spans="2:10" x14ac:dyDescent="0.2">
      <c r="B47" s="259" t="s">
        <v>251</v>
      </c>
      <c r="C47" s="439">
        <f>'C. Capacidade'!C57/'C. Capacidade'!C$66</f>
        <v>0</v>
      </c>
      <c r="D47" s="439">
        <f>'C. Capacidade'!D57/'C. Capacidade'!D$66</f>
        <v>0</v>
      </c>
      <c r="E47" s="439">
        <f>'C. Capacidade'!E57/'C. Capacidade'!E$66</f>
        <v>1.8734687995388387E-4</v>
      </c>
      <c r="F47" s="439">
        <f>'C. Capacidade'!F57/'C. Capacidade'!F$66</f>
        <v>1.8734687995388387E-4</v>
      </c>
      <c r="G47" s="439">
        <f>'C. Capacidade'!G57/'C. Capacidade'!G$66</f>
        <v>1.8734687995388387E-4</v>
      </c>
      <c r="H47" s="437">
        <f>'C. Capacidade'!H57/'C. Capacidade'!H$66</f>
        <v>1.1240812797233032E-4</v>
      </c>
      <c r="I47" s="437">
        <f t="shared" si="4"/>
        <v>7.3057923693808609E-4</v>
      </c>
      <c r="J47" s="437">
        <f>'C. Capacidade'!J57/'C. Capacidade'!J$66</f>
        <v>1.1240812797233032E-4</v>
      </c>
    </row>
    <row r="48" spans="2:10" x14ac:dyDescent="0.2">
      <c r="B48" s="259" t="s">
        <v>252</v>
      </c>
      <c r="C48" s="439">
        <f>'C. Capacidade'!C58/'C. Capacidade'!C$66</f>
        <v>0</v>
      </c>
      <c r="D48" s="439">
        <f>'C. Capacidade'!D58/'C. Capacidade'!D$66</f>
        <v>0</v>
      </c>
      <c r="E48" s="439">
        <f>'C. Capacidade'!E58/'C. Capacidade'!E$66</f>
        <v>2.472978815391267E-2</v>
      </c>
      <c r="F48" s="439">
        <f>'C. Capacidade'!F58/'C. Capacidade'!F$66</f>
        <v>2.472978815391267E-2</v>
      </c>
      <c r="G48" s="439">
        <f>'C. Capacidade'!G58/'C. Capacidade'!G$66</f>
        <v>2.472978815391267E-2</v>
      </c>
      <c r="H48" s="437">
        <f>'C. Capacidade'!H58/'C. Capacidade'!H$66</f>
        <v>1.4837872892347601E-2</v>
      </c>
      <c r="I48" s="437">
        <f t="shared" si="4"/>
        <v>9.6436459275827349E-2</v>
      </c>
      <c r="J48" s="437">
        <f>'C. Capacidade'!J58/'C. Capacidade'!J$66</f>
        <v>1.4837872892347601E-2</v>
      </c>
    </row>
    <row r="49" spans="1:11" x14ac:dyDescent="0.2">
      <c r="B49" s="259" t="s">
        <v>253</v>
      </c>
      <c r="C49" s="439">
        <f>'C. Capacidade'!C59/'C. Capacidade'!C$66</f>
        <v>0</v>
      </c>
      <c r="D49" s="439">
        <f>'C. Capacidade'!D59/'C. Capacidade'!D$66</f>
        <v>0</v>
      </c>
      <c r="E49" s="439">
        <f>'C. Capacidade'!E59/'C. Capacidade'!E$66</f>
        <v>1.8734687995388387E-4</v>
      </c>
      <c r="F49" s="439">
        <f>'C. Capacidade'!F59/'C. Capacidade'!F$66</f>
        <v>1.8734687995388387E-4</v>
      </c>
      <c r="G49" s="439">
        <f>'C. Capacidade'!G59/'C. Capacidade'!G$66</f>
        <v>1.8734687995388387E-4</v>
      </c>
      <c r="H49" s="437">
        <f>'C. Capacidade'!H59/'C. Capacidade'!H$66</f>
        <v>1.1240812797233032E-4</v>
      </c>
      <c r="I49" s="437">
        <f t="shared" si="4"/>
        <v>7.3057923693808609E-4</v>
      </c>
      <c r="J49" s="437">
        <f>'C. Capacidade'!J59/'C. Capacidade'!J$66</f>
        <v>1.1240812797233032E-4</v>
      </c>
    </row>
    <row r="50" spans="1:11" x14ac:dyDescent="0.2">
      <c r="B50" s="259" t="s">
        <v>254</v>
      </c>
      <c r="C50" s="439">
        <f>'C. Capacidade'!C60/'C. Capacidade'!C$66</f>
        <v>0</v>
      </c>
      <c r="D50" s="439">
        <f>'C. Capacidade'!D60/'C. Capacidade'!D$66</f>
        <v>0</v>
      </c>
      <c r="E50" s="439">
        <f>'C. Capacidade'!E60/'C. Capacidade'!E$66</f>
        <v>2.3062400922323104E-2</v>
      </c>
      <c r="F50" s="439">
        <f>'C. Capacidade'!F60/'C. Capacidade'!F$66</f>
        <v>2.3062400922323104E-2</v>
      </c>
      <c r="G50" s="439">
        <f>'C. Capacidade'!G60/'C. Capacidade'!G$66</f>
        <v>2.3062400922323104E-2</v>
      </c>
      <c r="H50" s="437">
        <f>'C. Capacidade'!H60/'C. Capacidade'!H$66</f>
        <v>1.3837440553393861E-2</v>
      </c>
      <c r="I50" s="437">
        <f t="shared" si="4"/>
        <v>8.9934304067078391E-2</v>
      </c>
      <c r="J50" s="437">
        <f>'C. Capacidade'!J60/'C. Capacidade'!J$66</f>
        <v>1.383744055339386E-2</v>
      </c>
    </row>
    <row r="51" spans="1:11" x14ac:dyDescent="0.2">
      <c r="B51" s="259" t="s">
        <v>255</v>
      </c>
      <c r="C51" s="439">
        <f>'C. Capacidade'!C61/'C. Capacidade'!C$66</f>
        <v>0</v>
      </c>
      <c r="D51" s="439">
        <f>'C. Capacidade'!D61/'C. Capacidade'!D$66</f>
        <v>0</v>
      </c>
      <c r="E51" s="439">
        <f>'C. Capacidade'!E61/'C. Capacidade'!E$66</f>
        <v>1.2664649084882547E-2</v>
      </c>
      <c r="F51" s="439">
        <f>'C. Capacidade'!F61/'C. Capacidade'!F$66</f>
        <v>1.2664649084882547E-2</v>
      </c>
      <c r="G51" s="439">
        <f>'C. Capacidade'!G61/'C. Capacidade'!G$66</f>
        <v>1.2664649084882547E-2</v>
      </c>
      <c r="H51" s="437">
        <f>'C. Capacidade'!H61/'C. Capacidade'!H$66</f>
        <v>7.598789450929528E-3</v>
      </c>
      <c r="I51" s="437">
        <f t="shared" si="4"/>
        <v>4.9387156417014612E-2</v>
      </c>
      <c r="J51" s="437">
        <f>'C. Capacidade'!J61/'C. Capacidade'!J$66</f>
        <v>7.5987894509295289E-3</v>
      </c>
    </row>
    <row r="52" spans="1:11" x14ac:dyDescent="0.2">
      <c r="B52" s="259" t="s">
        <v>256</v>
      </c>
      <c r="C52" s="439">
        <f>'C. Capacidade'!C62/'C. Capacidade'!C$66</f>
        <v>0</v>
      </c>
      <c r="D52" s="439">
        <f>'C. Capacidade'!D62/'C. Capacidade'!D$66</f>
        <v>0</v>
      </c>
      <c r="E52" s="439">
        <f>'C. Capacidade'!E62/'C. Capacidade'!E$66</f>
        <v>1.8734687995388387E-4</v>
      </c>
      <c r="F52" s="439">
        <f>'C. Capacidade'!F62/'C. Capacidade'!F$66</f>
        <v>1.8734687995388387E-4</v>
      </c>
      <c r="G52" s="439">
        <f>'C. Capacidade'!G62/'C. Capacidade'!G$66</f>
        <v>1.8734687995388387E-4</v>
      </c>
      <c r="H52" s="437">
        <f>'C. Capacidade'!H62/'C. Capacidade'!H$66</f>
        <v>1.1240812797233032E-4</v>
      </c>
      <c r="I52" s="437">
        <f t="shared" si="4"/>
        <v>7.3057923693808609E-4</v>
      </c>
      <c r="J52" s="437">
        <f>'C. Capacidade'!J62/'C. Capacidade'!J$66</f>
        <v>1.1240812797233032E-4</v>
      </c>
    </row>
    <row r="53" spans="1:11" x14ac:dyDescent="0.2">
      <c r="A53" s="124"/>
      <c r="B53" s="98"/>
      <c r="C53" s="99"/>
      <c r="D53" s="99"/>
      <c r="E53" s="99"/>
      <c r="F53" s="99"/>
      <c r="G53" s="99"/>
      <c r="H53" s="240"/>
      <c r="I53" s="240"/>
      <c r="J53" s="240"/>
      <c r="K53" s="124"/>
    </row>
    <row r="54" spans="1:11" ht="14.25" x14ac:dyDescent="0.2">
      <c r="B54" s="94" t="s">
        <v>286</v>
      </c>
    </row>
    <row r="55" spans="1:11" x14ac:dyDescent="0.2">
      <c r="B55" s="433"/>
      <c r="C55" s="261">
        <v>2020</v>
      </c>
      <c r="D55" s="261">
        <v>2021</v>
      </c>
      <c r="E55" s="261">
        <v>2022</v>
      </c>
      <c r="F55" s="261">
        <v>2023</v>
      </c>
      <c r="G55" s="262">
        <v>2024</v>
      </c>
      <c r="H55" s="203" t="s">
        <v>41</v>
      </c>
      <c r="I55" s="203" t="s">
        <v>3</v>
      </c>
      <c r="J55" s="203" t="s">
        <v>238</v>
      </c>
    </row>
    <row r="56" spans="1:11" x14ac:dyDescent="0.2">
      <c r="B56" s="258" t="s">
        <v>1</v>
      </c>
      <c r="C56" s="438">
        <f t="shared" ref="C56:H56" si="5">SUM(C57:C65)</f>
        <v>0.99999999999999967</v>
      </c>
      <c r="D56" s="438">
        <f t="shared" si="5"/>
        <v>0.99999999999999967</v>
      </c>
      <c r="E56" s="438">
        <f t="shared" si="5"/>
        <v>0.99999999999999967</v>
      </c>
      <c r="F56" s="438">
        <f t="shared" si="5"/>
        <v>0.99999999999999967</v>
      </c>
      <c r="G56" s="438">
        <f t="shared" si="5"/>
        <v>0.99999999999999967</v>
      </c>
      <c r="H56" s="437">
        <f t="shared" si="5"/>
        <v>0.99999999999999967</v>
      </c>
      <c r="I56" s="437">
        <f t="shared" ref="I56:I65" si="6">+H56/$H$56</f>
        <v>1</v>
      </c>
      <c r="J56" s="437">
        <f>SUM(J57:J65)</f>
        <v>0.99999999999999967</v>
      </c>
    </row>
    <row r="57" spans="1:11" x14ac:dyDescent="0.2">
      <c r="B57" s="260" t="s">
        <v>248</v>
      </c>
      <c r="C57" s="439">
        <f>('C. Capacidade'!C41+'C. Capacidade'!C54)/'C. Capacidade'!C$66</f>
        <v>0.18062160734015467</v>
      </c>
      <c r="D57" s="439">
        <f>('C. Capacidade'!D41+'C. Capacidade'!D54)/'C. Capacidade'!D$66</f>
        <v>0.18062160734015467</v>
      </c>
      <c r="E57" s="439">
        <f>('C. Capacidade'!E41+'C. Capacidade'!E54)/'C. Capacidade'!E$66</f>
        <v>0.18062160734015467</v>
      </c>
      <c r="F57" s="439">
        <f>('C. Capacidade'!F41+'C. Capacidade'!F54)/'C. Capacidade'!F$66</f>
        <v>0.18062160734015467</v>
      </c>
      <c r="G57" s="439">
        <f>('C. Capacidade'!G41+'C. Capacidade'!G54)/'C. Capacidade'!G$66</f>
        <v>0.18062160734015467</v>
      </c>
      <c r="H57" s="437">
        <f>('C. Capacidade'!H41+'C. Capacidade'!H54)/'C. Capacidade'!H$66</f>
        <v>0.18062160734015467</v>
      </c>
      <c r="I57" s="437">
        <f t="shared" si="6"/>
        <v>0.18062160734015473</v>
      </c>
      <c r="J57" s="437">
        <f>('C. Capacidade'!J41+'C. Capacidade'!J54)/'C. Capacidade'!J$66</f>
        <v>0.18062160734015467</v>
      </c>
    </row>
    <row r="58" spans="1:11" x14ac:dyDescent="0.2">
      <c r="B58" s="259" t="s">
        <v>249</v>
      </c>
      <c r="C58" s="439">
        <f>('C. Capacidade'!C42+'C. Capacidade'!C55)/'C. Capacidade'!C$66</f>
        <v>0.12009415381659221</v>
      </c>
      <c r="D58" s="439">
        <f>('C. Capacidade'!D42+'C. Capacidade'!D55)/'C. Capacidade'!D$66</f>
        <v>0.12009415381659221</v>
      </c>
      <c r="E58" s="439">
        <f>('C. Capacidade'!E42+'C. Capacidade'!E55)/'C. Capacidade'!E$66</f>
        <v>0.12009415381659221</v>
      </c>
      <c r="F58" s="439">
        <f>('C. Capacidade'!F42+'C. Capacidade'!F55)/'C. Capacidade'!F$66</f>
        <v>0.12009415381659221</v>
      </c>
      <c r="G58" s="439">
        <f>('C. Capacidade'!G42+'C. Capacidade'!G55)/'C. Capacidade'!G$66</f>
        <v>0.12009415381659221</v>
      </c>
      <c r="H58" s="437">
        <f>('C. Capacidade'!H42+'C. Capacidade'!H55)/'C. Capacidade'!H$66</f>
        <v>0.12009415381659221</v>
      </c>
      <c r="I58" s="437">
        <f t="shared" si="6"/>
        <v>0.12009415381659225</v>
      </c>
      <c r="J58" s="437">
        <f>('C. Capacidade'!J42+'C. Capacidade'!J55)/'C. Capacidade'!J$66</f>
        <v>0.12009415381659221</v>
      </c>
    </row>
    <row r="59" spans="1:11" x14ac:dyDescent="0.2">
      <c r="B59" s="259" t="s">
        <v>250</v>
      </c>
      <c r="C59" s="439">
        <f>('C. Capacidade'!C43+'C. Capacidade'!C56)/'C. Capacidade'!C$66</f>
        <v>0.54282557525099673</v>
      </c>
      <c r="D59" s="439">
        <f>('C. Capacidade'!D43+'C. Capacidade'!D56)/'C. Capacidade'!D$66</f>
        <v>0.54282557525099673</v>
      </c>
      <c r="E59" s="439">
        <f>('C. Capacidade'!E43+'C. Capacidade'!E56)/'C. Capacidade'!E$66</f>
        <v>0.54282557525099673</v>
      </c>
      <c r="F59" s="439">
        <f>('C. Capacidade'!F43+'C. Capacidade'!F56)/'C. Capacidade'!F$66</f>
        <v>0.54282557525099673</v>
      </c>
      <c r="G59" s="439">
        <f>('C. Capacidade'!G43+'C. Capacidade'!G56)/'C. Capacidade'!G$66</f>
        <v>0.54282557525099673</v>
      </c>
      <c r="H59" s="437">
        <f>('C. Capacidade'!H43+'C. Capacidade'!H56)/'C. Capacidade'!H$66</f>
        <v>0.54282557525099673</v>
      </c>
      <c r="I59" s="437">
        <f t="shared" si="6"/>
        <v>0.54282557525099695</v>
      </c>
      <c r="J59" s="437">
        <f>('C. Capacidade'!J43+'C. Capacidade'!J56)/'C. Capacidade'!J$66</f>
        <v>0.54282557525099673</v>
      </c>
    </row>
    <row r="60" spans="1:11" x14ac:dyDescent="0.2">
      <c r="B60" s="259" t="s">
        <v>251</v>
      </c>
      <c r="C60" s="439">
        <f>('C. Capacidade'!C44+'C. Capacidade'!C57)/'C. Capacidade'!C$66</f>
        <v>4.8037661526636886E-4</v>
      </c>
      <c r="D60" s="439">
        <f>('C. Capacidade'!D44+'C. Capacidade'!D57)/'C. Capacidade'!D$66</f>
        <v>4.8037661526636886E-4</v>
      </c>
      <c r="E60" s="439">
        <f>('C. Capacidade'!E44+'C. Capacidade'!E57)/'C. Capacidade'!E$66</f>
        <v>4.8037661526636886E-4</v>
      </c>
      <c r="F60" s="439">
        <f>('C. Capacidade'!F44+'C. Capacidade'!F57)/'C. Capacidade'!F$66</f>
        <v>4.8037661526636886E-4</v>
      </c>
      <c r="G60" s="439">
        <f>('C. Capacidade'!G44+'C. Capacidade'!G57)/'C. Capacidade'!G$66</f>
        <v>4.8037661526636886E-4</v>
      </c>
      <c r="H60" s="437">
        <f>('C. Capacidade'!H44+'C. Capacidade'!H57)/'C. Capacidade'!H$66</f>
        <v>4.8037661526636891E-4</v>
      </c>
      <c r="I60" s="437">
        <f t="shared" si="6"/>
        <v>4.8037661526636907E-4</v>
      </c>
      <c r="J60" s="437">
        <f>('C. Capacidade'!J44+'C. Capacidade'!J57)/'C. Capacidade'!J$66</f>
        <v>4.8037661526636891E-4</v>
      </c>
    </row>
    <row r="61" spans="1:11" x14ac:dyDescent="0.2">
      <c r="B61" s="259" t="s">
        <v>252</v>
      </c>
      <c r="C61" s="439">
        <f>('C. Capacidade'!C45+'C. Capacidade'!C58)/'C. Capacidade'!C$66</f>
        <v>6.3409713215160687E-2</v>
      </c>
      <c r="D61" s="439">
        <f>('C. Capacidade'!D45+'C. Capacidade'!D58)/'C. Capacidade'!D$66</f>
        <v>6.3409713215160687E-2</v>
      </c>
      <c r="E61" s="439">
        <f>('C. Capacidade'!E45+'C. Capacidade'!E58)/'C. Capacidade'!E$66</f>
        <v>6.3409713215160687E-2</v>
      </c>
      <c r="F61" s="439">
        <f>('C. Capacidade'!F45+'C. Capacidade'!F58)/'C. Capacidade'!F$66</f>
        <v>6.3409713215160687E-2</v>
      </c>
      <c r="G61" s="439">
        <f>('C. Capacidade'!G45+'C. Capacidade'!G58)/'C. Capacidade'!G$66</f>
        <v>6.3409713215160687E-2</v>
      </c>
      <c r="H61" s="437">
        <f>('C. Capacidade'!H45+'C. Capacidade'!H58)/'C. Capacidade'!H$66</f>
        <v>6.3409713215160687E-2</v>
      </c>
      <c r="I61" s="437">
        <f t="shared" si="6"/>
        <v>6.3409713215160715E-2</v>
      </c>
      <c r="J61" s="437">
        <f>('C. Capacidade'!J45+'C. Capacidade'!J58)/'C. Capacidade'!J$66</f>
        <v>6.3409713215160687E-2</v>
      </c>
    </row>
    <row r="62" spans="1:11" x14ac:dyDescent="0.2">
      <c r="B62" s="259" t="s">
        <v>253</v>
      </c>
      <c r="C62" s="439">
        <f>('C. Capacidade'!C46+'C. Capacidade'!C59)/'C. Capacidade'!C$66</f>
        <v>4.8037661526636886E-4</v>
      </c>
      <c r="D62" s="439">
        <f>('C. Capacidade'!D46+'C. Capacidade'!D59)/'C. Capacidade'!D$66</f>
        <v>4.8037661526636886E-4</v>
      </c>
      <c r="E62" s="439">
        <f>('C. Capacidade'!E46+'C. Capacidade'!E59)/'C. Capacidade'!E$66</f>
        <v>4.8037661526636886E-4</v>
      </c>
      <c r="F62" s="439">
        <f>('C. Capacidade'!F46+'C. Capacidade'!F59)/'C. Capacidade'!F$66</f>
        <v>4.8037661526636886E-4</v>
      </c>
      <c r="G62" s="439">
        <f>('C. Capacidade'!G46+'C. Capacidade'!G59)/'C. Capacidade'!G$66</f>
        <v>4.8037661526636886E-4</v>
      </c>
      <c r="H62" s="437">
        <f>('C. Capacidade'!H46+'C. Capacidade'!H59)/'C. Capacidade'!H$66</f>
        <v>4.8037661526636891E-4</v>
      </c>
      <c r="I62" s="437">
        <f t="shared" si="6"/>
        <v>4.8037661526636907E-4</v>
      </c>
      <c r="J62" s="437">
        <f>('C. Capacidade'!J46+'C. Capacidade'!J59)/'C. Capacidade'!J$66</f>
        <v>4.8037661526636891E-4</v>
      </c>
    </row>
    <row r="63" spans="1:11" x14ac:dyDescent="0.2">
      <c r="B63" s="259" t="s">
        <v>254</v>
      </c>
      <c r="C63" s="439">
        <f>('C. Capacidade'!C47+'C. Capacidade'!C60)/'C. Capacidade'!C$66</f>
        <v>5.9134361339290002E-2</v>
      </c>
      <c r="D63" s="439">
        <f>('C. Capacidade'!D47+'C. Capacidade'!D60)/'C. Capacidade'!D$66</f>
        <v>5.9134361339290002E-2</v>
      </c>
      <c r="E63" s="439">
        <f>('C. Capacidade'!E47+'C. Capacidade'!E60)/'C. Capacidade'!E$66</f>
        <v>5.9134361339290002E-2</v>
      </c>
      <c r="F63" s="439">
        <f>('C. Capacidade'!F47+'C. Capacidade'!F60)/'C. Capacidade'!F$66</f>
        <v>5.9134361339290002E-2</v>
      </c>
      <c r="G63" s="439">
        <f>('C. Capacidade'!G47+'C. Capacidade'!G60)/'C. Capacidade'!G$66</f>
        <v>5.9134361339290002E-2</v>
      </c>
      <c r="H63" s="437">
        <f>('C. Capacidade'!H47+'C. Capacidade'!H60)/'C. Capacidade'!H$66</f>
        <v>5.9134361339290002E-2</v>
      </c>
      <c r="I63" s="437">
        <f t="shared" si="6"/>
        <v>5.9134361339290023E-2</v>
      </c>
      <c r="J63" s="437">
        <f>('C. Capacidade'!J47+'C. Capacidade'!J60)/'C. Capacidade'!J$66</f>
        <v>5.9134361339290002E-2</v>
      </c>
    </row>
    <row r="64" spans="1:11" x14ac:dyDescent="0.2">
      <c r="B64" s="259" t="s">
        <v>255</v>
      </c>
      <c r="C64" s="439">
        <f>('C. Capacidade'!C48+'C. Capacidade'!C61)/'C. Capacidade'!C$66</f>
        <v>3.2473459192006532E-2</v>
      </c>
      <c r="D64" s="439">
        <f>('C. Capacidade'!D48+'C. Capacidade'!D61)/'C. Capacidade'!D$66</f>
        <v>3.2473459192006532E-2</v>
      </c>
      <c r="E64" s="439">
        <f>('C. Capacidade'!E48+'C. Capacidade'!E61)/'C. Capacidade'!E$66</f>
        <v>3.2473459192006532E-2</v>
      </c>
      <c r="F64" s="439">
        <f>('C. Capacidade'!F48+'C. Capacidade'!F61)/'C. Capacidade'!F$66</f>
        <v>3.2473459192006532E-2</v>
      </c>
      <c r="G64" s="439">
        <f>('C. Capacidade'!G48+'C. Capacidade'!G61)/'C. Capacidade'!G$66</f>
        <v>3.2473459192006532E-2</v>
      </c>
      <c r="H64" s="437">
        <f>('C. Capacidade'!H48+'C. Capacidade'!H61)/'C. Capacidade'!H$66</f>
        <v>3.2473459192006539E-2</v>
      </c>
      <c r="I64" s="437">
        <f t="shared" si="6"/>
        <v>3.2473459192006553E-2</v>
      </c>
      <c r="J64" s="437">
        <f>('C. Capacidade'!J48+'C. Capacidade'!J61)/'C. Capacidade'!J$66</f>
        <v>3.2473459192006532E-2</v>
      </c>
    </row>
    <row r="65" spans="1:11" x14ac:dyDescent="0.2">
      <c r="B65" s="259" t="s">
        <v>256</v>
      </c>
      <c r="C65" s="439">
        <f>('C. Capacidade'!C49+'C. Capacidade'!C62)/'C. Capacidade'!C$66</f>
        <v>4.8037661526636886E-4</v>
      </c>
      <c r="D65" s="439">
        <f>('C. Capacidade'!D49+'C. Capacidade'!D62)/'C. Capacidade'!D$66</f>
        <v>4.8037661526636886E-4</v>
      </c>
      <c r="E65" s="439">
        <f>('C. Capacidade'!E49+'C. Capacidade'!E62)/'C. Capacidade'!E$66</f>
        <v>4.8037661526636886E-4</v>
      </c>
      <c r="F65" s="439">
        <f>('C. Capacidade'!F49+'C. Capacidade'!F62)/'C. Capacidade'!F$66</f>
        <v>4.8037661526636886E-4</v>
      </c>
      <c r="G65" s="439">
        <f>('C. Capacidade'!G49+'C. Capacidade'!G62)/'C. Capacidade'!G$66</f>
        <v>4.8037661526636886E-4</v>
      </c>
      <c r="H65" s="437">
        <f>('C. Capacidade'!H49+'C. Capacidade'!H62)/'C. Capacidade'!H$66</f>
        <v>4.8037661526636891E-4</v>
      </c>
      <c r="I65" s="437">
        <f t="shared" si="6"/>
        <v>4.8037661526636907E-4</v>
      </c>
      <c r="J65" s="437">
        <f>('C. Capacidade'!J49+'C. Capacidade'!J62)/'C. Capacidade'!J$66</f>
        <v>4.8037661526636891E-4</v>
      </c>
    </row>
    <row r="66" spans="1:11" x14ac:dyDescent="0.2">
      <c r="A66" s="124"/>
      <c r="B66" s="98"/>
      <c r="C66" s="99"/>
      <c r="D66" s="99"/>
      <c r="E66" s="99"/>
      <c r="F66" s="99"/>
      <c r="G66" s="99"/>
      <c r="H66" s="240"/>
      <c r="I66" s="240"/>
      <c r="J66" s="240"/>
      <c r="K66" s="124"/>
    </row>
    <row r="67" spans="1:11" ht="14.25" x14ac:dyDescent="0.2">
      <c r="B67" s="94" t="s">
        <v>267</v>
      </c>
    </row>
    <row r="68" spans="1:11" x14ac:dyDescent="0.2">
      <c r="B68" s="433"/>
      <c r="C68" s="261">
        <v>2020</v>
      </c>
      <c r="D68" s="261">
        <v>2021</v>
      </c>
      <c r="E68" s="261">
        <v>2022</v>
      </c>
      <c r="F68" s="261">
        <v>2023</v>
      </c>
      <c r="G68" s="262">
        <v>2024</v>
      </c>
      <c r="H68" s="203" t="s">
        <v>41</v>
      </c>
      <c r="I68" s="203" t="s">
        <v>3</v>
      </c>
      <c r="J68" s="203" t="s">
        <v>238</v>
      </c>
    </row>
    <row r="69" spans="1:11" x14ac:dyDescent="0.2">
      <c r="B69" s="258"/>
      <c r="C69" s="434">
        <f t="shared" ref="C69:H69" si="7">SUM(C70:C71)</f>
        <v>1169.8489322600344</v>
      </c>
      <c r="D69" s="434">
        <f t="shared" si="7"/>
        <v>1169.8489322600344</v>
      </c>
      <c r="E69" s="434">
        <f t="shared" si="7"/>
        <v>849.83215693217778</v>
      </c>
      <c r="F69" s="434">
        <f t="shared" si="7"/>
        <v>849.83215693217778</v>
      </c>
      <c r="G69" s="434">
        <f t="shared" si="7"/>
        <v>849.83215693217778</v>
      </c>
      <c r="H69" s="436">
        <f t="shared" si="7"/>
        <v>977.83886706332066</v>
      </c>
      <c r="I69" s="437">
        <f>H69/H69</f>
        <v>1</v>
      </c>
      <c r="J69" s="279">
        <f>SUM(J70:J71)</f>
        <v>977.83886706332066</v>
      </c>
    </row>
    <row r="70" spans="1:11" x14ac:dyDescent="0.2">
      <c r="B70" s="259" t="s">
        <v>260</v>
      </c>
      <c r="C70" s="435">
        <f t="shared" ref="C70:H70" si="8">C75</f>
        <v>1169.8489322600344</v>
      </c>
      <c r="D70" s="435">
        <f t="shared" si="8"/>
        <v>1169.8489322600344</v>
      </c>
      <c r="E70" s="435">
        <f t="shared" si="8"/>
        <v>812.93964206177657</v>
      </c>
      <c r="F70" s="435">
        <f t="shared" si="8"/>
        <v>812.93964206177657</v>
      </c>
      <c r="G70" s="435">
        <f t="shared" si="8"/>
        <v>812.93964206177657</v>
      </c>
      <c r="H70" s="436">
        <f t="shared" si="8"/>
        <v>955.70335814107989</v>
      </c>
      <c r="I70" s="437">
        <f>H70/H69</f>
        <v>0.97736282564762544</v>
      </c>
      <c r="J70" s="279">
        <f>J75</f>
        <v>955.70335814107989</v>
      </c>
    </row>
    <row r="71" spans="1:11" x14ac:dyDescent="0.2">
      <c r="B71" s="259" t="s">
        <v>185</v>
      </c>
      <c r="C71" s="435">
        <f t="shared" ref="C71:H71" si="9">C88</f>
        <v>0</v>
      </c>
      <c r="D71" s="435">
        <f t="shared" si="9"/>
        <v>0</v>
      </c>
      <c r="E71" s="435">
        <f t="shared" si="9"/>
        <v>36.892514870401257</v>
      </c>
      <c r="F71" s="435">
        <f t="shared" si="9"/>
        <v>36.892514870401257</v>
      </c>
      <c r="G71" s="435">
        <f t="shared" si="9"/>
        <v>36.892514870401257</v>
      </c>
      <c r="H71" s="436">
        <f t="shared" si="9"/>
        <v>22.135508922240749</v>
      </c>
      <c r="I71" s="437">
        <f>H71/H69</f>
        <v>2.2637174352374508E-2</v>
      </c>
      <c r="J71" s="279">
        <f>J88</f>
        <v>22.135508922240753</v>
      </c>
    </row>
    <row r="72" spans="1:11" x14ac:dyDescent="0.2">
      <c r="B72" s="132"/>
      <c r="C72" s="132"/>
      <c r="D72" s="132"/>
      <c r="E72" s="132"/>
      <c r="F72" s="132"/>
      <c r="G72" s="132"/>
      <c r="H72" s="132"/>
      <c r="I72" s="132"/>
      <c r="J72" s="132"/>
    </row>
    <row r="73" spans="1:11" ht="14.25" x14ac:dyDescent="0.2">
      <c r="B73" s="94" t="s">
        <v>287</v>
      </c>
    </row>
    <row r="74" spans="1:11" x14ac:dyDescent="0.2">
      <c r="B74" s="433"/>
      <c r="C74" s="261">
        <v>2020</v>
      </c>
      <c r="D74" s="261">
        <v>2021</v>
      </c>
      <c r="E74" s="261">
        <v>2022</v>
      </c>
      <c r="F74" s="261">
        <v>2023</v>
      </c>
      <c r="G74" s="262">
        <v>2024</v>
      </c>
      <c r="H74" s="203" t="s">
        <v>41</v>
      </c>
      <c r="I74" s="203" t="s">
        <v>3</v>
      </c>
      <c r="J74" s="203" t="s">
        <v>238</v>
      </c>
    </row>
    <row r="75" spans="1:11" x14ac:dyDescent="0.2">
      <c r="B75" s="258"/>
      <c r="C75" s="434">
        <f>SUM(C76:C84)</f>
        <v>1169.8489322600344</v>
      </c>
      <c r="D75" s="434">
        <f t="shared" ref="D75:H75" si="10">SUM(D76:D84)</f>
        <v>1169.8489322600344</v>
      </c>
      <c r="E75" s="434">
        <f t="shared" si="10"/>
        <v>812.93964206177657</v>
      </c>
      <c r="F75" s="434">
        <f t="shared" si="10"/>
        <v>812.93964206177657</v>
      </c>
      <c r="G75" s="434">
        <f t="shared" si="10"/>
        <v>812.93964206177657</v>
      </c>
      <c r="H75" s="436">
        <f t="shared" si="10"/>
        <v>955.70335814107989</v>
      </c>
      <c r="I75" s="437">
        <f t="shared" ref="I75:I84" si="11">+H75/$H$75</f>
        <v>1</v>
      </c>
      <c r="J75" s="279">
        <f>SUM(J76:J84)</f>
        <v>955.70335814107989</v>
      </c>
    </row>
    <row r="76" spans="1:11" x14ac:dyDescent="0.2">
      <c r="B76" s="260" t="s">
        <v>248</v>
      </c>
      <c r="C76" s="435">
        <f t="shared" ref="C76:H84" si="12">C31*$C11</f>
        <v>82.634385358120753</v>
      </c>
      <c r="D76" s="435">
        <f t="shared" si="12"/>
        <v>82.634385358120753</v>
      </c>
      <c r="E76" s="435">
        <f t="shared" si="12"/>
        <v>82.634385358120753</v>
      </c>
      <c r="F76" s="435">
        <f t="shared" si="12"/>
        <v>82.634385358120753</v>
      </c>
      <c r="G76" s="435">
        <f t="shared" si="12"/>
        <v>82.634385358120753</v>
      </c>
      <c r="H76" s="436">
        <f t="shared" si="12"/>
        <v>82.634385358120753</v>
      </c>
      <c r="I76" s="437">
        <f t="shared" si="11"/>
        <v>8.6464471066473286E-2</v>
      </c>
      <c r="J76" s="279">
        <f t="shared" ref="J76:J84" si="13">J31*$C11</f>
        <v>82.634385358120753</v>
      </c>
    </row>
    <row r="77" spans="1:11" x14ac:dyDescent="0.2">
      <c r="B77" s="259" t="s">
        <v>249</v>
      </c>
      <c r="C77" s="435">
        <f t="shared" si="12"/>
        <v>118.48146089391227</v>
      </c>
      <c r="D77" s="435">
        <f t="shared" si="12"/>
        <v>118.48146089391227</v>
      </c>
      <c r="E77" s="435">
        <f t="shared" si="12"/>
        <v>118.48146089391227</v>
      </c>
      <c r="F77" s="435">
        <f t="shared" si="12"/>
        <v>118.48146089391227</v>
      </c>
      <c r="G77" s="435">
        <f t="shared" si="12"/>
        <v>118.48146089391227</v>
      </c>
      <c r="H77" s="436">
        <f t="shared" si="12"/>
        <v>118.48146089391227</v>
      </c>
      <c r="I77" s="437">
        <f t="shared" si="11"/>
        <v>0.12397305072189792</v>
      </c>
      <c r="J77" s="279">
        <f t="shared" si="13"/>
        <v>118.48146089391227</v>
      </c>
    </row>
    <row r="78" spans="1:11" x14ac:dyDescent="0.2">
      <c r="B78" s="259" t="s">
        <v>250</v>
      </c>
      <c r="C78" s="435">
        <f t="shared" si="12"/>
        <v>696.55377816207897</v>
      </c>
      <c r="D78" s="435">
        <f t="shared" si="12"/>
        <v>696.55377816207897</v>
      </c>
      <c r="E78" s="435">
        <f t="shared" si="12"/>
        <v>445.7944180237306</v>
      </c>
      <c r="F78" s="435">
        <f t="shared" si="12"/>
        <v>445.7944180237306</v>
      </c>
      <c r="G78" s="435">
        <f t="shared" si="12"/>
        <v>445.7944180237306</v>
      </c>
      <c r="H78" s="436">
        <f t="shared" si="12"/>
        <v>546.09816207906999</v>
      </c>
      <c r="I78" s="437">
        <f t="shared" si="11"/>
        <v>0.57140969258628005</v>
      </c>
      <c r="J78" s="279">
        <f t="shared" si="13"/>
        <v>546.09816207906999</v>
      </c>
    </row>
    <row r="79" spans="1:11" x14ac:dyDescent="0.2">
      <c r="B79" s="259" t="s">
        <v>251</v>
      </c>
      <c r="C79" s="435">
        <f t="shared" si="12"/>
        <v>0.61898928760147964</v>
      </c>
      <c r="D79" s="435">
        <f t="shared" si="12"/>
        <v>0.61898928760147964</v>
      </c>
      <c r="E79" s="435">
        <f t="shared" si="12"/>
        <v>0.37758346543690258</v>
      </c>
      <c r="F79" s="435">
        <f t="shared" si="12"/>
        <v>0.37758346543690258</v>
      </c>
      <c r="G79" s="435">
        <f t="shared" si="12"/>
        <v>0.37758346543690258</v>
      </c>
      <c r="H79" s="436">
        <f t="shared" si="12"/>
        <v>0.47414579430273346</v>
      </c>
      <c r="I79" s="437">
        <f t="shared" si="11"/>
        <v>4.9612234828282412E-4</v>
      </c>
      <c r="J79" s="279">
        <f t="shared" si="13"/>
        <v>0.47414579430273351</v>
      </c>
    </row>
    <row r="80" spans="1:11" x14ac:dyDescent="0.2">
      <c r="B80" s="259" t="s">
        <v>252</v>
      </c>
      <c r="C80" s="435">
        <f t="shared" si="12"/>
        <v>86.107220060527467</v>
      </c>
      <c r="D80" s="435">
        <f t="shared" si="12"/>
        <v>86.107220060527467</v>
      </c>
      <c r="E80" s="435">
        <f t="shared" si="12"/>
        <v>52.525404236921759</v>
      </c>
      <c r="F80" s="435">
        <f t="shared" si="12"/>
        <v>52.525404236921759</v>
      </c>
      <c r="G80" s="435">
        <f t="shared" si="12"/>
        <v>52.525404236921759</v>
      </c>
      <c r="H80" s="436">
        <f t="shared" si="12"/>
        <v>65.958130566364034</v>
      </c>
      <c r="I80" s="437">
        <f t="shared" si="11"/>
        <v>6.9015275508352208E-2</v>
      </c>
      <c r="J80" s="279">
        <f t="shared" si="13"/>
        <v>65.958130566364034</v>
      </c>
    </row>
    <row r="81" spans="2:10" x14ac:dyDescent="0.2">
      <c r="B81" s="259" t="s">
        <v>253</v>
      </c>
      <c r="C81" s="435">
        <f t="shared" si="12"/>
        <v>0.83443819954844611</v>
      </c>
      <c r="D81" s="435">
        <f t="shared" si="12"/>
        <v>0.83443819954844611</v>
      </c>
      <c r="E81" s="435">
        <f t="shared" si="12"/>
        <v>0.50900730172455211</v>
      </c>
      <c r="F81" s="435">
        <f t="shared" si="12"/>
        <v>0.50900730172455211</v>
      </c>
      <c r="G81" s="435">
        <f t="shared" si="12"/>
        <v>0.50900730172455211</v>
      </c>
      <c r="H81" s="436">
        <f t="shared" si="12"/>
        <v>0.63917966085410971</v>
      </c>
      <c r="I81" s="437">
        <f t="shared" si="11"/>
        <v>6.6880549849418307E-4</v>
      </c>
      <c r="J81" s="279">
        <f t="shared" si="13"/>
        <v>0.63917966085410982</v>
      </c>
    </row>
    <row r="82" spans="2:10" x14ac:dyDescent="0.2">
      <c r="B82" s="259" t="s">
        <v>254</v>
      </c>
      <c r="C82" s="435">
        <f t="shared" si="12"/>
        <v>113.67871355142434</v>
      </c>
      <c r="D82" s="435">
        <f t="shared" si="12"/>
        <v>113.67871355142434</v>
      </c>
      <c r="E82" s="435">
        <f t="shared" si="12"/>
        <v>69.344015266368842</v>
      </c>
      <c r="F82" s="435">
        <f t="shared" si="12"/>
        <v>69.344015266368842</v>
      </c>
      <c r="G82" s="435">
        <f t="shared" si="12"/>
        <v>69.344015266368842</v>
      </c>
      <c r="H82" s="436">
        <f t="shared" si="12"/>
        <v>87.077894580391032</v>
      </c>
      <c r="I82" s="437">
        <f t="shared" si="11"/>
        <v>9.111393597042973E-2</v>
      </c>
      <c r="J82" s="279">
        <f t="shared" si="13"/>
        <v>87.077894580391032</v>
      </c>
    </row>
    <row r="83" spans="2:10" x14ac:dyDescent="0.2">
      <c r="B83" s="259" t="s">
        <v>255</v>
      </c>
      <c r="C83" s="435">
        <f t="shared" si="12"/>
        <v>69.774909929384634</v>
      </c>
      <c r="D83" s="435">
        <f t="shared" si="12"/>
        <v>69.774909929384634</v>
      </c>
      <c r="E83" s="435">
        <f t="shared" si="12"/>
        <v>42.562695056924632</v>
      </c>
      <c r="F83" s="435">
        <f t="shared" si="12"/>
        <v>42.562695056924632</v>
      </c>
      <c r="G83" s="435">
        <f t="shared" si="12"/>
        <v>42.562695056924632</v>
      </c>
      <c r="H83" s="436">
        <f t="shared" si="12"/>
        <v>53.447581005908646</v>
      </c>
      <c r="I83" s="437">
        <f t="shared" si="11"/>
        <v>5.5924864708928615E-2</v>
      </c>
      <c r="J83" s="279">
        <f t="shared" si="13"/>
        <v>53.447581005908646</v>
      </c>
    </row>
    <row r="84" spans="2:10" x14ac:dyDescent="0.2">
      <c r="B84" s="259" t="s">
        <v>256</v>
      </c>
      <c r="C84" s="435">
        <f t="shared" si="12"/>
        <v>1.1650368174362988</v>
      </c>
      <c r="D84" s="435">
        <f t="shared" si="12"/>
        <v>1.1650368174362988</v>
      </c>
      <c r="E84" s="435">
        <f t="shared" si="12"/>
        <v>0.71067245863614226</v>
      </c>
      <c r="F84" s="435">
        <f t="shared" si="12"/>
        <v>0.71067245863614226</v>
      </c>
      <c r="G84" s="435">
        <f t="shared" si="12"/>
        <v>0.71067245863614226</v>
      </c>
      <c r="H84" s="436">
        <f t="shared" si="12"/>
        <v>0.89241820215620493</v>
      </c>
      <c r="I84" s="437">
        <f t="shared" si="11"/>
        <v>9.3378159086102857E-4</v>
      </c>
      <c r="J84" s="279">
        <f t="shared" si="13"/>
        <v>0.89241820215620504</v>
      </c>
    </row>
    <row r="86" spans="2:10" ht="14.25" x14ac:dyDescent="0.2">
      <c r="B86" s="94" t="s">
        <v>288</v>
      </c>
    </row>
    <row r="87" spans="2:10" x14ac:dyDescent="0.2">
      <c r="B87" s="433"/>
      <c r="C87" s="261">
        <v>2020</v>
      </c>
      <c r="D87" s="261">
        <v>2021</v>
      </c>
      <c r="E87" s="261">
        <v>2022</v>
      </c>
      <c r="F87" s="261">
        <v>2023</v>
      </c>
      <c r="G87" s="262">
        <v>2024</v>
      </c>
      <c r="H87" s="203" t="s">
        <v>41</v>
      </c>
      <c r="I87" s="203" t="s">
        <v>3</v>
      </c>
      <c r="J87" s="203" t="s">
        <v>238</v>
      </c>
    </row>
    <row r="88" spans="2:10" x14ac:dyDescent="0.2">
      <c r="B88" s="258"/>
      <c r="C88" s="434">
        <f t="shared" ref="C88:H88" si="14">SUM(C89:C97)</f>
        <v>0</v>
      </c>
      <c r="D88" s="434">
        <f t="shared" si="14"/>
        <v>0</v>
      </c>
      <c r="E88" s="434">
        <f t="shared" si="14"/>
        <v>36.892514870401257</v>
      </c>
      <c r="F88" s="434">
        <f t="shared" si="14"/>
        <v>36.892514870401257</v>
      </c>
      <c r="G88" s="434">
        <f t="shared" si="14"/>
        <v>36.892514870401257</v>
      </c>
      <c r="H88" s="436">
        <f t="shared" si="14"/>
        <v>22.135508922240749</v>
      </c>
      <c r="I88" s="437">
        <f t="shared" ref="I88:I97" si="15">+H88/$H$88</f>
        <v>1</v>
      </c>
      <c r="J88" s="279">
        <f>SUM(J89:J97)</f>
        <v>22.135508922240753</v>
      </c>
    </row>
    <row r="89" spans="2:10" x14ac:dyDescent="0.2">
      <c r="B89" s="260" t="s">
        <v>248</v>
      </c>
      <c r="C89" s="435">
        <f t="shared" ref="C89:H97" si="16">C44*$D11</f>
        <v>0</v>
      </c>
      <c r="D89" s="435">
        <f t="shared" si="16"/>
        <v>0</v>
      </c>
      <c r="E89" s="435">
        <f t="shared" si="16"/>
        <v>0</v>
      </c>
      <c r="F89" s="435">
        <f t="shared" si="16"/>
        <v>0</v>
      </c>
      <c r="G89" s="435">
        <f t="shared" si="16"/>
        <v>0</v>
      </c>
      <c r="H89" s="436">
        <f t="shared" si="16"/>
        <v>0</v>
      </c>
      <c r="I89" s="437">
        <f t="shared" si="15"/>
        <v>0</v>
      </c>
      <c r="J89" s="436">
        <f t="shared" ref="J89:J97" si="17">J44*$D11</f>
        <v>0</v>
      </c>
    </row>
    <row r="90" spans="2:10" x14ac:dyDescent="0.2">
      <c r="B90" s="259" t="s">
        <v>249</v>
      </c>
      <c r="C90" s="435">
        <f t="shared" si="16"/>
        <v>0</v>
      </c>
      <c r="D90" s="435">
        <f t="shared" si="16"/>
        <v>0</v>
      </c>
      <c r="E90" s="435">
        <f t="shared" si="16"/>
        <v>0</v>
      </c>
      <c r="F90" s="435">
        <f t="shared" si="16"/>
        <v>0</v>
      </c>
      <c r="G90" s="435">
        <f t="shared" si="16"/>
        <v>0</v>
      </c>
      <c r="H90" s="436">
        <f t="shared" si="16"/>
        <v>0</v>
      </c>
      <c r="I90" s="437">
        <f t="shared" si="15"/>
        <v>0</v>
      </c>
      <c r="J90" s="436">
        <f t="shared" si="17"/>
        <v>0</v>
      </c>
    </row>
    <row r="91" spans="2:10" x14ac:dyDescent="0.2">
      <c r="B91" s="259" t="s">
        <v>250</v>
      </c>
      <c r="C91" s="435">
        <f t="shared" si="16"/>
        <v>0</v>
      </c>
      <c r="D91" s="435">
        <f t="shared" si="16"/>
        <v>0</v>
      </c>
      <c r="E91" s="435">
        <f t="shared" si="16"/>
        <v>7.8948551664504985</v>
      </c>
      <c r="F91" s="435">
        <f t="shared" si="16"/>
        <v>7.8948551664504985</v>
      </c>
      <c r="G91" s="435">
        <f t="shared" si="16"/>
        <v>7.8948551664504985</v>
      </c>
      <c r="H91" s="436">
        <f t="shared" si="16"/>
        <v>4.7369130998702991</v>
      </c>
      <c r="I91" s="437">
        <f t="shared" si="15"/>
        <v>0.21399612344629063</v>
      </c>
      <c r="J91" s="436">
        <f t="shared" si="17"/>
        <v>4.7369130998703</v>
      </c>
    </row>
    <row r="92" spans="2:10" x14ac:dyDescent="0.2">
      <c r="B92" s="259" t="s">
        <v>251</v>
      </c>
      <c r="C92" s="435">
        <f t="shared" si="16"/>
        <v>0</v>
      </c>
      <c r="D92" s="435">
        <f t="shared" si="16"/>
        <v>0</v>
      </c>
      <c r="E92" s="435">
        <f t="shared" si="16"/>
        <v>4.5244271508863019E-3</v>
      </c>
      <c r="F92" s="435">
        <f t="shared" si="16"/>
        <v>4.5244271508863019E-3</v>
      </c>
      <c r="G92" s="435">
        <f t="shared" si="16"/>
        <v>4.5244271508863019E-3</v>
      </c>
      <c r="H92" s="436">
        <f t="shared" si="16"/>
        <v>2.7146562905317811E-3</v>
      </c>
      <c r="I92" s="437">
        <f t="shared" si="15"/>
        <v>1.2263807893769357E-4</v>
      </c>
      <c r="J92" s="279">
        <f t="shared" si="17"/>
        <v>2.7146562905317811E-3</v>
      </c>
    </row>
    <row r="93" spans="2:10" x14ac:dyDescent="0.2">
      <c r="B93" s="259" t="s">
        <v>252</v>
      </c>
      <c r="C93" s="435">
        <f t="shared" si="16"/>
        <v>0</v>
      </c>
      <c r="D93" s="435">
        <f t="shared" si="16"/>
        <v>0</v>
      </c>
      <c r="E93" s="435">
        <f t="shared" si="16"/>
        <v>2.3134716817985304</v>
      </c>
      <c r="F93" s="435">
        <f t="shared" si="16"/>
        <v>2.3134716817985304</v>
      </c>
      <c r="G93" s="435">
        <f t="shared" si="16"/>
        <v>2.3134716817985304</v>
      </c>
      <c r="H93" s="436">
        <f t="shared" si="16"/>
        <v>1.3880830090791183</v>
      </c>
      <c r="I93" s="437">
        <f t="shared" si="15"/>
        <v>6.2708429878674976E-2</v>
      </c>
      <c r="J93" s="279">
        <f t="shared" si="17"/>
        <v>1.3880830090791183</v>
      </c>
    </row>
    <row r="94" spans="2:10" x14ac:dyDescent="0.2">
      <c r="B94" s="259" t="s">
        <v>253</v>
      </c>
      <c r="C94" s="435">
        <f t="shared" si="16"/>
        <v>0</v>
      </c>
      <c r="D94" s="435">
        <f t="shared" si="16"/>
        <v>0</v>
      </c>
      <c r="E94" s="435">
        <f t="shared" si="16"/>
        <v>8.8549502810203212E-2</v>
      </c>
      <c r="F94" s="435">
        <f t="shared" si="16"/>
        <v>8.8549502810203212E-2</v>
      </c>
      <c r="G94" s="435">
        <f t="shared" si="16"/>
        <v>8.8549502810203212E-2</v>
      </c>
      <c r="H94" s="436">
        <f t="shared" si="16"/>
        <v>5.3129701686121932E-2</v>
      </c>
      <c r="I94" s="437">
        <f t="shared" si="15"/>
        <v>2.4002024020662849E-3</v>
      </c>
      <c r="J94" s="279">
        <f t="shared" si="17"/>
        <v>5.3129701686121932E-2</v>
      </c>
    </row>
    <row r="95" spans="2:10" x14ac:dyDescent="0.2">
      <c r="B95" s="259" t="s">
        <v>254</v>
      </c>
      <c r="C95" s="435">
        <f t="shared" si="16"/>
        <v>0</v>
      </c>
      <c r="D95" s="435">
        <f t="shared" si="16"/>
        <v>0</v>
      </c>
      <c r="E95" s="435">
        <f t="shared" si="16"/>
        <v>15.174598558870157</v>
      </c>
      <c r="F95" s="435">
        <f t="shared" si="16"/>
        <v>15.174598558870157</v>
      </c>
      <c r="G95" s="435">
        <f t="shared" si="16"/>
        <v>15.174598558870157</v>
      </c>
      <c r="H95" s="436">
        <f t="shared" si="16"/>
        <v>9.1047591353220927</v>
      </c>
      <c r="I95" s="437">
        <f t="shared" si="15"/>
        <v>0.41131916900153337</v>
      </c>
      <c r="J95" s="279">
        <f t="shared" si="17"/>
        <v>9.1047591353220927</v>
      </c>
    </row>
    <row r="96" spans="2:10" x14ac:dyDescent="0.2">
      <c r="B96" s="259" t="s">
        <v>255</v>
      </c>
      <c r="C96" s="435">
        <f t="shared" si="16"/>
        <v>0</v>
      </c>
      <c r="D96" s="435">
        <f t="shared" si="16"/>
        <v>0</v>
      </c>
      <c r="E96" s="435">
        <f t="shared" si="16"/>
        <v>11.199032569534513</v>
      </c>
      <c r="F96" s="435">
        <f t="shared" si="16"/>
        <v>11.199032569534513</v>
      </c>
      <c r="G96" s="435">
        <f t="shared" si="16"/>
        <v>11.199032569534513</v>
      </c>
      <c r="H96" s="436">
        <f t="shared" si="16"/>
        <v>6.7194195417207077</v>
      </c>
      <c r="I96" s="437">
        <f t="shared" si="15"/>
        <v>0.30355839413158203</v>
      </c>
      <c r="J96" s="279">
        <f t="shared" si="17"/>
        <v>6.7194195417207077</v>
      </c>
    </row>
    <row r="97" spans="2:10" x14ac:dyDescent="0.2">
      <c r="B97" s="259" t="s">
        <v>256</v>
      </c>
      <c r="C97" s="435">
        <f t="shared" si="16"/>
        <v>0</v>
      </c>
      <c r="D97" s="435">
        <f t="shared" si="16"/>
        <v>0</v>
      </c>
      <c r="E97" s="435">
        <f t="shared" si="16"/>
        <v>0.21748296378646573</v>
      </c>
      <c r="F97" s="435">
        <f t="shared" si="16"/>
        <v>0.21748296378646573</v>
      </c>
      <c r="G97" s="435">
        <f t="shared" si="16"/>
        <v>0.21748296378646573</v>
      </c>
      <c r="H97" s="436">
        <f t="shared" si="16"/>
        <v>0.13048977827187944</v>
      </c>
      <c r="I97" s="437">
        <f t="shared" si="15"/>
        <v>5.8950430609150924E-3</v>
      </c>
      <c r="J97" s="279">
        <f t="shared" si="17"/>
        <v>0.13048977827187944</v>
      </c>
    </row>
    <row r="99" spans="2:10" ht="14.25" x14ac:dyDescent="0.2">
      <c r="B99" s="94" t="s">
        <v>268</v>
      </c>
      <c r="C99" s="132"/>
      <c r="D99" s="132"/>
      <c r="E99" s="132"/>
      <c r="F99" s="132"/>
      <c r="G99" s="132"/>
      <c r="H99" s="132"/>
      <c r="I99" s="132"/>
      <c r="J99" s="132"/>
    </row>
    <row r="100" spans="2:10" x14ac:dyDescent="0.2">
      <c r="B100" s="433"/>
      <c r="C100" s="261">
        <v>2020</v>
      </c>
      <c r="D100" s="261">
        <v>2021</v>
      </c>
      <c r="E100" s="261">
        <v>2022</v>
      </c>
      <c r="F100" s="261">
        <v>2023</v>
      </c>
      <c r="G100" s="262">
        <v>2024</v>
      </c>
      <c r="H100" s="203" t="s">
        <v>41</v>
      </c>
      <c r="I100" s="203" t="s">
        <v>3</v>
      </c>
      <c r="J100" s="203" t="s">
        <v>238</v>
      </c>
    </row>
    <row r="101" spans="2:10" x14ac:dyDescent="0.2">
      <c r="B101" s="258"/>
      <c r="C101" s="434">
        <f t="shared" ref="C101:H101" si="18">SUM(C102:C110)</f>
        <v>13616.133571428574</v>
      </c>
      <c r="D101" s="434">
        <f t="shared" si="18"/>
        <v>13616.133571428574</v>
      </c>
      <c r="E101" s="434">
        <f t="shared" si="18"/>
        <v>14746.911754582792</v>
      </c>
      <c r="F101" s="434">
        <f t="shared" si="18"/>
        <v>14746.911754582792</v>
      </c>
      <c r="G101" s="434">
        <f t="shared" si="18"/>
        <v>14746.911754582792</v>
      </c>
      <c r="H101" s="436">
        <f t="shared" si="18"/>
        <v>14294.476696079382</v>
      </c>
      <c r="I101" s="437">
        <f t="shared" ref="I101:I110" si="19">+H101/$H$101</f>
        <v>1</v>
      </c>
      <c r="J101" s="279">
        <f>SUM(J102:J110)</f>
        <v>14294.476696079382</v>
      </c>
    </row>
    <row r="102" spans="2:10" x14ac:dyDescent="0.2">
      <c r="B102" s="260" t="s">
        <v>248</v>
      </c>
      <c r="C102" s="435">
        <f t="shared" ref="C102:H110" si="20">+(C$25+$C11)+(C$26*$D11)</f>
        <v>458.49999999999994</v>
      </c>
      <c r="D102" s="435">
        <f t="shared" si="20"/>
        <v>458.49999999999994</v>
      </c>
      <c r="E102" s="435">
        <f t="shared" si="20"/>
        <v>665.16184161982983</v>
      </c>
      <c r="F102" s="435">
        <f t="shared" si="20"/>
        <v>665.16184161982937</v>
      </c>
      <c r="G102" s="435">
        <f t="shared" si="20"/>
        <v>665.16184161982983</v>
      </c>
      <c r="H102" s="436">
        <f t="shared" si="20"/>
        <v>582.47448189126078</v>
      </c>
      <c r="I102" s="437">
        <f t="shared" si="19"/>
        <v>4.0748220048588343E-2</v>
      </c>
      <c r="J102" s="279">
        <f t="shared" ref="J102:J110" si="21">+(J$25+$C11)+(J$26*$D11)</f>
        <v>582.47448189126078</v>
      </c>
    </row>
    <row r="103" spans="2:10" x14ac:dyDescent="0.2">
      <c r="B103" s="259" t="s">
        <v>249</v>
      </c>
      <c r="C103" s="435">
        <f t="shared" si="20"/>
        <v>987.57142857142867</v>
      </c>
      <c r="D103" s="435">
        <f t="shared" si="20"/>
        <v>987.57142857142867</v>
      </c>
      <c r="E103" s="435">
        <f t="shared" si="20"/>
        <v>1058.5602638914625</v>
      </c>
      <c r="F103" s="435">
        <f t="shared" si="20"/>
        <v>1058.5602638914622</v>
      </c>
      <c r="G103" s="435">
        <f t="shared" si="20"/>
        <v>1058.5602638914625</v>
      </c>
      <c r="H103" s="436">
        <f t="shared" si="20"/>
        <v>1030.1569586813121</v>
      </c>
      <c r="I103" s="437">
        <f t="shared" si="19"/>
        <v>7.2066783596482289E-2</v>
      </c>
      <c r="J103" s="279">
        <f t="shared" si="21"/>
        <v>1030.1569586813121</v>
      </c>
    </row>
    <row r="104" spans="2:10" x14ac:dyDescent="0.2">
      <c r="B104" s="259" t="s">
        <v>250</v>
      </c>
      <c r="C104" s="435">
        <f t="shared" si="20"/>
        <v>1284.2</v>
      </c>
      <c r="D104" s="435">
        <f t="shared" si="20"/>
        <v>1284.2</v>
      </c>
      <c r="E104" s="435">
        <f t="shared" si="20"/>
        <v>1294.3035817841187</v>
      </c>
      <c r="F104" s="435">
        <f t="shared" si="20"/>
        <v>1294.3035817841187</v>
      </c>
      <c r="G104" s="435">
        <f t="shared" si="20"/>
        <v>1294.3035817841187</v>
      </c>
      <c r="H104" s="436">
        <f t="shared" si="20"/>
        <v>1290.2610430407194</v>
      </c>
      <c r="I104" s="437">
        <f t="shared" si="19"/>
        <v>9.0262908567657174E-2</v>
      </c>
      <c r="J104" s="279">
        <f t="shared" si="21"/>
        <v>1290.2610430407194</v>
      </c>
    </row>
    <row r="105" spans="2:10" x14ac:dyDescent="0.2">
      <c r="B105" s="259" t="s">
        <v>251</v>
      </c>
      <c r="C105" s="435">
        <f t="shared" si="20"/>
        <v>1289.5500000000002</v>
      </c>
      <c r="D105" s="435">
        <f t="shared" si="20"/>
        <v>1289.5500000000002</v>
      </c>
      <c r="E105" s="435">
        <f t="shared" si="20"/>
        <v>1295.4864953883846</v>
      </c>
      <c r="F105" s="435">
        <f t="shared" si="20"/>
        <v>1295.4864953883846</v>
      </c>
      <c r="G105" s="435">
        <f t="shared" si="20"/>
        <v>1295.4864953883846</v>
      </c>
      <c r="H105" s="436">
        <f t="shared" si="20"/>
        <v>1293.1112473703722</v>
      </c>
      <c r="I105" s="437">
        <f t="shared" si="19"/>
        <v>9.0462300569914555E-2</v>
      </c>
      <c r="J105" s="279">
        <f t="shared" si="21"/>
        <v>1293.1112473703722</v>
      </c>
    </row>
    <row r="106" spans="2:10" x14ac:dyDescent="0.2">
      <c r="B106" s="259" t="s">
        <v>252</v>
      </c>
      <c r="C106" s="435">
        <f t="shared" si="20"/>
        <v>1358.9500000000003</v>
      </c>
      <c r="D106" s="435">
        <f t="shared" si="20"/>
        <v>1358.9500000000003</v>
      </c>
      <c r="E106" s="435">
        <f t="shared" si="20"/>
        <v>1382.6831597492435</v>
      </c>
      <c r="F106" s="435">
        <f t="shared" si="20"/>
        <v>1382.6831597492435</v>
      </c>
      <c r="G106" s="435">
        <f t="shared" si="20"/>
        <v>1382.6831597492435</v>
      </c>
      <c r="H106" s="436">
        <f t="shared" si="20"/>
        <v>1373.1872978025021</v>
      </c>
      <c r="I106" s="437">
        <f t="shared" si="19"/>
        <v>9.6064188077562368E-2</v>
      </c>
      <c r="J106" s="279">
        <f t="shared" si="21"/>
        <v>1373.1872978025021</v>
      </c>
    </row>
    <row r="107" spans="2:10" x14ac:dyDescent="0.2">
      <c r="B107" s="259" t="s">
        <v>253</v>
      </c>
      <c r="C107" s="435">
        <f t="shared" si="20"/>
        <v>1738.0500000000002</v>
      </c>
      <c r="D107" s="435">
        <f t="shared" si="20"/>
        <v>1738.0500000000002</v>
      </c>
      <c r="E107" s="435">
        <f t="shared" si="20"/>
        <v>1858.9980799106499</v>
      </c>
      <c r="F107" s="435">
        <f t="shared" si="20"/>
        <v>1858.9980799106497</v>
      </c>
      <c r="G107" s="435">
        <f t="shared" si="20"/>
        <v>1858.9980799106499</v>
      </c>
      <c r="H107" s="436">
        <f t="shared" si="20"/>
        <v>1810.605607871961</v>
      </c>
      <c r="I107" s="437">
        <f t="shared" si="19"/>
        <v>0.12666470038518898</v>
      </c>
      <c r="J107" s="279">
        <f t="shared" si="21"/>
        <v>1810.605607871961</v>
      </c>
    </row>
    <row r="108" spans="2:10" x14ac:dyDescent="0.2">
      <c r="B108" s="259" t="s">
        <v>254</v>
      </c>
      <c r="C108" s="435">
        <f t="shared" si="20"/>
        <v>1923.3800000000003</v>
      </c>
      <c r="D108" s="435">
        <f t="shared" si="20"/>
        <v>1923.3800000000003</v>
      </c>
      <c r="E108" s="435">
        <f t="shared" si="20"/>
        <v>2091.8533797088921</v>
      </c>
      <c r="F108" s="435">
        <f t="shared" si="20"/>
        <v>2091.8533797088917</v>
      </c>
      <c r="G108" s="435">
        <f t="shared" si="20"/>
        <v>2091.8533797088921</v>
      </c>
      <c r="H108" s="436">
        <f t="shared" si="20"/>
        <v>2024.4455852002989</v>
      </c>
      <c r="I108" s="437">
        <f t="shared" si="19"/>
        <v>0.14162432303349404</v>
      </c>
      <c r="J108" s="279">
        <f t="shared" si="21"/>
        <v>2024.4455852002989</v>
      </c>
    </row>
    <row r="109" spans="2:10" x14ac:dyDescent="0.2">
      <c r="B109" s="259" t="s">
        <v>255</v>
      </c>
      <c r="C109" s="435">
        <f t="shared" si="20"/>
        <v>2149.6750000000002</v>
      </c>
      <c r="D109" s="435">
        <f t="shared" si="20"/>
        <v>2149.6750000000002</v>
      </c>
      <c r="E109" s="435">
        <f t="shared" si="20"/>
        <v>2376.1785837656721</v>
      </c>
      <c r="F109" s="435">
        <f t="shared" si="20"/>
        <v>2376.1785837656716</v>
      </c>
      <c r="G109" s="435">
        <f t="shared" si="20"/>
        <v>2376.1785837656721</v>
      </c>
      <c r="H109" s="436">
        <f t="shared" si="20"/>
        <v>2285.5523551216074</v>
      </c>
      <c r="I109" s="437">
        <f t="shared" si="19"/>
        <v>0.15989059296927444</v>
      </c>
      <c r="J109" s="279">
        <f t="shared" si="21"/>
        <v>2285.5523551216074</v>
      </c>
    </row>
    <row r="110" spans="2:10" x14ac:dyDescent="0.2">
      <c r="B110" s="259" t="s">
        <v>256</v>
      </c>
      <c r="C110" s="435">
        <f t="shared" si="20"/>
        <v>2426.2571428571432</v>
      </c>
      <c r="D110" s="435">
        <f t="shared" si="20"/>
        <v>2426.2571428571432</v>
      </c>
      <c r="E110" s="435">
        <f t="shared" si="20"/>
        <v>2723.68636876454</v>
      </c>
      <c r="F110" s="435">
        <f t="shared" si="20"/>
        <v>2723.6863687645396</v>
      </c>
      <c r="G110" s="435">
        <f t="shared" si="20"/>
        <v>2723.68636876454</v>
      </c>
      <c r="H110" s="436">
        <f t="shared" si="20"/>
        <v>2604.6821190993473</v>
      </c>
      <c r="I110" s="437">
        <f t="shared" si="19"/>
        <v>0.18221598275183776</v>
      </c>
      <c r="J110" s="279">
        <f t="shared" si="21"/>
        <v>2604.6821190993473</v>
      </c>
    </row>
    <row r="112" spans="2:10" ht="14.25" x14ac:dyDescent="0.2">
      <c r="B112" s="94" t="s">
        <v>269</v>
      </c>
    </row>
    <row r="113" spans="2:12" x14ac:dyDescent="0.2">
      <c r="B113" s="433"/>
      <c r="C113" s="261">
        <v>2020</v>
      </c>
      <c r="D113" s="261">
        <v>2021</v>
      </c>
      <c r="E113" s="261">
        <v>2022</v>
      </c>
      <c r="F113" s="261">
        <v>2023</v>
      </c>
      <c r="G113" s="262">
        <v>2024</v>
      </c>
      <c r="H113" s="203" t="s">
        <v>41</v>
      </c>
      <c r="I113" s="203" t="s">
        <v>3</v>
      </c>
      <c r="J113" s="203" t="s">
        <v>238</v>
      </c>
    </row>
    <row r="114" spans="2:12" x14ac:dyDescent="0.2">
      <c r="B114" s="258"/>
      <c r="C114" s="438">
        <f t="shared" ref="C114:H114" si="22">SUM(C115:C116)</f>
        <v>1</v>
      </c>
      <c r="D114" s="438">
        <f t="shared" si="22"/>
        <v>1</v>
      </c>
      <c r="E114" s="438">
        <f t="shared" si="22"/>
        <v>1</v>
      </c>
      <c r="F114" s="438">
        <f t="shared" si="22"/>
        <v>1</v>
      </c>
      <c r="G114" s="438">
        <f t="shared" si="22"/>
        <v>1.0000000000000002</v>
      </c>
      <c r="H114" s="437">
        <f t="shared" si="22"/>
        <v>1</v>
      </c>
      <c r="I114" s="437">
        <f>H114/H114</f>
        <v>1</v>
      </c>
      <c r="J114" s="437">
        <f>SUM(J115:J116)</f>
        <v>1</v>
      </c>
    </row>
    <row r="115" spans="2:12" x14ac:dyDescent="0.2">
      <c r="B115" s="259" t="s">
        <v>260</v>
      </c>
      <c r="C115" s="439">
        <f>('C. Demanda'!C81*C70)/(('C. Demanda'!C81*C70)+('C. Demanda'!C82*C71))</f>
        <v>1</v>
      </c>
      <c r="D115" s="439">
        <f>('C. Demanda'!D81*D70)/(('C. Demanda'!D81*D70)+('C. Demanda'!D82*D71))</f>
        <v>1</v>
      </c>
      <c r="E115" s="439">
        <f>('C. Demanda'!E81*E70)/(('C. Demanda'!E81*E70)+('C. Demanda'!E82*E71))</f>
        <v>0.99017095926985144</v>
      </c>
      <c r="F115" s="439">
        <f>('C. Demanda'!F81*F70)/(('C. Demanda'!F81*F70)+('C. Demanda'!F82*F71))</f>
        <v>0.99040831729136314</v>
      </c>
      <c r="G115" s="439">
        <f>('C. Demanda'!G81*G70)/(('C. Demanda'!G81*G70)+('C. Demanda'!G82*G71))</f>
        <v>0.99060705919797265</v>
      </c>
      <c r="H115" s="437">
        <f>('C. Demanda'!H81*H70)/(('C. Demanda'!H81*H70)+('C. Demanda'!H82*H71))</f>
        <v>0.99703495251828134</v>
      </c>
      <c r="I115" s="437">
        <f>H115/H114</f>
        <v>0.99703495251828134</v>
      </c>
      <c r="J115" s="437">
        <f>('C. Demanda'!J81*J70)/(('C. Demanda'!J81*J70)+('C. Demanda'!J82*J71))</f>
        <v>0.99703495251828123</v>
      </c>
      <c r="L115" s="125"/>
    </row>
    <row r="116" spans="2:12" x14ac:dyDescent="0.2">
      <c r="B116" s="259" t="s">
        <v>185</v>
      </c>
      <c r="C116" s="439">
        <f>('C. Demanda'!C82*C71)/(('C. Demanda'!C81*C70)+('C. Demanda'!C82*C71))</f>
        <v>0</v>
      </c>
      <c r="D116" s="439">
        <f>('C. Demanda'!D82*D71)/(('C. Demanda'!D81*D70)+('C. Demanda'!D82*D71))</f>
        <v>0</v>
      </c>
      <c r="E116" s="439">
        <f>('C. Demanda'!E82*E71)/(('C. Demanda'!E81*E70)+('C. Demanda'!E82*E71))</f>
        <v>9.8290407301485621E-3</v>
      </c>
      <c r="F116" s="439">
        <f>('C. Demanda'!F82*F71)/(('C. Demanda'!F81*F70)+('C. Demanda'!F82*F71))</f>
        <v>9.591682708636886E-3</v>
      </c>
      <c r="G116" s="439">
        <f>('C. Demanda'!G82*G71)/(('C. Demanda'!G81*G70)+('C. Demanda'!G82*G71))</f>
        <v>9.392940802027485E-3</v>
      </c>
      <c r="H116" s="437">
        <f>('C. Demanda'!H82*H71)/(('C. Demanda'!H81*H70)+('C. Demanda'!H82*H71))</f>
        <v>2.9650474817187276E-3</v>
      </c>
      <c r="I116" s="437">
        <f>H116/H114</f>
        <v>2.9650474817187276E-3</v>
      </c>
      <c r="J116" s="437">
        <f>('C. Demanda'!J82*J71)/(('C. Demanda'!J81*J70)+('C. Demanda'!J82*J71))</f>
        <v>2.965047481718728E-3</v>
      </c>
      <c r="L116" s="125"/>
    </row>
    <row r="117" spans="2:12" x14ac:dyDescent="0.2">
      <c r="B117" s="132"/>
      <c r="C117" s="132"/>
      <c r="D117" s="132"/>
      <c r="E117" s="132"/>
      <c r="F117" s="132"/>
      <c r="G117" s="132"/>
      <c r="H117" s="132"/>
      <c r="I117" s="132"/>
      <c r="J117" s="132"/>
    </row>
    <row r="118" spans="2:12" ht="14.25" x14ac:dyDescent="0.2">
      <c r="B118" s="94" t="s">
        <v>270</v>
      </c>
      <c r="C118" s="132"/>
      <c r="D118" s="132"/>
      <c r="E118" s="132"/>
      <c r="F118" s="132"/>
      <c r="G118" s="132"/>
      <c r="H118" s="132"/>
      <c r="I118" s="132"/>
      <c r="J118" s="132"/>
    </row>
    <row r="119" spans="2:12" x14ac:dyDescent="0.2">
      <c r="B119" s="433"/>
      <c r="C119" s="261">
        <v>2020</v>
      </c>
      <c r="D119" s="261">
        <v>2021</v>
      </c>
      <c r="E119" s="261">
        <v>2022</v>
      </c>
      <c r="F119" s="261">
        <v>2023</v>
      </c>
      <c r="G119" s="262">
        <v>2024</v>
      </c>
      <c r="H119" s="203" t="s">
        <v>41</v>
      </c>
      <c r="I119" s="203" t="s">
        <v>3</v>
      </c>
      <c r="J119" s="203" t="s">
        <v>238</v>
      </c>
    </row>
    <row r="120" spans="2:12" x14ac:dyDescent="0.2">
      <c r="B120" s="258"/>
      <c r="C120" s="438">
        <f t="shared" ref="C120:H120" si="23">SUM(C121:C129)</f>
        <v>0.99999999999999989</v>
      </c>
      <c r="D120" s="438">
        <f t="shared" si="23"/>
        <v>0.99999999999999989</v>
      </c>
      <c r="E120" s="438">
        <f t="shared" si="23"/>
        <v>1</v>
      </c>
      <c r="F120" s="438">
        <f t="shared" si="23"/>
        <v>1</v>
      </c>
      <c r="G120" s="438">
        <f t="shared" si="23"/>
        <v>1.0000000000000002</v>
      </c>
      <c r="H120" s="437">
        <f t="shared" si="23"/>
        <v>0.99999999999999989</v>
      </c>
      <c r="I120" s="437">
        <f t="shared" ref="I120:I129" si="24">+H120/$H$120</f>
        <v>1</v>
      </c>
      <c r="J120" s="437">
        <f>SUM(J121:J129)</f>
        <v>1</v>
      </c>
    </row>
    <row r="121" spans="2:12" x14ac:dyDescent="0.2">
      <c r="B121" s="260" t="s">
        <v>248</v>
      </c>
      <c r="C121" s="439">
        <f>('C. Demanda'!C87*C102)/(('C. Demanda'!C$87*C$102)+('C. Demanda'!C$88*C$103)+('C. Demanda'!C$89*C$104)+('C. Demanda'!C$90*C$105)+('C. Demanda'!C$91*C$106)+('C. Demanda'!C$92*C$107)+('C. Demanda'!C$93*C$108)+('C. Demanda'!C$94*C$109)+('C. Demanda'!C$95*C$110))</f>
        <v>2.298104173740986E-3</v>
      </c>
      <c r="D121" s="439">
        <f>('C. Demanda'!D87*D102)/(('C. Demanda'!D$87*D$102)+('C. Demanda'!D$88*D$103)+('C. Demanda'!D$89*D$104)+('C. Demanda'!D$90*D$105)+('C. Demanda'!D$91*D$106)+('C. Demanda'!D$92*D$107)+('C. Demanda'!D$93*D$108)+('C. Demanda'!D$94*D$109)+('C. Demanda'!D$95*D$110))</f>
        <v>2.5559117875179321E-3</v>
      </c>
      <c r="E121" s="439">
        <f>('C. Demanda'!E87*E102)/(('C. Demanda'!E$87*E$102)+('C. Demanda'!E$88*E$103)+('C. Demanda'!E$89*E$104)+('C. Demanda'!E$90*E$105)+('C. Demanda'!E$91*E$106)+('C. Demanda'!E$92*E$107)+('C. Demanda'!E$93*E$108)+('C. Demanda'!E$94*E$109)+('C. Demanda'!E$95*E$110))</f>
        <v>6.7534263032397221E-2</v>
      </c>
      <c r="F121" s="439">
        <f>('C. Demanda'!F87*F102)/(('C. Demanda'!F$87*F$102)+('C. Demanda'!F$88*F$103)+('C. Demanda'!F$89*F$104)+('C. Demanda'!F$90*F$105)+('C. Demanda'!F$91*F$106)+('C. Demanda'!F$92*F$107)+('C. Demanda'!F$93*F$108)+('C. Demanda'!F$94*F$109)+('C. Demanda'!F$95*F$110))</f>
        <v>6.6224756698617063E-2</v>
      </c>
      <c r="G121" s="439">
        <f>('C. Demanda'!G87*G102)/(('C. Demanda'!G$87*G$102)+('C. Demanda'!G$88*G$103)+('C. Demanda'!G$89*G$104)+('C. Demanda'!G$90*G$105)+('C. Demanda'!G$91*G$106)+('C. Demanda'!G$92*G$107)+('C. Demanda'!G$93*G$108)+('C. Demanda'!G$94*G$109)+('C. Demanda'!G$95*G$110))</f>
        <v>6.5134967272164196E-2</v>
      </c>
      <c r="H121" s="437">
        <f>('C. Demanda'!H87*H102)/(('C. Demanda'!H$87*H$102)+('C. Demanda'!H$88*H$103)+('C. Demanda'!H$89*H$104)+('C. Demanda'!H$90*H$105)+('C. Demanda'!H$91*H$106)+('C. Demanda'!H$92*H$107)+('C. Demanda'!H$93*H$108)+('C. Demanda'!H$94*H$109)+('C. Demanda'!H$95*H$110))</f>
        <v>3.8314924596618866E-2</v>
      </c>
      <c r="I121" s="437">
        <f t="shared" si="24"/>
        <v>3.8314924596618873E-2</v>
      </c>
      <c r="J121" s="437">
        <f>('C. Demanda'!J87*J102)/(('C. Demanda'!J$87*J$102)+('C. Demanda'!J$88*J$103)+('C. Demanda'!J$89*J$104)+('C. Demanda'!J$90*J$105)+('C. Demanda'!J$91*J$106)+('C. Demanda'!J$92*J$107)+('C. Demanda'!J$93*J$108)+('C. Demanda'!J$94*J$109)+('C. Demanda'!J$95*J$110))</f>
        <v>3.8314924596618866E-2</v>
      </c>
    </row>
    <row r="122" spans="2:12" x14ac:dyDescent="0.2">
      <c r="B122" s="259" t="s">
        <v>249</v>
      </c>
      <c r="C122" s="439">
        <f>('C. Demanda'!C88*C103)/(('C. Demanda'!C$87*C$102)+('C. Demanda'!C$88*C$103)+('C. Demanda'!C$89*C$104)+('C. Demanda'!C$90*C$105)+('C. Demanda'!C$91*C$106)+('C. Demanda'!C$92*C$107)+('C. Demanda'!C$93*C$108)+('C. Demanda'!C$94*C$109)+('C. Demanda'!C$95*C$110))</f>
        <v>4.1652518081550599E-2</v>
      </c>
      <c r="D122" s="439">
        <f>('C. Demanda'!D88*D103)/(('C. Demanda'!D$87*D$102)+('C. Demanda'!D$88*D$103)+('C. Demanda'!D$89*D$104)+('C. Demanda'!D$90*D$105)+('C. Demanda'!D$91*D$106)+('C. Demanda'!D$92*D$107)+('C. Demanda'!D$93*D$108)+('C. Demanda'!D$94*D$109)+('C. Demanda'!D$95*D$110))</f>
        <v>4.3315815747494719E-2</v>
      </c>
      <c r="E122" s="439">
        <f>('C. Demanda'!E88*E103)/(('C. Demanda'!E$87*E$102)+('C. Demanda'!E$88*E$103)+('C. Demanda'!E$89*E$104)+('C. Demanda'!E$90*E$105)+('C. Demanda'!E$91*E$106)+('C. Demanda'!E$92*E$107)+('C. Demanda'!E$93*E$108)+('C. Demanda'!E$94*E$109)+('C. Demanda'!E$95*E$110))</f>
        <v>4.205014059295252E-2</v>
      </c>
      <c r="F122" s="439">
        <f>('C. Demanda'!F88*F103)/(('C. Demanda'!F$87*F$102)+('C. Demanda'!F$88*F$103)+('C. Demanda'!F$89*F$104)+('C. Demanda'!F$90*F$105)+('C. Demanda'!F$91*F$106)+('C. Demanda'!F$92*F$107)+('C. Demanda'!F$93*F$108)+('C. Demanda'!F$94*F$109)+('C. Demanda'!F$95*F$110))</f>
        <v>4.2720690903590312E-2</v>
      </c>
      <c r="G122" s="439">
        <f>('C. Demanda'!G88*G103)/(('C. Demanda'!G$87*G$102)+('C. Demanda'!G$88*G$103)+('C. Demanda'!G$89*G$104)+('C. Demanda'!G$90*G$105)+('C. Demanda'!G$91*G$106)+('C. Demanda'!G$92*G$107)+('C. Demanda'!G$93*G$108)+('C. Demanda'!G$94*G$109)+('C. Demanda'!G$95*G$110))</f>
        <v>4.347871001296446E-2</v>
      </c>
      <c r="H122" s="437">
        <f>('C. Demanda'!H88*H103)/(('C. Demanda'!H$87*H$102)+('C. Demanda'!H$88*H$103)+('C. Demanda'!H$89*H$104)+('C. Demanda'!H$90*H$105)+('C. Demanda'!H$91*H$106)+('C. Demanda'!H$92*H$107)+('C. Demanda'!H$93*H$108)+('C. Demanda'!H$94*H$109)+('C. Demanda'!H$95*H$110))</f>
        <v>4.2824219941730197E-2</v>
      </c>
      <c r="I122" s="437">
        <f t="shared" si="24"/>
        <v>4.2824219941730204E-2</v>
      </c>
      <c r="J122" s="437">
        <f>('C. Demanda'!J88*J103)/(('C. Demanda'!J$87*J$102)+('C. Demanda'!J$88*J$103)+('C. Demanda'!J$89*J$104)+('C. Demanda'!J$90*J$105)+('C. Demanda'!J$91*J$106)+('C. Demanda'!J$92*J$107)+('C. Demanda'!J$93*J$108)+('C. Demanda'!J$94*J$109)+('C. Demanda'!J$95*J$110))</f>
        <v>4.2824219941730204E-2</v>
      </c>
    </row>
    <row r="123" spans="2:12" x14ac:dyDescent="0.2">
      <c r="B123" s="259" t="s">
        <v>250</v>
      </c>
      <c r="C123" s="439">
        <f>('C. Demanda'!C89*C104)/(('C. Demanda'!C$87*C$102)+('C. Demanda'!C$88*C$103)+('C. Demanda'!C$89*C$104)+('C. Demanda'!C$90*C$105)+('C. Demanda'!C$91*C$106)+('C. Demanda'!C$92*C$107)+('C. Demanda'!C$93*C$108)+('C. Demanda'!C$94*C$109)+('C. Demanda'!C$95*C$110))</f>
        <v>0.68906679603709331</v>
      </c>
      <c r="D123" s="439">
        <f>('C. Demanda'!D89*D104)/(('C. Demanda'!D$87*D$102)+('C. Demanda'!D$88*D$103)+('C. Demanda'!D$89*D$104)+('C. Demanda'!D$90*D$105)+('C. Demanda'!D$91*D$106)+('C. Demanda'!D$92*D$107)+('C. Demanda'!D$93*D$108)+('C. Demanda'!D$94*D$109)+('C. Demanda'!D$95*D$110))</f>
        <v>0.67959268414205332</v>
      </c>
      <c r="E123" s="439">
        <f>('C. Demanda'!E89*E104)/(('C. Demanda'!E$87*E$102)+('C. Demanda'!E$88*E$103)+('C. Demanda'!E$89*E$104)+('C. Demanda'!E$90*E$105)+('C. Demanda'!E$91*E$106)+('C. Demanda'!E$92*E$107)+('C. Demanda'!E$93*E$108)+('C. Demanda'!E$94*E$109)+('C. Demanda'!E$95*E$110))</f>
        <v>0.62707698234605436</v>
      </c>
      <c r="F123" s="439">
        <f>('C. Demanda'!F89*F104)/(('C. Demanda'!F$87*F$102)+('C. Demanda'!F$88*F$103)+('C. Demanda'!F$89*F$104)+('C. Demanda'!F$90*F$105)+('C. Demanda'!F$91*F$106)+('C. Demanda'!F$92*F$107)+('C. Demanda'!F$93*F$108)+('C. Demanda'!F$94*F$109)+('C. Demanda'!F$95*F$110))</f>
        <v>0.62599100084474402</v>
      </c>
      <c r="G123" s="439">
        <f>('C. Demanda'!G89*G104)/(('C. Demanda'!G$87*G$102)+('C. Demanda'!G$88*G$103)+('C. Demanda'!G$89*G$104)+('C. Demanda'!G$90*G$105)+('C. Demanda'!G$91*G$106)+('C. Demanda'!G$92*G$107)+('C. Demanda'!G$93*G$108)+('C. Demanda'!G$94*G$109)+('C. Demanda'!G$95*G$110))</f>
        <v>0.62657748987447892</v>
      </c>
      <c r="H123" s="437">
        <f>('C. Demanda'!H89*H104)/(('C. Demanda'!H$87*H$102)+('C. Demanda'!H$88*H$103)+('C. Demanda'!H$89*H$104)+('C. Demanda'!H$90*H$105)+('C. Demanda'!H$91*H$106)+('C. Demanda'!H$92*H$107)+('C. Demanda'!H$93*H$108)+('C. Demanda'!H$94*H$109)+('C. Demanda'!H$95*H$110))</f>
        <v>0.65094558676489389</v>
      </c>
      <c r="I123" s="437">
        <f t="shared" si="24"/>
        <v>0.650945586764894</v>
      </c>
      <c r="J123" s="437">
        <f>('C. Demanda'!J89*J104)/(('C. Demanda'!J$87*J$102)+('C. Demanda'!J$88*J$103)+('C. Demanda'!J$89*J$104)+('C. Demanda'!J$90*J$105)+('C. Demanda'!J$91*J$106)+('C. Demanda'!J$92*J$107)+('C. Demanda'!J$93*J$108)+('C. Demanda'!J$94*J$109)+('C. Demanda'!J$95*J$110))</f>
        <v>0.650945586764894</v>
      </c>
    </row>
    <row r="124" spans="2:12" x14ac:dyDescent="0.2">
      <c r="B124" s="259" t="s">
        <v>251</v>
      </c>
      <c r="C124" s="439">
        <f>('C. Demanda'!C90*C105)/(('C. Demanda'!C$87*C$102)+('C. Demanda'!C$88*C$103)+('C. Demanda'!C$89*C$104)+('C. Demanda'!C$90*C$105)+('C. Demanda'!C$91*C$106)+('C. Demanda'!C$92*C$107)+('C. Demanda'!C$93*C$108)+('C. Demanda'!C$94*C$109)+('C. Demanda'!C$95*C$110))</f>
        <v>6.796227825395804E-8</v>
      </c>
      <c r="D124" s="439">
        <f>('C. Demanda'!D90*D105)/(('C. Demanda'!D$87*D$102)+('C. Demanda'!D$88*D$103)+('C. Demanda'!D$89*D$104)+('C. Demanda'!D$90*D$105)+('C. Demanda'!D$91*D$106)+('C. Demanda'!D$92*D$107)+('C. Demanda'!D$93*D$108)+('C. Demanda'!D$94*D$109)+('C. Demanda'!D$95*D$110))</f>
        <v>6.7918279702295947E-8</v>
      </c>
      <c r="E124" s="439">
        <f>('C. Demanda'!E90*E105)/(('C. Demanda'!E$87*E$102)+('C. Demanda'!E$88*E$103)+('C. Demanda'!E$89*E$104)+('C. Demanda'!E$90*E$105)+('C. Demanda'!E$91*E$106)+('C. Demanda'!E$92*E$107)+('C. Demanda'!E$93*E$108)+('C. Demanda'!E$94*E$109)+('C. Demanda'!E$95*E$110))</f>
        <v>5.945731162284673E-8</v>
      </c>
      <c r="F124" s="439">
        <f>('C. Demanda'!F90*F105)/(('C. Demanda'!F$87*F$102)+('C. Demanda'!F$88*F$103)+('C. Demanda'!F$89*F$104)+('C. Demanda'!F$90*F$105)+('C. Demanda'!F$91*F$106)+('C. Demanda'!F$92*F$107)+('C. Demanda'!F$93*F$108)+('C. Demanda'!F$94*F$109)+('C. Demanda'!F$95*F$110))</f>
        <v>5.8190781330681915E-8</v>
      </c>
      <c r="G124" s="439">
        <f>('C. Demanda'!G90*G105)/(('C. Demanda'!G$87*G$102)+('C. Demanda'!G$88*G$103)+('C. Demanda'!G$89*G$104)+('C. Demanda'!G$90*G$105)+('C. Demanda'!G$91*G$106)+('C. Demanda'!G$92*G$107)+('C. Demanda'!G$93*G$108)+('C. Demanda'!G$94*G$109)+('C. Demanda'!G$95*G$110))</f>
        <v>5.7121463477014933E-8</v>
      </c>
      <c r="H124" s="437">
        <f>('C. Demanda'!H90*H105)/(('C. Demanda'!H$87*H$102)+('C. Demanda'!H$88*H$103)+('C. Demanda'!H$89*H$104)+('C. Demanda'!H$90*H$105)+('C. Demanda'!H$91*H$106)+('C. Demanda'!H$92*H$107)+('C. Demanda'!H$93*H$108)+('C. Demanda'!H$94*H$109)+('C. Demanda'!H$95*H$110))</f>
        <v>6.2093597423676186E-8</v>
      </c>
      <c r="I124" s="437">
        <f t="shared" si="24"/>
        <v>6.2093597423676199E-8</v>
      </c>
      <c r="J124" s="437">
        <f>('C. Demanda'!J90*J105)/(('C. Demanda'!J$87*J$102)+('C. Demanda'!J$88*J$103)+('C. Demanda'!J$89*J$104)+('C. Demanda'!J$90*J$105)+('C. Demanda'!J$91*J$106)+('C. Demanda'!J$92*J$107)+('C. Demanda'!J$93*J$108)+('C. Demanda'!J$94*J$109)+('C. Demanda'!J$95*J$110))</f>
        <v>6.2093597423676199E-8</v>
      </c>
    </row>
    <row r="125" spans="2:12" x14ac:dyDescent="0.2">
      <c r="B125" s="259" t="s">
        <v>252</v>
      </c>
      <c r="C125" s="439">
        <f>('C. Demanda'!C91*C106)/(('C. Demanda'!C$87*C$102)+('C. Demanda'!C$88*C$103)+('C. Demanda'!C$89*C$104)+('C. Demanda'!C$90*C$105)+('C. Demanda'!C$91*C$106)+('C. Demanda'!C$92*C$107)+('C. Demanda'!C$93*C$108)+('C. Demanda'!C$94*C$109)+('C. Demanda'!C$95*C$110))</f>
        <v>8.4011183998570188E-2</v>
      </c>
      <c r="D125" s="439">
        <f>('C. Demanda'!D91*D106)/(('C. Demanda'!D$87*D$102)+('C. Demanda'!D$88*D$103)+('C. Demanda'!D$89*D$104)+('C. Demanda'!D$90*D$105)+('C. Demanda'!D$91*D$106)+('C. Demanda'!D$92*D$107)+('C. Demanda'!D$93*D$108)+('C. Demanda'!D$94*D$109)+('C. Demanda'!D$95*D$110))</f>
        <v>8.7365977722792018E-2</v>
      </c>
      <c r="E125" s="439">
        <f>('C. Demanda'!E91*E106)/(('C. Demanda'!E$87*E$102)+('C. Demanda'!E$88*E$103)+('C. Demanda'!E$89*E$104)+('C. Demanda'!E$90*E$105)+('C. Demanda'!E$91*E$106)+('C. Demanda'!E$92*E$107)+('C. Demanda'!E$93*E$108)+('C. Demanda'!E$94*E$109)+('C. Demanda'!E$95*E$110))</f>
        <v>8.0507329484330425E-2</v>
      </c>
      <c r="F125" s="439">
        <f>('C. Demanda'!F91*F106)/(('C. Demanda'!F$87*F$102)+('C. Demanda'!F$88*F$103)+('C. Demanda'!F$89*F$104)+('C. Demanda'!F$90*F$105)+('C. Demanda'!F$91*F$106)+('C. Demanda'!F$92*F$107)+('C. Demanda'!F$93*F$108)+('C. Demanda'!F$94*F$109)+('C. Demanda'!F$95*F$110))</f>
        <v>8.1791135294087589E-2</v>
      </c>
      <c r="G125" s="439">
        <f>('C. Demanda'!G91*G106)/(('C. Demanda'!G$87*G$102)+('C. Demanda'!G$88*G$103)+('C. Demanda'!G$89*G$104)+('C. Demanda'!G$90*G$105)+('C. Demanda'!G$91*G$106)+('C. Demanda'!G$92*G$107)+('C. Demanda'!G$93*G$108)+('C. Demanda'!G$94*G$109)+('C. Demanda'!G$95*G$110))</f>
        <v>8.0475380774859148E-2</v>
      </c>
      <c r="H125" s="437">
        <f>('C. Demanda'!H91*H106)/(('C. Demanda'!H$87*H$102)+('C. Demanda'!H$88*H$103)+('C. Demanda'!H$89*H$104)+('C. Demanda'!H$90*H$105)+('C. Demanda'!H$91*H$106)+('C. Demanda'!H$92*H$107)+('C. Demanda'!H$93*H$108)+('C. Demanda'!H$94*H$109)+('C. Demanda'!H$95*H$110))</f>
        <v>8.307181455816387E-2</v>
      </c>
      <c r="I125" s="437">
        <f t="shared" si="24"/>
        <v>8.3071814558163884E-2</v>
      </c>
      <c r="J125" s="437">
        <f>('C. Demanda'!J91*J106)/(('C. Demanda'!J$87*J$102)+('C. Demanda'!J$88*J$103)+('C. Demanda'!J$89*J$104)+('C. Demanda'!J$90*J$105)+('C. Demanda'!J$91*J$106)+('C. Demanda'!J$92*J$107)+('C. Demanda'!J$93*J$108)+('C. Demanda'!J$94*J$109)+('C. Demanda'!J$95*J$110))</f>
        <v>8.307181455816387E-2</v>
      </c>
    </row>
    <row r="126" spans="2:12" x14ac:dyDescent="0.2">
      <c r="B126" s="259" t="s">
        <v>253</v>
      </c>
      <c r="C126" s="439">
        <f>('C. Demanda'!C92*C107)/(('C. Demanda'!C$87*C$102)+('C. Demanda'!C$88*C$103)+('C. Demanda'!C$89*C$104)+('C. Demanda'!C$90*C$105)+('C. Demanda'!C$91*C$106)+('C. Demanda'!C$92*C$107)+('C. Demanda'!C$93*C$108)+('C. Demanda'!C$94*C$109)+('C. Demanda'!C$95*C$110))</f>
        <v>9.1599269294941446E-8</v>
      </c>
      <c r="D126" s="439">
        <f>('C. Demanda'!D92*D107)/(('C. Demanda'!D$87*D$102)+('C. Demanda'!D$88*D$103)+('C. Demanda'!D$89*D$104)+('C. Demanda'!D$90*D$105)+('C. Demanda'!D$91*D$106)+('C. Demanda'!D$92*D$107)+('C. Demanda'!D$93*D$108)+('C. Demanda'!D$94*D$109)+('C. Demanda'!D$95*D$110))</f>
        <v>9.1539968234326306E-8</v>
      </c>
      <c r="E126" s="439">
        <f>('C. Demanda'!E92*E107)/(('C. Demanda'!E$87*E$102)+('C. Demanda'!E$88*E$103)+('C. Demanda'!E$89*E$104)+('C. Demanda'!E$90*E$105)+('C. Demanda'!E$91*E$106)+('C. Demanda'!E$92*E$107)+('C. Demanda'!E$93*E$108)+('C. Demanda'!E$94*E$109)+('C. Demanda'!E$95*E$110))</f>
        <v>8.5320092904854422E-8</v>
      </c>
      <c r="F126" s="439">
        <f>('C. Demanda'!F92*F107)/(('C. Demanda'!F$87*F$102)+('C. Demanda'!F$88*F$103)+('C. Demanda'!F$89*F$104)+('C. Demanda'!F$90*F$105)+('C. Demanda'!F$91*F$106)+('C. Demanda'!F$92*F$107)+('C. Demanda'!F$93*F$108)+('C. Demanda'!F$94*F$109)+('C. Demanda'!F$95*F$110))</f>
        <v>8.3502646416863655E-8</v>
      </c>
      <c r="G126" s="439">
        <f>('C. Demanda'!G92*G107)/(('C. Demanda'!G$87*G$102)+('C. Demanda'!G$88*G$103)+('C. Demanda'!G$89*G$104)+('C. Demanda'!G$90*G$105)+('C. Demanda'!G$91*G$106)+('C. Demanda'!G$92*G$107)+('C. Demanda'!G$93*G$108)+('C. Demanda'!G$94*G$109)+('C. Demanda'!G$95*G$110))</f>
        <v>8.1968195966119959E-8</v>
      </c>
      <c r="H126" s="437">
        <f>('C. Demanda'!H92*H107)/(('C. Demanda'!H$87*H$102)+('C. Demanda'!H$88*H$103)+('C. Demanda'!H$89*H$104)+('C. Demanda'!H$90*H$105)+('C. Demanda'!H$91*H$106)+('C. Demanda'!H$92*H$107)+('C. Demanda'!H$93*H$108)+('C. Demanda'!H$94*H$109)+('C. Demanda'!H$95*H$110))</f>
        <v>8.6943034434879358E-8</v>
      </c>
      <c r="I126" s="437">
        <f t="shared" si="24"/>
        <v>8.6943034434879372E-8</v>
      </c>
      <c r="J126" s="437">
        <f>('C. Demanda'!J92*J107)/(('C. Demanda'!J$87*J$102)+('C. Demanda'!J$88*J$103)+('C. Demanda'!J$89*J$104)+('C. Demanda'!J$90*J$105)+('C. Demanda'!J$91*J$106)+('C. Demanda'!J$92*J$107)+('C. Demanda'!J$93*J$108)+('C. Demanda'!J$94*J$109)+('C. Demanda'!J$95*J$110))</f>
        <v>8.6943034434879358E-8</v>
      </c>
    </row>
    <row r="127" spans="2:12" x14ac:dyDescent="0.2">
      <c r="B127" s="259" t="s">
        <v>254</v>
      </c>
      <c r="C127" s="439">
        <f>('C. Demanda'!C93*C108)/(('C. Demanda'!C$87*C$102)+('C. Demanda'!C$88*C$103)+('C. Demanda'!C$89*C$104)+('C. Demanda'!C$90*C$105)+('C. Demanda'!C$91*C$106)+('C. Demanda'!C$92*C$107)+('C. Demanda'!C$93*C$108)+('C. Demanda'!C$94*C$109)+('C. Demanda'!C$95*C$110))</f>
        <v>0.10637380611556074</v>
      </c>
      <c r="D127" s="439">
        <f>('C. Demanda'!D93*D108)/(('C. Demanda'!D$87*D$102)+('C. Demanda'!D$88*D$103)+('C. Demanda'!D$89*D$104)+('C. Demanda'!D$90*D$105)+('C. Demanda'!D$91*D$106)+('C. Demanda'!D$92*D$107)+('C. Demanda'!D$93*D$108)+('C. Demanda'!D$94*D$109)+('C. Demanda'!D$95*D$110))</f>
        <v>0.11062160803129764</v>
      </c>
      <c r="E127" s="439">
        <f>('C. Demanda'!E93*E108)/(('C. Demanda'!E$87*E$102)+('C. Demanda'!E$88*E$103)+('C. Demanda'!E$89*E$104)+('C. Demanda'!E$90*E$105)+('C. Demanda'!E$91*E$106)+('C. Demanda'!E$92*E$107)+('C. Demanda'!E$93*E$108)+('C. Demanda'!E$94*E$109)+('C. Demanda'!E$95*E$110))</f>
        <v>0.10909793205064137</v>
      </c>
      <c r="F127" s="439">
        <f>('C. Demanda'!F93*F108)/(('C. Demanda'!F$87*F$102)+('C. Demanda'!F$88*F$103)+('C. Demanda'!F$89*F$104)+('C. Demanda'!F$90*F$105)+('C. Demanda'!F$91*F$106)+('C. Demanda'!F$92*F$107)+('C. Demanda'!F$93*F$108)+('C. Demanda'!F$94*F$109)+('C. Demanda'!F$95*F$110))</f>
        <v>0.11110969523062095</v>
      </c>
      <c r="G127" s="439">
        <f>('C. Demanda'!G93*G108)/(('C. Demanda'!G$87*G$102)+('C. Demanda'!G$88*G$103)+('C. Demanda'!G$89*G$104)+('C. Demanda'!G$90*G$105)+('C. Demanda'!G$91*G$106)+('C. Demanda'!G$92*G$107)+('C. Demanda'!G$93*G$108)+('C. Demanda'!G$94*G$109)+('C. Demanda'!G$95*G$110))</f>
        <v>0.11349679822859736</v>
      </c>
      <c r="H127" s="437">
        <f>('C. Demanda'!H93*H108)/(('C. Demanda'!H$87*H$102)+('C. Demanda'!H$88*H$103)+('C. Demanda'!H$89*H$104)+('C. Demanda'!H$90*H$105)+('C. Demanda'!H$91*H$106)+('C. Demanda'!H$92*H$107)+('C. Demanda'!H$93*H$108)+('C. Demanda'!H$94*H$109)+('C. Demanda'!H$95*H$110))</f>
        <v>0.11064161889836799</v>
      </c>
      <c r="I127" s="437">
        <f t="shared" si="24"/>
        <v>0.110641618898368</v>
      </c>
      <c r="J127" s="437">
        <f>('C. Demanda'!J93*J108)/(('C. Demanda'!J$87*J$102)+('C. Demanda'!J$88*J$103)+('C. Demanda'!J$89*J$104)+('C. Demanda'!J$90*J$105)+('C. Demanda'!J$91*J$106)+('C. Demanda'!J$92*J$107)+('C. Demanda'!J$93*J$108)+('C. Demanda'!J$94*J$109)+('C. Demanda'!J$95*J$110))</f>
        <v>0.110641618898368</v>
      </c>
    </row>
    <row r="128" spans="2:12" x14ac:dyDescent="0.2">
      <c r="B128" s="259" t="s">
        <v>255</v>
      </c>
      <c r="C128" s="439">
        <f>('C. Demanda'!C94*C109)/(('C. Demanda'!C$87*C$102)+('C. Demanda'!C$88*C$103)+('C. Demanda'!C$89*C$104)+('C. Demanda'!C$90*C$105)+('C. Demanda'!C$91*C$106)+('C. Demanda'!C$92*C$107)+('C. Demanda'!C$93*C$108)+('C. Demanda'!C$94*C$109)+('C. Demanda'!C$95*C$110))</f>
        <v>7.659730416255342E-2</v>
      </c>
      <c r="D128" s="439">
        <f>('C. Demanda'!D94*D109)/(('C. Demanda'!D$87*D$102)+('C. Demanda'!D$88*D$103)+('C. Demanda'!D$89*D$104)+('C. Demanda'!D$90*D$105)+('C. Demanda'!D$91*D$106)+('C. Demanda'!D$92*D$107)+('C. Demanda'!D$93*D$108)+('C. Demanda'!D$94*D$109)+('C. Demanda'!D$95*D$110))</f>
        <v>7.6547715323995388E-2</v>
      </c>
      <c r="E128" s="439">
        <f>('C. Demanda'!E94*E109)/(('C. Demanda'!E$87*E$102)+('C. Demanda'!E$88*E$103)+('C. Demanda'!E$89*E$104)+('C. Demanda'!E$90*E$105)+('C. Demanda'!E$91*E$106)+('C. Demanda'!E$92*E$107)+('C. Demanda'!E$93*E$108)+('C. Demanda'!E$94*E$109)+('C. Demanda'!E$95*E$110))</f>
        <v>7.3733082710617695E-2</v>
      </c>
      <c r="F128" s="439">
        <f>('C. Demanda'!F94*F109)/(('C. Demanda'!F$87*F$102)+('C. Demanda'!F$88*F$103)+('C. Demanda'!F$89*F$104)+('C. Demanda'!F$90*F$105)+('C. Demanda'!F$91*F$106)+('C. Demanda'!F$92*F$107)+('C. Demanda'!F$93*F$108)+('C. Demanda'!F$94*F$109)+('C. Demanda'!F$95*F$110))</f>
        <v>7.2162456992118026E-2</v>
      </c>
      <c r="G128" s="439">
        <f>('C. Demanda'!G94*G109)/(('C. Demanda'!G$87*G$102)+('C. Demanda'!G$88*G$103)+('C. Demanda'!G$89*G$104)+('C. Demanda'!G$90*G$105)+('C. Demanda'!G$91*G$106)+('C. Demanda'!G$92*G$107)+('C. Demanda'!G$93*G$108)+('C. Demanda'!G$94*G$109)+('C. Demanda'!G$95*G$110))</f>
        <v>7.0836394652661866E-2</v>
      </c>
      <c r="H128" s="437">
        <f>('C. Demanda'!H94*H109)/(('C. Demanda'!H$87*H$102)+('C. Demanda'!H$88*H$103)+('C. Demanda'!H$89*H$104)+('C. Demanda'!H$90*H$105)+('C. Demanda'!H$91*H$106)+('C. Demanda'!H$92*H$107)+('C. Demanda'!H$93*H$108)+('C. Demanda'!H$94*H$109)+('C. Demanda'!H$95*H$110))</f>
        <v>7.4201561129990157E-2</v>
      </c>
      <c r="I128" s="437">
        <f t="shared" si="24"/>
        <v>7.4201561129990171E-2</v>
      </c>
      <c r="J128" s="437">
        <f>('C. Demanda'!J94*J109)/(('C. Demanda'!J$87*J$102)+('C. Demanda'!J$88*J$103)+('C. Demanda'!J$89*J$104)+('C. Demanda'!J$90*J$105)+('C. Demanda'!J$91*J$106)+('C. Demanda'!J$92*J$107)+('C. Demanda'!J$93*J$108)+('C. Demanda'!J$94*J$109)+('C. Demanda'!J$95*J$110))</f>
        <v>7.4201561129990157E-2</v>
      </c>
    </row>
    <row r="129" spans="2:10" x14ac:dyDescent="0.2">
      <c r="B129" s="259" t="s">
        <v>256</v>
      </c>
      <c r="C129" s="439">
        <f>('C. Demanda'!C95*C110)/(('C. Demanda'!C$87*C$102)+('C. Demanda'!C$88*C$103)+('C. Demanda'!C$89*C$104)+('C. Demanda'!C$90*C$105)+('C. Demanda'!C$91*C$106)+('C. Demanda'!C$92*C$107)+('C. Demanda'!C$93*C$108)+('C. Demanda'!C$94*C$109)+('C. Demanda'!C$95*C$110))</f>
        <v>1.2786938316351469E-7</v>
      </c>
      <c r="D129" s="439">
        <f>('C. Demanda'!D95*D110)/(('C. Demanda'!D$87*D$102)+('C. Demanda'!D$88*D$103)+('C. Demanda'!D$89*D$104)+('C. Demanda'!D$90*D$105)+('C. Demanda'!D$91*D$106)+('C. Demanda'!D$92*D$107)+('C. Demanda'!D$93*D$108)+('C. Demanda'!D$94*D$109)+('C. Demanda'!D$95*D$110))</f>
        <v>1.2778660095247556E-7</v>
      </c>
      <c r="E129" s="439">
        <f>('C. Demanda'!E95*E110)/(('C. Demanda'!E$87*E$102)+('C. Demanda'!E$88*E$103)+('C. Demanda'!E$89*E$104)+('C. Demanda'!E$90*E$105)+('C. Demanda'!E$91*E$106)+('C. Demanda'!E$92*E$107)+('C. Demanda'!E$93*E$108)+('C. Demanda'!E$94*E$109)+('C. Demanda'!E$95*E$110))</f>
        <v>1.2500560196266873E-7</v>
      </c>
      <c r="F129" s="439">
        <f>('C. Demanda'!F95*F110)/(('C. Demanda'!F$87*F$102)+('C. Demanda'!F$88*F$103)+('C. Demanda'!F$89*F$104)+('C. Demanda'!F$90*F$105)+('C. Demanda'!F$91*F$106)+('C. Demanda'!F$92*F$107)+('C. Demanda'!F$93*F$108)+('C. Demanda'!F$94*F$109)+('C. Demanda'!F$95*F$110))</f>
        <v>1.2234279435743583E-7</v>
      </c>
      <c r="G129" s="439">
        <f>('C. Demanda'!G95*G110)/(('C. Demanda'!G$87*G$102)+('C. Demanda'!G$88*G$103)+('C. Demanda'!G$89*G$104)+('C. Demanda'!G$90*G$105)+('C. Demanda'!G$91*G$106)+('C. Demanda'!G$92*G$107)+('C. Demanda'!G$93*G$108)+('C. Demanda'!G$94*G$109)+('C. Demanda'!G$95*G$110))</f>
        <v>1.2009461464095324E-7</v>
      </c>
      <c r="H129" s="437">
        <f>('C. Demanda'!H95*H110)/(('C. Demanda'!H$87*H$102)+('C. Demanda'!H$88*H$103)+('C. Demanda'!H$89*H$104)+('C. Demanda'!H$90*H$105)+('C. Demanda'!H$91*H$106)+('C. Demanda'!H$92*H$107)+('C. Demanda'!H$93*H$108)+('C. Demanda'!H$94*H$109)+('C. Demanda'!H$95*H$110))</f>
        <v>1.2507360310174373E-7</v>
      </c>
      <c r="I129" s="437">
        <f t="shared" si="24"/>
        <v>1.2507360310174376E-7</v>
      </c>
      <c r="J129" s="437">
        <f>('C. Demanda'!J95*J110)/(('C. Demanda'!J$87*J$102)+('C. Demanda'!J$88*J$103)+('C. Demanda'!J$89*J$104)+('C. Demanda'!J$90*J$105)+('C. Demanda'!J$91*J$106)+('C. Demanda'!J$92*J$107)+('C. Demanda'!J$93*J$108)+('C. Demanda'!J$94*J$109)+('C. Demanda'!J$95*J$110))</f>
        <v>1.2507360310174373E-7</v>
      </c>
    </row>
    <row r="131" spans="2:10" x14ac:dyDescent="0.2">
      <c r="B131" s="94" t="s">
        <v>381</v>
      </c>
    </row>
    <row r="132" spans="2:10" ht="13.5" thickBot="1" x14ac:dyDescent="0.25">
      <c r="B132" s="429"/>
      <c r="C132" s="430">
        <v>2020</v>
      </c>
      <c r="D132" s="430">
        <v>2021</v>
      </c>
      <c r="E132" s="430">
        <v>2022</v>
      </c>
      <c r="F132" s="430">
        <v>2023</v>
      </c>
      <c r="G132" s="431">
        <v>2024</v>
      </c>
      <c r="H132" s="432" t="s">
        <v>41</v>
      </c>
      <c r="I132" s="440" t="s">
        <v>3</v>
      </c>
      <c r="J132" s="432" t="s">
        <v>238</v>
      </c>
    </row>
    <row r="133" spans="2:10" ht="13.5" thickBot="1" x14ac:dyDescent="0.25">
      <c r="B133" s="441" t="s">
        <v>1</v>
      </c>
      <c r="C133" s="443">
        <f>'FC E-S'!C12</f>
        <v>1017168.7984476764</v>
      </c>
      <c r="D133" s="443">
        <f>'FC E-S'!D12</f>
        <v>1014389.6487251415</v>
      </c>
      <c r="E133" s="443">
        <f>'FC E-S'!E12</f>
        <v>1014389.6487251415</v>
      </c>
      <c r="F133" s="443">
        <f>'FC E-S'!F12</f>
        <v>1014389.6487251415</v>
      </c>
      <c r="G133" s="443">
        <f>'FC E-S'!G12</f>
        <v>1017168.7984476764</v>
      </c>
      <c r="H133" s="444">
        <f>SUM(C133:G133)</f>
        <v>5077506.5430707773</v>
      </c>
      <c r="I133" s="254">
        <f>SUM(I134:I135)</f>
        <v>1</v>
      </c>
      <c r="J133" s="445">
        <f>AVERAGE(C133:G133)</f>
        <v>1015501.3086141555</v>
      </c>
    </row>
    <row r="134" spans="2:10" ht="15" thickBot="1" x14ac:dyDescent="0.25">
      <c r="B134" s="442" t="s">
        <v>279</v>
      </c>
      <c r="C134" s="446">
        <f>C$133*'Cálculo Tarifa CWD'!$I134</f>
        <v>508584.39922383818</v>
      </c>
      <c r="D134" s="446">
        <f>D$133*'Cálculo Tarifa CWD'!$I134</f>
        <v>507194.82436257077</v>
      </c>
      <c r="E134" s="446">
        <f>E$133*'Cálculo Tarifa CWD'!$I134</f>
        <v>507194.82436257077</v>
      </c>
      <c r="F134" s="446">
        <f>F$133*'Cálculo Tarifa CWD'!$I134</f>
        <v>507194.82436257077</v>
      </c>
      <c r="G134" s="446">
        <f>G$133*'Cálculo Tarifa CWD'!$I134</f>
        <v>508584.39922383818</v>
      </c>
      <c r="H134" s="444">
        <f>SUM(C134:G134)</f>
        <v>2538753.2715353887</v>
      </c>
      <c r="I134" s="447">
        <v>0.5</v>
      </c>
      <c r="J134" s="445">
        <f>AVERAGE(C134:G134)</f>
        <v>507750.65430707776</v>
      </c>
    </row>
    <row r="135" spans="2:10" ht="14.25" x14ac:dyDescent="0.2">
      <c r="B135" s="442" t="s">
        <v>280</v>
      </c>
      <c r="C135" s="446">
        <f>C$133*'Cálculo Tarifa CWD'!$I135</f>
        <v>508584.39922383818</v>
      </c>
      <c r="D135" s="446">
        <f>D$133*'Cálculo Tarifa CWD'!$I135</f>
        <v>507194.82436257077</v>
      </c>
      <c r="E135" s="446">
        <f>E$133*'Cálculo Tarifa CWD'!$I135</f>
        <v>507194.82436257077</v>
      </c>
      <c r="F135" s="446">
        <f>F$133*'Cálculo Tarifa CWD'!$I135</f>
        <v>507194.82436257077</v>
      </c>
      <c r="G135" s="446">
        <f>G$133*'Cálculo Tarifa CWD'!$I135</f>
        <v>508584.39922383818</v>
      </c>
      <c r="H135" s="444">
        <f>SUM(C135:G135)</f>
        <v>2538753.2715353887</v>
      </c>
      <c r="I135" s="470">
        <f>1-I134</f>
        <v>0.5</v>
      </c>
      <c r="J135" s="445">
        <f>AVERAGE(C135:G135)</f>
        <v>507750.65430707776</v>
      </c>
    </row>
    <row r="137" spans="2:10" ht="14.25" x14ac:dyDescent="0.2">
      <c r="B137" s="94" t="s">
        <v>273</v>
      </c>
    </row>
    <row r="138" spans="2:10" x14ac:dyDescent="0.2">
      <c r="B138" s="429"/>
      <c r="C138" s="430">
        <v>2020</v>
      </c>
      <c r="D138" s="430">
        <v>2021</v>
      </c>
      <c r="E138" s="430">
        <v>2022</v>
      </c>
      <c r="F138" s="430">
        <v>2023</v>
      </c>
      <c r="G138" s="431">
        <v>2024</v>
      </c>
      <c r="H138" s="432" t="s">
        <v>41</v>
      </c>
      <c r="I138" s="432" t="s">
        <v>3</v>
      </c>
      <c r="J138" s="432" t="s">
        <v>238</v>
      </c>
    </row>
    <row r="139" spans="2:10" x14ac:dyDescent="0.2">
      <c r="B139" s="441"/>
      <c r="C139" s="443">
        <f>SUM(C140:C141)</f>
        <v>508584.39922383818</v>
      </c>
      <c r="D139" s="443">
        <f>SUM(D140:D141)</f>
        <v>507194.82436257077</v>
      </c>
      <c r="E139" s="443">
        <f>SUM(E140:E141)</f>
        <v>507194.82436257077</v>
      </c>
      <c r="F139" s="443">
        <f>SUM(F140:F141)</f>
        <v>507194.82436257077</v>
      </c>
      <c r="G139" s="443">
        <f>SUM(G140:G141)</f>
        <v>508584.39922383823</v>
      </c>
      <c r="H139" s="436">
        <f>SUM(C139:G139)</f>
        <v>2538753.2715353891</v>
      </c>
      <c r="I139" s="437">
        <f>H139/H139</f>
        <v>1</v>
      </c>
      <c r="J139" s="279">
        <f>AVERAGE(C139:G139)</f>
        <v>507750.65430707781</v>
      </c>
    </row>
    <row r="140" spans="2:10" x14ac:dyDescent="0.2">
      <c r="B140" s="442" t="s">
        <v>260</v>
      </c>
      <c r="C140" s="446">
        <f t="shared" ref="C140:G141" si="25">C$134*C115</f>
        <v>508584.39922383818</v>
      </c>
      <c r="D140" s="446">
        <f t="shared" si="25"/>
        <v>507194.82436257077</v>
      </c>
      <c r="E140" s="446">
        <f t="shared" si="25"/>
        <v>502209.5857757905</v>
      </c>
      <c r="F140" s="446">
        <f>F$134*F115</f>
        <v>502329.97253582219</v>
      </c>
      <c r="G140" s="446">
        <f t="shared" si="25"/>
        <v>503807.29606909404</v>
      </c>
      <c r="H140" s="436">
        <f>SUM(C140:G140)</f>
        <v>2524126.0779671157</v>
      </c>
      <c r="I140" s="437">
        <f>H140/H139</f>
        <v>0.99423843437947512</v>
      </c>
      <c r="J140" s="279">
        <f>AVERAGE(C140:G140)</f>
        <v>504825.21559342311</v>
      </c>
    </row>
    <row r="141" spans="2:10" x14ac:dyDescent="0.2">
      <c r="B141" s="442" t="s">
        <v>185</v>
      </c>
      <c r="C141" s="446">
        <f t="shared" si="25"/>
        <v>0</v>
      </c>
      <c r="D141" s="446">
        <f t="shared" si="25"/>
        <v>0</v>
      </c>
      <c r="E141" s="446">
        <f t="shared" si="25"/>
        <v>4985.2385867802541</v>
      </c>
      <c r="F141" s="446">
        <f t="shared" si="25"/>
        <v>4864.8518267485924</v>
      </c>
      <c r="G141" s="446">
        <f t="shared" si="25"/>
        <v>4777.1031547442253</v>
      </c>
      <c r="H141" s="436">
        <f>SUM(C141:G141)</f>
        <v>14627.193568273073</v>
      </c>
      <c r="I141" s="437">
        <f>H141/H139</f>
        <v>5.7615656205247659E-3</v>
      </c>
      <c r="J141" s="279">
        <f>AVERAGE(C141:G141)</f>
        <v>2925.4387136546147</v>
      </c>
    </row>
    <row r="142" spans="2:10" x14ac:dyDescent="0.2">
      <c r="B142" s="132"/>
      <c r="C142" s="132"/>
      <c r="D142" s="132"/>
      <c r="E142" s="132"/>
      <c r="F142" s="132"/>
      <c r="G142" s="132"/>
      <c r="H142" s="132"/>
      <c r="I142" s="132"/>
      <c r="J142" s="132"/>
    </row>
    <row r="143" spans="2:10" ht="14.25" x14ac:dyDescent="0.2">
      <c r="B143" s="94" t="s">
        <v>274</v>
      </c>
      <c r="C143" s="132"/>
      <c r="D143" s="132"/>
      <c r="E143" s="132"/>
      <c r="F143" s="132"/>
      <c r="G143" s="132"/>
      <c r="H143" s="132"/>
      <c r="I143" s="132"/>
      <c r="J143" s="132"/>
    </row>
    <row r="144" spans="2:10" x14ac:dyDescent="0.2">
      <c r="B144" s="429"/>
      <c r="C144" s="430">
        <v>2020</v>
      </c>
      <c r="D144" s="430">
        <v>2021</v>
      </c>
      <c r="E144" s="430">
        <v>2022</v>
      </c>
      <c r="F144" s="430">
        <v>2023</v>
      </c>
      <c r="G144" s="431">
        <v>2024</v>
      </c>
      <c r="H144" s="432" t="s">
        <v>41</v>
      </c>
      <c r="I144" s="432" t="s">
        <v>3</v>
      </c>
      <c r="J144" s="432" t="s">
        <v>238</v>
      </c>
    </row>
    <row r="145" spans="2:10" x14ac:dyDescent="0.2">
      <c r="B145" s="448"/>
      <c r="C145" s="449">
        <f>SUM(C146:C154)</f>
        <v>508584.39922383818</v>
      </c>
      <c r="D145" s="449">
        <f>SUM(D146:D154)</f>
        <v>507194.82436257077</v>
      </c>
      <c r="E145" s="449">
        <f>SUM(E146:E154)</f>
        <v>507194.82436257094</v>
      </c>
      <c r="F145" s="449">
        <f>SUM(F146:F154)</f>
        <v>507194.82436257077</v>
      </c>
      <c r="G145" s="449">
        <f>SUM(G146:G154)</f>
        <v>508584.39922383823</v>
      </c>
      <c r="H145" s="436">
        <f t="shared" ref="H145:H154" si="26">SUM(C145:G145)</f>
        <v>2538753.2715353891</v>
      </c>
      <c r="I145" s="437">
        <f t="shared" ref="I145:I154" si="27">+H145/$H$145</f>
        <v>1</v>
      </c>
      <c r="J145" s="279">
        <f t="shared" ref="J145:J154" si="28">AVERAGE(C145:G145)</f>
        <v>507750.65430707781</v>
      </c>
    </row>
    <row r="146" spans="2:10" x14ac:dyDescent="0.2">
      <c r="B146" s="448" t="s">
        <v>248</v>
      </c>
      <c r="C146" s="450">
        <f t="shared" ref="C146:G154" si="29">C$135*C121</f>
        <v>1168.7799305558544</v>
      </c>
      <c r="D146" s="450">
        <f t="shared" si="29"/>
        <v>1296.3452301563818</v>
      </c>
      <c r="E146" s="450">
        <f t="shared" si="29"/>
        <v>34253.028677172362</v>
      </c>
      <c r="F146" s="450">
        <f t="shared" si="29"/>
        <v>33588.853842209064</v>
      </c>
      <c r="G146" s="450">
        <f t="shared" si="29"/>
        <v>33126.628198577986</v>
      </c>
      <c r="H146" s="436">
        <f t="shared" si="26"/>
        <v>103433.63587867166</v>
      </c>
      <c r="I146" s="437">
        <f t="shared" si="27"/>
        <v>4.0741901561831169E-2</v>
      </c>
      <c r="J146" s="279">
        <f t="shared" si="28"/>
        <v>20686.727175734333</v>
      </c>
    </row>
    <row r="147" spans="2:10" x14ac:dyDescent="0.2">
      <c r="B147" s="448" t="s">
        <v>249</v>
      </c>
      <c r="C147" s="450">
        <f t="shared" si="29"/>
        <v>21183.820884665467</v>
      </c>
      <c r="D147" s="450">
        <f t="shared" si="29"/>
        <v>21969.557560172063</v>
      </c>
      <c r="E147" s="450">
        <f t="shared" si="29"/>
        <v>21327.613672463962</v>
      </c>
      <c r="F147" s="450">
        <f t="shared" si="29"/>
        <v>21667.713319494163</v>
      </c>
      <c r="G147" s="450">
        <f t="shared" si="29"/>
        <v>22112.593610971006</v>
      </c>
      <c r="H147" s="436">
        <f t="shared" si="26"/>
        <v>108261.29904776666</v>
      </c>
      <c r="I147" s="437">
        <f t="shared" si="27"/>
        <v>4.2643489724502576E-2</v>
      </c>
      <c r="J147" s="279">
        <f t="shared" si="28"/>
        <v>21652.259809553332</v>
      </c>
    </row>
    <row r="148" spans="2:10" x14ac:dyDescent="0.2">
      <c r="B148" s="448" t="s">
        <v>250</v>
      </c>
      <c r="C148" s="450">
        <f t="shared" si="29"/>
        <v>350448.62248762016</v>
      </c>
      <c r="D148" s="450">
        <f t="shared" si="29"/>
        <v>344685.89207151678</v>
      </c>
      <c r="E148" s="450">
        <f t="shared" si="29"/>
        <v>318050.19992281793</v>
      </c>
      <c r="F148" s="450">
        <f t="shared" si="29"/>
        <v>317499.39572599984</v>
      </c>
      <c r="G148" s="450">
        <f t="shared" si="29"/>
        <v>318667.53625499242</v>
      </c>
      <c r="H148" s="436">
        <f t="shared" si="26"/>
        <v>1649351.6464629474</v>
      </c>
      <c r="I148" s="437">
        <f t="shared" si="27"/>
        <v>0.64966992458682338</v>
      </c>
      <c r="J148" s="279">
        <f t="shared" si="28"/>
        <v>329870.32929258945</v>
      </c>
    </row>
    <row r="149" spans="2:10" x14ac:dyDescent="0.2">
      <c r="B149" s="448" t="s">
        <v>251</v>
      </c>
      <c r="C149" s="450">
        <f t="shared" si="29"/>
        <v>3.4564554455672573E-2</v>
      </c>
      <c r="D149" s="450">
        <f t="shared" si="29"/>
        <v>3.4447799944613951E-2</v>
      </c>
      <c r="E149" s="450">
        <f t="shared" si="29"/>
        <v>3.0156440725620383E-2</v>
      </c>
      <c r="F149" s="450">
        <f t="shared" si="29"/>
        <v>2.9514063116535975E-2</v>
      </c>
      <c r="G149" s="450">
        <f t="shared" si="29"/>
        <v>2.9051085185244054E-2</v>
      </c>
      <c r="H149" s="436">
        <f t="shared" si="26"/>
        <v>0.15773394342768693</v>
      </c>
      <c r="I149" s="437">
        <f t="shared" si="27"/>
        <v>6.2130473723542449E-8</v>
      </c>
      <c r="J149" s="279">
        <f t="shared" si="28"/>
        <v>3.1546788685537383E-2</v>
      </c>
    </row>
    <row r="150" spans="2:10" x14ac:dyDescent="0.2">
      <c r="B150" s="448" t="s">
        <v>252</v>
      </c>
      <c r="C150" s="450">
        <f t="shared" si="29"/>
        <v>42726.777541996147</v>
      </c>
      <c r="D150" s="450">
        <f t="shared" si="29"/>
        <v>44311.571726375769</v>
      </c>
      <c r="E150" s="450">
        <f t="shared" si="29"/>
        <v>40832.900837704583</v>
      </c>
      <c r="F150" s="450">
        <f t="shared" si="29"/>
        <v>41484.040499900017</v>
      </c>
      <c r="G150" s="450">
        <f t="shared" si="29"/>
        <v>40928.523183691359</v>
      </c>
      <c r="H150" s="436">
        <f t="shared" si="26"/>
        <v>210283.81378966785</v>
      </c>
      <c r="I150" s="437">
        <f t="shared" si="27"/>
        <v>8.2829558960052965E-2</v>
      </c>
      <c r="J150" s="279">
        <f t="shared" si="28"/>
        <v>42056.762757933568</v>
      </c>
    </row>
    <row r="151" spans="2:10" x14ac:dyDescent="0.2">
      <c r="B151" s="448" t="s">
        <v>253</v>
      </c>
      <c r="C151" s="450">
        <f t="shared" si="29"/>
        <v>4.6585959343710362E-2</v>
      </c>
      <c r="D151" s="450">
        <f t="shared" si="29"/>
        <v>4.6428598110764441E-2</v>
      </c>
      <c r="E151" s="450">
        <f t="shared" si="29"/>
        <v>4.3273909535475857E-2</v>
      </c>
      <c r="F151" s="450">
        <f t="shared" si="29"/>
        <v>4.2352110083211013E-2</v>
      </c>
      <c r="G151" s="450">
        <f t="shared" si="29"/>
        <v>4.1687745700890955E-2</v>
      </c>
      <c r="H151" s="436">
        <f t="shared" si="26"/>
        <v>0.22032832277405265</v>
      </c>
      <c r="I151" s="437">
        <f t="shared" si="27"/>
        <v>8.6786032043516507E-8</v>
      </c>
      <c r="J151" s="279">
        <f t="shared" si="28"/>
        <v>4.4065664554810528E-2</v>
      </c>
    </row>
    <row r="152" spans="2:10" x14ac:dyDescent="0.2">
      <c r="B152" s="448" t="s">
        <v>254</v>
      </c>
      <c r="C152" s="450">
        <f t="shared" si="29"/>
        <v>54100.058276435506</v>
      </c>
      <c r="D152" s="450">
        <f t="shared" si="29"/>
        <v>56106.707056139152</v>
      </c>
      <c r="E152" s="450">
        <f t="shared" si="29"/>
        <v>55333.90648474473</v>
      </c>
      <c r="F152" s="450">
        <f t="shared" si="29"/>
        <v>56354.262357473555</v>
      </c>
      <c r="G152" s="450">
        <f t="shared" si="29"/>
        <v>57722.700940920367</v>
      </c>
      <c r="H152" s="436">
        <f t="shared" si="26"/>
        <v>279617.63511571335</v>
      </c>
      <c r="I152" s="437">
        <f t="shared" si="27"/>
        <v>0.11013974388563012</v>
      </c>
      <c r="J152" s="279">
        <f t="shared" si="28"/>
        <v>55923.527023142669</v>
      </c>
    </row>
    <row r="153" spans="2:10" x14ac:dyDescent="0.2">
      <c r="B153" s="448" t="s">
        <v>255</v>
      </c>
      <c r="C153" s="450">
        <f t="shared" si="29"/>
        <v>38956.193919677833</v>
      </c>
      <c r="D153" s="450">
        <f t="shared" si="29"/>
        <v>38824.605029109909</v>
      </c>
      <c r="E153" s="450">
        <f t="shared" si="29"/>
        <v>37397.037935122644</v>
      </c>
      <c r="F153" s="450">
        <f t="shared" si="29"/>
        <v>36600.424699688869</v>
      </c>
      <c r="G153" s="450">
        <f t="shared" si="29"/>
        <v>36026.285217606739</v>
      </c>
      <c r="H153" s="436">
        <f t="shared" si="26"/>
        <v>187804.54680120602</v>
      </c>
      <c r="I153" s="437">
        <f t="shared" si="27"/>
        <v>7.3975107745553173E-2</v>
      </c>
      <c r="J153" s="279">
        <f t="shared" si="28"/>
        <v>37560.909360241203</v>
      </c>
    </row>
    <row r="154" spans="2:10" x14ac:dyDescent="0.2">
      <c r="B154" s="448" t="s">
        <v>256</v>
      </c>
      <c r="C154" s="450">
        <f t="shared" si="29"/>
        <v>6.5032373415338879E-2</v>
      </c>
      <c r="D154" s="450">
        <f t="shared" si="29"/>
        <v>6.4812702625980767E-2</v>
      </c>
      <c r="E154" s="450">
        <f t="shared" si="29"/>
        <v>6.3402194331793199E-2</v>
      </c>
      <c r="F154" s="450">
        <f t="shared" si="29"/>
        <v>6.2051632096145781E-2</v>
      </c>
      <c r="G154" s="450">
        <f t="shared" si="29"/>
        <v>6.1078247437187566E-2</v>
      </c>
      <c r="H154" s="436">
        <f t="shared" si="26"/>
        <v>0.31637714990644616</v>
      </c>
      <c r="I154" s="437">
        <f t="shared" si="27"/>
        <v>1.2461910082152543E-7</v>
      </c>
      <c r="J154" s="279">
        <f t="shared" si="28"/>
        <v>6.3275429981289238E-2</v>
      </c>
    </row>
    <row r="156" spans="2:10" ht="14.25" x14ac:dyDescent="0.2">
      <c r="B156" s="94" t="s">
        <v>325</v>
      </c>
    </row>
    <row r="157" spans="2:10" x14ac:dyDescent="0.2">
      <c r="B157" s="433"/>
      <c r="C157" s="261">
        <v>2020</v>
      </c>
      <c r="D157" s="261">
        <v>2021</v>
      </c>
      <c r="E157" s="261">
        <v>2022</v>
      </c>
      <c r="F157" s="261">
        <v>2023</v>
      </c>
      <c r="G157" s="262">
        <v>2024</v>
      </c>
      <c r="H157" s="203" t="s">
        <v>41</v>
      </c>
      <c r="I157" s="203" t="s">
        <v>3</v>
      </c>
      <c r="J157" s="203" t="s">
        <v>238</v>
      </c>
    </row>
    <row r="158" spans="2:10" x14ac:dyDescent="0.2">
      <c r="B158" s="258" t="s">
        <v>290</v>
      </c>
      <c r="C158" s="452"/>
      <c r="D158" s="452"/>
      <c r="E158" s="452"/>
      <c r="F158" s="452"/>
      <c r="G158" s="452"/>
      <c r="H158" s="453">
        <f>IF('C. Demanda'!H100&gt;0,($C$177*H139*1000)/'C. Demanda'!H100,0)</f>
        <v>0</v>
      </c>
      <c r="I158" s="453"/>
      <c r="J158" s="453">
        <f>IF('C. Demanda'!J100&gt;0,($C$177*J139*1000)/'C. Demanda'!J100,0)</f>
        <v>0</v>
      </c>
    </row>
    <row r="159" spans="2:10" x14ac:dyDescent="0.2">
      <c r="B159" s="259" t="s">
        <v>260</v>
      </c>
      <c r="C159" s="454">
        <f>IF('C. Demanda'!C101&gt;0,($C$177*C140*1000)/'C. Demanda'!C101,0)</f>
        <v>0</v>
      </c>
      <c r="D159" s="454">
        <f>IF('C. Demanda'!D101&gt;0,($C$177*D140*1000)/'C. Demanda'!D101,0)</f>
        <v>0</v>
      </c>
      <c r="E159" s="454">
        <f>IF('C. Demanda'!E101&gt;0,($C$177*E140*1000)/'C. Demanda'!E101,0)</f>
        <v>0</v>
      </c>
      <c r="F159" s="454">
        <f>IF('C. Demanda'!F101&gt;0,($C$177*F140*1000)/'C. Demanda'!F101,0)</f>
        <v>0</v>
      </c>
      <c r="G159" s="454">
        <f>IF('C. Demanda'!G101&gt;0,($C$177*G140*1000)/'C. Demanda'!G101,0)</f>
        <v>0</v>
      </c>
      <c r="H159" s="453">
        <f>IF('C. Demanda'!H101&gt;0,($C$177*H140*1000)/'C. Demanda'!H101,0)</f>
        <v>0</v>
      </c>
      <c r="I159" s="453"/>
      <c r="J159" s="453">
        <f>IF('C. Demanda'!J101&gt;0,($C$177*J140*1000)/'C. Demanda'!J101,0)</f>
        <v>0</v>
      </c>
    </row>
    <row r="160" spans="2:10" x14ac:dyDescent="0.2">
      <c r="B160" s="259" t="s">
        <v>185</v>
      </c>
      <c r="C160" s="454">
        <f>IF('C. Demanda'!C102&gt;0,($C$177*C141*1000)/'C. Demanda'!C102,0)</f>
        <v>0</v>
      </c>
      <c r="D160" s="454">
        <f>IF('C. Demanda'!D102&gt;0,($C$177*D141*1000)/'C. Demanda'!D102,0)</f>
        <v>0</v>
      </c>
      <c r="E160" s="454">
        <f>IF('C. Demanda'!E102&gt;0,($C$177*E141*1000)/'C. Demanda'!E102,0)</f>
        <v>0</v>
      </c>
      <c r="F160" s="454">
        <f>IF('C. Demanda'!F102&gt;0,($C$177*F141*1000)/'C. Demanda'!F102,0)</f>
        <v>0</v>
      </c>
      <c r="G160" s="454">
        <f>IF('C. Demanda'!G102&gt;0,($C$177*G141*1000)/'C. Demanda'!G102,0)</f>
        <v>0</v>
      </c>
      <c r="H160" s="453">
        <f>IF('C. Demanda'!H102&gt;0,($C$177*H141*1000)/'C. Demanda'!H102,0)</f>
        <v>0</v>
      </c>
      <c r="I160" s="453"/>
      <c r="J160" s="453">
        <f>IF('C. Demanda'!J102&gt;0,($C$177*J141*1000)/'C. Demanda'!J102,0)</f>
        <v>0</v>
      </c>
    </row>
    <row r="161" spans="2:10" x14ac:dyDescent="0.2">
      <c r="B161" s="132"/>
      <c r="C161" s="132"/>
      <c r="D161" s="132"/>
      <c r="E161" s="132"/>
      <c r="F161" s="132"/>
      <c r="G161" s="132"/>
      <c r="H161" s="132"/>
      <c r="I161" s="132"/>
    </row>
    <row r="162" spans="2:10" ht="14.25" x14ac:dyDescent="0.2">
      <c r="B162" s="94" t="s">
        <v>326</v>
      </c>
      <c r="C162" s="132"/>
      <c r="D162" s="132"/>
      <c r="E162" s="132"/>
      <c r="F162" s="132"/>
      <c r="G162" s="132"/>
      <c r="H162" s="132"/>
      <c r="I162" s="132"/>
    </row>
    <row r="163" spans="2:10" x14ac:dyDescent="0.2">
      <c r="B163" s="433"/>
      <c r="C163" s="261">
        <v>2020</v>
      </c>
      <c r="D163" s="261">
        <v>2021</v>
      </c>
      <c r="E163" s="261">
        <v>2022</v>
      </c>
      <c r="F163" s="261">
        <v>2023</v>
      </c>
      <c r="G163" s="262">
        <v>2024</v>
      </c>
      <c r="H163" s="203" t="s">
        <v>41</v>
      </c>
      <c r="I163" s="203" t="s">
        <v>3</v>
      </c>
      <c r="J163" s="203" t="s">
        <v>238</v>
      </c>
    </row>
    <row r="164" spans="2:10" x14ac:dyDescent="0.2">
      <c r="B164" s="258" t="s">
        <v>289</v>
      </c>
      <c r="C164" s="452"/>
      <c r="D164" s="452"/>
      <c r="E164" s="452"/>
      <c r="F164" s="452"/>
      <c r="G164" s="452"/>
      <c r="H164" s="453">
        <f>IF('C. Demanda'!H106&gt;0,($C$183*H145*1000)/'C. Demanda'!H106,0)</f>
        <v>0</v>
      </c>
      <c r="I164" s="453"/>
      <c r="J164" s="453">
        <f>IF('C. Demanda'!J106&gt;0,($C$183*J145*1000)/'C. Demanda'!J106,0)</f>
        <v>0</v>
      </c>
    </row>
    <row r="165" spans="2:10" x14ac:dyDescent="0.2">
      <c r="B165" s="260" t="s">
        <v>248</v>
      </c>
      <c r="C165" s="454">
        <f>IF('C. Demanda'!C107&gt;0,($C$183*C146*1000)/'C. Demanda'!C107,0)</f>
        <v>0</v>
      </c>
      <c r="D165" s="454">
        <f>IF('C. Demanda'!D107&gt;0,($C$183*D146*1000)/'C. Demanda'!D107,0)</f>
        <v>0</v>
      </c>
      <c r="E165" s="454">
        <f>IF('C. Demanda'!E107&gt;0,($C$183*E146*1000)/'C. Demanda'!E107,0)</f>
        <v>0</v>
      </c>
      <c r="F165" s="454">
        <f>IF('C. Demanda'!F107&gt;0,($C$183*F146*1000)/'C. Demanda'!F107,0)</f>
        <v>0</v>
      </c>
      <c r="G165" s="454">
        <f>IF('C. Demanda'!G107&gt;0,($C$183*G146*1000)/'C. Demanda'!G107,0)</f>
        <v>0</v>
      </c>
      <c r="H165" s="453">
        <f>IF('C. Demanda'!H107&gt;0,($C$183*H146*1000)/'C. Demanda'!H107,0)</f>
        <v>0</v>
      </c>
      <c r="I165" s="453"/>
      <c r="J165" s="453">
        <f>IF('C. Demanda'!J107&gt;0,($C$183*J146*1000)/'C. Demanda'!J107,0)</f>
        <v>0</v>
      </c>
    </row>
    <row r="166" spans="2:10" x14ac:dyDescent="0.2">
      <c r="B166" s="259" t="s">
        <v>249</v>
      </c>
      <c r="C166" s="454">
        <f>IF('C. Demanda'!C108&gt;0,($C$183*C147*1000)/'C. Demanda'!C108,0)</f>
        <v>0</v>
      </c>
      <c r="D166" s="454">
        <f>IF('C. Demanda'!D108&gt;0,($C$183*D147*1000)/'C. Demanda'!D108,0)</f>
        <v>0</v>
      </c>
      <c r="E166" s="454">
        <f>IF('C. Demanda'!E108&gt;0,($C$183*E147*1000)/'C. Demanda'!E108,0)</f>
        <v>0</v>
      </c>
      <c r="F166" s="454">
        <f>IF('C. Demanda'!F108&gt;0,($C$183*F147*1000)/'C. Demanda'!F108,0)</f>
        <v>0</v>
      </c>
      <c r="G166" s="454">
        <f>IF('C. Demanda'!G108&gt;0,($C$183*G147*1000)/'C. Demanda'!G108,0)</f>
        <v>0</v>
      </c>
      <c r="H166" s="453">
        <f>IF('C. Demanda'!H108&gt;0,($C$183*H147*1000)/'C. Demanda'!H108,0)</f>
        <v>0</v>
      </c>
      <c r="I166" s="453"/>
      <c r="J166" s="453">
        <f>IF('C. Demanda'!J108&gt;0,($C$183*J147*1000)/'C. Demanda'!J108,0)</f>
        <v>0</v>
      </c>
    </row>
    <row r="167" spans="2:10" x14ac:dyDescent="0.2">
      <c r="B167" s="259" t="s">
        <v>250</v>
      </c>
      <c r="C167" s="454">
        <f>IF('C. Demanda'!C109&gt;0,($C$183*C148*1000)/'C. Demanda'!C109,0)</f>
        <v>0</v>
      </c>
      <c r="D167" s="454">
        <f>IF('C. Demanda'!D109&gt;0,($C$183*D148*1000)/'C. Demanda'!D109,0)</f>
        <v>0</v>
      </c>
      <c r="E167" s="454">
        <f>IF('C. Demanda'!E109&gt;0,($C$183*E148*1000)/'C. Demanda'!E109,0)</f>
        <v>0</v>
      </c>
      <c r="F167" s="454">
        <f>IF('C. Demanda'!F109&gt;0,($C$183*F148*1000)/'C. Demanda'!F109,0)</f>
        <v>0</v>
      </c>
      <c r="G167" s="454">
        <f>IF('C. Demanda'!G109&gt;0,($C$183*G148*1000)/'C. Demanda'!G109,0)</f>
        <v>0</v>
      </c>
      <c r="H167" s="453">
        <f>IF('C. Demanda'!H109&gt;0,($C$183*H148*1000)/'C. Demanda'!H109,0)</f>
        <v>0</v>
      </c>
      <c r="I167" s="453"/>
      <c r="J167" s="453">
        <f>IF('C. Demanda'!J109&gt;0,($C$183*J148*1000)/'C. Demanda'!J109,0)</f>
        <v>0</v>
      </c>
    </row>
    <row r="168" spans="2:10" x14ac:dyDescent="0.2">
      <c r="B168" s="259" t="s">
        <v>251</v>
      </c>
      <c r="C168" s="454">
        <f>IF('C. Demanda'!C110&gt;0,($C$183*C149*1000)/'C. Demanda'!C110,0)</f>
        <v>0</v>
      </c>
      <c r="D168" s="454">
        <f>IF('C. Demanda'!D110&gt;0,($C$183*D149*1000)/'C. Demanda'!D110,0)</f>
        <v>0</v>
      </c>
      <c r="E168" s="454">
        <f>IF('C. Demanda'!E110&gt;0,($C$183*E149*1000)/'C. Demanda'!E110,0)</f>
        <v>0</v>
      </c>
      <c r="F168" s="454">
        <f>IF('C. Demanda'!F110&gt;0,($C$183*F149*1000)/'C. Demanda'!F110,0)</f>
        <v>0</v>
      </c>
      <c r="G168" s="454">
        <f>IF('C. Demanda'!G110&gt;0,($C$183*G149*1000)/'C. Demanda'!G110,0)</f>
        <v>0</v>
      </c>
      <c r="H168" s="453">
        <f>IF('C. Demanda'!H110&gt;0,($C$183*H149*1000)/'C. Demanda'!H110,0)</f>
        <v>0</v>
      </c>
      <c r="I168" s="453"/>
      <c r="J168" s="453">
        <f>IF('C. Demanda'!J110&gt;0,($C$183*J149*1000)/'C. Demanda'!J110,0)</f>
        <v>0</v>
      </c>
    </row>
    <row r="169" spans="2:10" x14ac:dyDescent="0.2">
      <c r="B169" s="259" t="s">
        <v>252</v>
      </c>
      <c r="C169" s="454">
        <f>IF('C. Demanda'!C111&gt;0,($C$183*C150*1000)/'C. Demanda'!C111,0)</f>
        <v>0</v>
      </c>
      <c r="D169" s="454">
        <f>IF('C. Demanda'!D111&gt;0,($C$183*D150*1000)/'C. Demanda'!D111,0)</f>
        <v>0</v>
      </c>
      <c r="E169" s="454">
        <f>IF('C. Demanda'!E111&gt;0,($C$183*E150*1000)/'C. Demanda'!E111,0)</f>
        <v>0</v>
      </c>
      <c r="F169" s="454">
        <f>IF('C. Demanda'!F111&gt;0,($C$183*F150*1000)/'C. Demanda'!F111,0)</f>
        <v>0</v>
      </c>
      <c r="G169" s="454">
        <f>IF('C. Demanda'!G111&gt;0,($C$183*G150*1000)/'C. Demanda'!G111,0)</f>
        <v>0</v>
      </c>
      <c r="H169" s="453">
        <f>IF('C. Demanda'!H111&gt;0,($C$183*H150*1000)/'C. Demanda'!H111,0)</f>
        <v>0</v>
      </c>
      <c r="I169" s="453"/>
      <c r="J169" s="453">
        <f>IF('C. Demanda'!J111&gt;0,($C$183*J150*1000)/'C. Demanda'!J111,0)</f>
        <v>0</v>
      </c>
    </row>
    <row r="170" spans="2:10" x14ac:dyDescent="0.2">
      <c r="B170" s="259" t="s">
        <v>253</v>
      </c>
      <c r="C170" s="454">
        <f>IF('C. Demanda'!C112&gt;0,($C$183*C151*1000)/'C. Demanda'!C112,0)</f>
        <v>0</v>
      </c>
      <c r="D170" s="454">
        <f>IF('C. Demanda'!D112&gt;0,($C$183*D151*1000)/'C. Demanda'!D112,0)</f>
        <v>0</v>
      </c>
      <c r="E170" s="454">
        <f>IF('C. Demanda'!E112&gt;0,($C$183*E151*1000)/'C. Demanda'!E112,0)</f>
        <v>0</v>
      </c>
      <c r="F170" s="454">
        <f>IF('C. Demanda'!F112&gt;0,($C$183*F151*1000)/'C. Demanda'!F112,0)</f>
        <v>0</v>
      </c>
      <c r="G170" s="454">
        <f>IF('C. Demanda'!G112&gt;0,($C$183*G151*1000)/'C. Demanda'!G112,0)</f>
        <v>0</v>
      </c>
      <c r="H170" s="453">
        <f>IF('C. Demanda'!H112&gt;0,($C$183*H151*1000)/'C. Demanda'!H112,0)</f>
        <v>0</v>
      </c>
      <c r="I170" s="453"/>
      <c r="J170" s="453">
        <f>IF('C. Demanda'!J112&gt;0,($C$183*J151*1000)/'C. Demanda'!J112,0)</f>
        <v>0</v>
      </c>
    </row>
    <row r="171" spans="2:10" x14ac:dyDescent="0.2">
      <c r="B171" s="259" t="s">
        <v>254</v>
      </c>
      <c r="C171" s="454">
        <f>IF('C. Demanda'!C113&gt;0,($C$183*C152*1000)/'C. Demanda'!C113,0)</f>
        <v>0</v>
      </c>
      <c r="D171" s="454">
        <f>IF('C. Demanda'!D113&gt;0,($C$183*D152*1000)/'C. Demanda'!D113,0)</f>
        <v>0</v>
      </c>
      <c r="E171" s="454">
        <f>IF('C. Demanda'!E113&gt;0,($C$183*E152*1000)/'C. Demanda'!E113,0)</f>
        <v>0</v>
      </c>
      <c r="F171" s="454">
        <f>IF('C. Demanda'!F113&gt;0,($C$183*F152*1000)/'C. Demanda'!F113,0)</f>
        <v>0</v>
      </c>
      <c r="G171" s="454">
        <f>IF('C. Demanda'!G113&gt;0,($C$183*G152*1000)/'C. Demanda'!G113,0)</f>
        <v>0</v>
      </c>
      <c r="H171" s="453">
        <f>IF('C. Demanda'!H113&gt;0,($C$183*H152*1000)/'C. Demanda'!H113,0)</f>
        <v>0</v>
      </c>
      <c r="I171" s="453"/>
      <c r="J171" s="453">
        <f>IF('C. Demanda'!J113&gt;0,($C$183*J152*1000)/'C. Demanda'!J113,0)</f>
        <v>0</v>
      </c>
    </row>
    <row r="172" spans="2:10" x14ac:dyDescent="0.2">
      <c r="B172" s="259" t="s">
        <v>255</v>
      </c>
      <c r="C172" s="454">
        <f>IF('C. Demanda'!C114&gt;0,($C$183*C153*1000)/'C. Demanda'!C114,0)</f>
        <v>0</v>
      </c>
      <c r="D172" s="454">
        <f>IF('C. Demanda'!D114&gt;0,($C$183*D153*1000)/'C. Demanda'!D114,0)</f>
        <v>0</v>
      </c>
      <c r="E172" s="454">
        <f>IF('C. Demanda'!E114&gt;0,($C$183*E153*1000)/'C. Demanda'!E114,0)</f>
        <v>0</v>
      </c>
      <c r="F172" s="454">
        <f>IF('C. Demanda'!F114&gt;0,($C$183*F153*1000)/'C. Demanda'!F114,0)</f>
        <v>0</v>
      </c>
      <c r="G172" s="454">
        <f>IF('C. Demanda'!G114&gt;0,($C$183*G153*1000)/'C. Demanda'!G114,0)</f>
        <v>0</v>
      </c>
      <c r="H172" s="453">
        <f>IF('C. Demanda'!H114&gt;0,($C$183*H153*1000)/'C. Demanda'!H114,0)</f>
        <v>0</v>
      </c>
      <c r="I172" s="453"/>
      <c r="J172" s="453">
        <f>IF('C. Demanda'!J114&gt;0,($C$183*J153*1000)/'C. Demanda'!J114,0)</f>
        <v>0</v>
      </c>
    </row>
    <row r="173" spans="2:10" x14ac:dyDescent="0.2">
      <c r="B173" s="259" t="s">
        <v>256</v>
      </c>
      <c r="C173" s="454">
        <f>IF('C. Demanda'!C115&gt;0,($C$183*C154*1000)/'C. Demanda'!C115,0)</f>
        <v>0</v>
      </c>
      <c r="D173" s="454">
        <f>IF('C. Demanda'!D115&gt;0,($C$183*D154*1000)/'C. Demanda'!D115,0)</f>
        <v>0</v>
      </c>
      <c r="E173" s="454">
        <f>IF('C. Demanda'!E115&gt;0,($C$183*E154*1000)/'C. Demanda'!E115,0)</f>
        <v>0</v>
      </c>
      <c r="F173" s="454">
        <f>IF('C. Demanda'!F115&gt;0,($C$183*F154*1000)/'C. Demanda'!F115,0)</f>
        <v>0</v>
      </c>
      <c r="G173" s="454">
        <f>IF('C. Demanda'!G115&gt;0,($C$183*G154*1000)/'C. Demanda'!G115,0)</f>
        <v>0</v>
      </c>
      <c r="H173" s="453">
        <f>IF('C. Demanda'!H115&gt;0,($C$183*H154*1000)/'C. Demanda'!H115,0)</f>
        <v>0</v>
      </c>
      <c r="I173" s="453"/>
      <c r="J173" s="453">
        <f>IF('C. Demanda'!J115&gt;0,($C$183*J154*1000)/'C. Demanda'!J115,0)</f>
        <v>0</v>
      </c>
    </row>
    <row r="175" spans="2:10" ht="13.5" thickBot="1" x14ac:dyDescent="0.25"/>
    <row r="176" spans="2:10" ht="13.5" thickBot="1" x14ac:dyDescent="0.25">
      <c r="B176" s="112" t="s">
        <v>299</v>
      </c>
      <c r="C176" s="113" t="s">
        <v>235</v>
      </c>
    </row>
    <row r="177" spans="2:10" ht="13.5" thickBot="1" x14ac:dyDescent="0.25">
      <c r="B177" s="455">
        <v>1</v>
      </c>
      <c r="C177" s="255">
        <f>1-B177</f>
        <v>0</v>
      </c>
    </row>
    <row r="178" spans="2:10" s="124" customFormat="1" x14ac:dyDescent="0.2">
      <c r="B178" s="268"/>
      <c r="C178" s="268"/>
    </row>
    <row r="179" spans="2:10" x14ac:dyDescent="0.2">
      <c r="B179" s="204"/>
      <c r="C179" s="261">
        <v>2020</v>
      </c>
      <c r="D179" s="261">
        <v>2021</v>
      </c>
      <c r="E179" s="261">
        <v>2022</v>
      </c>
      <c r="F179" s="261">
        <v>2023</v>
      </c>
      <c r="G179" s="262">
        <v>2024</v>
      </c>
      <c r="H179" s="203" t="s">
        <v>41</v>
      </c>
      <c r="I179" s="203" t="s">
        <v>3</v>
      </c>
      <c r="J179" s="203" t="s">
        <v>238</v>
      </c>
    </row>
    <row r="180" spans="2:10" x14ac:dyDescent="0.2">
      <c r="B180" s="103" t="s">
        <v>298</v>
      </c>
      <c r="C180" s="456">
        <f>(($B$177*C134))/('C. Demanda'!C80*Premissas!B$57)</f>
        <v>2.7256672059291978</v>
      </c>
      <c r="D180" s="456">
        <f>(($B$177*D134))/('C. Demanda'!D80*Premissas!C$57)</f>
        <v>2.7256672059291973</v>
      </c>
      <c r="E180" s="456">
        <f>(($B$177*E134))/('C. Demanda'!E80*Premissas!D$57)</f>
        <v>2.2788605509140409</v>
      </c>
      <c r="F180" s="456">
        <f>(($B$177*F134))/('C. Demanda'!F80*Premissas!E$57)</f>
        <v>2.2330683858250544</v>
      </c>
      <c r="G180" s="456">
        <f>(($B$177*G134))/('C. Demanda'!G80*Premissas!F$57)</f>
        <v>2.194432511535652</v>
      </c>
      <c r="H180" s="453">
        <f>(($B$177*H134))/('C. Demanda'!H80*AVERAGE(Premissas!$B$57:$F$57))</f>
        <v>2.4083936326778179</v>
      </c>
      <c r="I180" s="453"/>
      <c r="J180" s="453">
        <f>(($B$177*J134))/('C. Demanda'!J80*AVERAGE(Premissas!$B$57:$F$57))</f>
        <v>2.4083936326778184</v>
      </c>
    </row>
    <row r="181" spans="2:10" ht="13.5" thickBot="1" x14ac:dyDescent="0.25"/>
    <row r="182" spans="2:10" ht="13.5" thickBot="1" x14ac:dyDescent="0.25">
      <c r="B182" s="112" t="s">
        <v>300</v>
      </c>
      <c r="C182" s="113" t="s">
        <v>236</v>
      </c>
    </row>
    <row r="183" spans="2:10" ht="13.5" thickBot="1" x14ac:dyDescent="0.25">
      <c r="B183" s="455">
        <v>1</v>
      </c>
      <c r="C183" s="255">
        <f>1-B183</f>
        <v>0</v>
      </c>
    </row>
    <row r="184" spans="2:10" s="124" customFormat="1" x14ac:dyDescent="0.2">
      <c r="B184" s="268"/>
      <c r="C184" s="268"/>
    </row>
    <row r="185" spans="2:10" x14ac:dyDescent="0.2">
      <c r="B185" s="204"/>
      <c r="C185" s="261">
        <v>2020</v>
      </c>
      <c r="D185" s="261">
        <v>2021</v>
      </c>
      <c r="E185" s="261">
        <v>2022</v>
      </c>
      <c r="F185" s="261">
        <v>2023</v>
      </c>
      <c r="G185" s="262">
        <v>2024</v>
      </c>
      <c r="H185" s="203" t="s">
        <v>41</v>
      </c>
      <c r="I185" s="203" t="s">
        <v>3</v>
      </c>
      <c r="J185" s="203" t="s">
        <v>238</v>
      </c>
    </row>
    <row r="186" spans="2:10" x14ac:dyDescent="0.2">
      <c r="B186" s="103" t="s">
        <v>298</v>
      </c>
      <c r="C186" s="456">
        <f>(($B$183*C135))/('C. Demanda'!C86*Premissas!B$57)</f>
        <v>2.7256672059291982</v>
      </c>
      <c r="D186" s="456">
        <f>(($B$183*D135))/('C. Demanda'!D86*Premissas!C$57)</f>
        <v>2.7256672059291973</v>
      </c>
      <c r="E186" s="456">
        <f>(($B$183*E135))/('C. Demanda'!E86*Premissas!D$57)</f>
        <v>2.2788605509140405</v>
      </c>
      <c r="F186" s="456">
        <f>(($B$183*F135))/('C. Demanda'!F86*Premissas!E$57)</f>
        <v>2.2330683858250615</v>
      </c>
      <c r="G186" s="456">
        <f>(($B$183*G135))/('C. Demanda'!G86*Premissas!F$57)</f>
        <v>2.1944325115356511</v>
      </c>
      <c r="H186" s="453">
        <f>(($B$183*H135))/('C. Demanda'!H86*AVERAGE(Premissas!$B$57:$F$57))</f>
        <v>2.4083936326778193</v>
      </c>
      <c r="I186" s="453"/>
      <c r="J186" s="453">
        <f>(($B$183*J135))/('C. Demanda'!J86*AVERAGE(Premissas!$B$57:$F$57))</f>
        <v>2.4083936326778193</v>
      </c>
    </row>
    <row r="188" spans="2:10" ht="14.25" x14ac:dyDescent="0.2">
      <c r="B188" s="94" t="s">
        <v>291</v>
      </c>
    </row>
    <row r="189" spans="2:10" x14ac:dyDescent="0.2">
      <c r="B189" s="269"/>
      <c r="C189" s="270">
        <v>2020</v>
      </c>
      <c r="D189" s="270">
        <v>2021</v>
      </c>
      <c r="E189" s="270">
        <v>2022</v>
      </c>
      <c r="F189" s="270">
        <v>2023</v>
      </c>
      <c r="G189" s="271">
        <v>2024</v>
      </c>
      <c r="H189" s="272" t="s">
        <v>41</v>
      </c>
    </row>
    <row r="190" spans="2:10" x14ac:dyDescent="0.2">
      <c r="B190" s="448" t="s">
        <v>290</v>
      </c>
      <c r="C190" s="449"/>
      <c r="D190" s="449"/>
      <c r="E190" s="449"/>
      <c r="F190" s="449"/>
      <c r="G190" s="449"/>
      <c r="H190" s="436"/>
    </row>
    <row r="191" spans="2:10" x14ac:dyDescent="0.2">
      <c r="B191" s="448" t="s">
        <v>260</v>
      </c>
      <c r="C191" s="454">
        <f t="shared" ref="C191:H192" si="30">C$180+C159</f>
        <v>2.7256672059291978</v>
      </c>
      <c r="D191" s="454">
        <f t="shared" si="30"/>
        <v>2.7256672059291973</v>
      </c>
      <c r="E191" s="454">
        <f t="shared" si="30"/>
        <v>2.2788605509140409</v>
      </c>
      <c r="F191" s="454">
        <f t="shared" si="30"/>
        <v>2.2330683858250544</v>
      </c>
      <c r="G191" s="454">
        <f t="shared" si="30"/>
        <v>2.194432511535652</v>
      </c>
      <c r="H191" s="453">
        <f t="shared" si="30"/>
        <v>2.4083936326778179</v>
      </c>
    </row>
    <row r="192" spans="2:10" x14ac:dyDescent="0.2">
      <c r="B192" s="448" t="s">
        <v>185</v>
      </c>
      <c r="C192" s="454">
        <f t="shared" si="30"/>
        <v>2.7256672059291978</v>
      </c>
      <c r="D192" s="454">
        <f t="shared" si="30"/>
        <v>2.7256672059291973</v>
      </c>
      <c r="E192" s="454">
        <f t="shared" si="30"/>
        <v>2.2788605509140409</v>
      </c>
      <c r="F192" s="454">
        <f t="shared" si="30"/>
        <v>2.2330683858250544</v>
      </c>
      <c r="G192" s="454">
        <f t="shared" si="30"/>
        <v>2.194432511535652</v>
      </c>
      <c r="H192" s="453">
        <f t="shared" si="30"/>
        <v>2.4083936326778179</v>
      </c>
    </row>
    <row r="193" spans="2:10" x14ac:dyDescent="0.2">
      <c r="B193" s="132"/>
      <c r="C193" s="132"/>
      <c r="D193" s="132"/>
      <c r="E193" s="132"/>
      <c r="F193" s="132"/>
      <c r="G193" s="132"/>
      <c r="H193" s="132"/>
    </row>
    <row r="194" spans="2:10" ht="14.25" x14ac:dyDescent="0.2">
      <c r="B194" s="94" t="s">
        <v>292</v>
      </c>
      <c r="C194" s="132"/>
      <c r="D194" s="132"/>
      <c r="E194" s="132"/>
      <c r="F194" s="132"/>
      <c r="G194" s="132"/>
      <c r="H194" s="132"/>
    </row>
    <row r="195" spans="2:10" x14ac:dyDescent="0.2">
      <c r="B195" s="269"/>
      <c r="C195" s="270">
        <v>2020</v>
      </c>
      <c r="D195" s="270">
        <v>2021</v>
      </c>
      <c r="E195" s="270">
        <v>2022</v>
      </c>
      <c r="F195" s="270">
        <v>2023</v>
      </c>
      <c r="G195" s="271">
        <v>2024</v>
      </c>
      <c r="H195" s="272" t="s">
        <v>41</v>
      </c>
    </row>
    <row r="196" spans="2:10" x14ac:dyDescent="0.2">
      <c r="B196" s="448" t="s">
        <v>290</v>
      </c>
      <c r="C196" s="449"/>
      <c r="D196" s="449"/>
      <c r="E196" s="449"/>
      <c r="F196" s="449"/>
      <c r="G196" s="449"/>
      <c r="H196" s="436"/>
    </row>
    <row r="197" spans="2:10" x14ac:dyDescent="0.2">
      <c r="B197" s="448" t="s">
        <v>248</v>
      </c>
      <c r="C197" s="454">
        <f t="shared" ref="C197:H205" si="31">C$186+C165</f>
        <v>2.7256672059291982</v>
      </c>
      <c r="D197" s="454">
        <f t="shared" si="31"/>
        <v>2.7256672059291973</v>
      </c>
      <c r="E197" s="454">
        <f t="shared" si="31"/>
        <v>2.2788605509140405</v>
      </c>
      <c r="F197" s="454">
        <f t="shared" si="31"/>
        <v>2.2330683858250615</v>
      </c>
      <c r="G197" s="454">
        <f t="shared" si="31"/>
        <v>2.1944325115356511</v>
      </c>
      <c r="H197" s="453">
        <f t="shared" si="31"/>
        <v>2.4083936326778193</v>
      </c>
    </row>
    <row r="198" spans="2:10" x14ac:dyDescent="0.2">
      <c r="B198" s="448" t="s">
        <v>249</v>
      </c>
      <c r="C198" s="454">
        <f t="shared" si="31"/>
        <v>2.7256672059291982</v>
      </c>
      <c r="D198" s="454">
        <f t="shared" si="31"/>
        <v>2.7256672059291973</v>
      </c>
      <c r="E198" s="454">
        <f t="shared" si="31"/>
        <v>2.2788605509140405</v>
      </c>
      <c r="F198" s="454">
        <f t="shared" si="31"/>
        <v>2.2330683858250615</v>
      </c>
      <c r="G198" s="454">
        <f t="shared" si="31"/>
        <v>2.1944325115356511</v>
      </c>
      <c r="H198" s="453">
        <f t="shared" si="31"/>
        <v>2.4083936326778193</v>
      </c>
    </row>
    <row r="199" spans="2:10" x14ac:dyDescent="0.2">
      <c r="B199" s="448" t="s">
        <v>250</v>
      </c>
      <c r="C199" s="454">
        <f t="shared" si="31"/>
        <v>2.7256672059291982</v>
      </c>
      <c r="D199" s="454">
        <f t="shared" si="31"/>
        <v>2.7256672059291973</v>
      </c>
      <c r="E199" s="454">
        <f t="shared" si="31"/>
        <v>2.2788605509140405</v>
      </c>
      <c r="F199" s="454">
        <f t="shared" si="31"/>
        <v>2.2330683858250615</v>
      </c>
      <c r="G199" s="454">
        <f t="shared" si="31"/>
        <v>2.1944325115356511</v>
      </c>
      <c r="H199" s="453">
        <f t="shared" si="31"/>
        <v>2.4083936326778193</v>
      </c>
    </row>
    <row r="200" spans="2:10" x14ac:dyDescent="0.2">
      <c r="B200" s="448" t="s">
        <v>251</v>
      </c>
      <c r="C200" s="454">
        <f t="shared" si="31"/>
        <v>2.7256672059291982</v>
      </c>
      <c r="D200" s="454">
        <f t="shared" si="31"/>
        <v>2.7256672059291973</v>
      </c>
      <c r="E200" s="454">
        <f t="shared" si="31"/>
        <v>2.2788605509140405</v>
      </c>
      <c r="F200" s="454">
        <f t="shared" si="31"/>
        <v>2.2330683858250615</v>
      </c>
      <c r="G200" s="454">
        <f t="shared" si="31"/>
        <v>2.1944325115356511</v>
      </c>
      <c r="H200" s="453">
        <f t="shared" si="31"/>
        <v>2.4083936326778193</v>
      </c>
    </row>
    <row r="201" spans="2:10" x14ac:dyDescent="0.2">
      <c r="B201" s="448" t="s">
        <v>252</v>
      </c>
      <c r="C201" s="454">
        <f t="shared" si="31"/>
        <v>2.7256672059291982</v>
      </c>
      <c r="D201" s="454">
        <f t="shared" si="31"/>
        <v>2.7256672059291973</v>
      </c>
      <c r="E201" s="454">
        <f t="shared" si="31"/>
        <v>2.2788605509140405</v>
      </c>
      <c r="F201" s="454">
        <f t="shared" si="31"/>
        <v>2.2330683858250615</v>
      </c>
      <c r="G201" s="454">
        <f t="shared" si="31"/>
        <v>2.1944325115356511</v>
      </c>
      <c r="H201" s="453">
        <f t="shared" si="31"/>
        <v>2.4083936326778193</v>
      </c>
    </row>
    <row r="202" spans="2:10" x14ac:dyDescent="0.2">
      <c r="B202" s="448" t="s">
        <v>253</v>
      </c>
      <c r="C202" s="454">
        <f t="shared" si="31"/>
        <v>2.7256672059291982</v>
      </c>
      <c r="D202" s="454">
        <f t="shared" si="31"/>
        <v>2.7256672059291973</v>
      </c>
      <c r="E202" s="454">
        <f t="shared" si="31"/>
        <v>2.2788605509140405</v>
      </c>
      <c r="F202" s="454">
        <f t="shared" si="31"/>
        <v>2.2330683858250615</v>
      </c>
      <c r="G202" s="454">
        <f t="shared" si="31"/>
        <v>2.1944325115356511</v>
      </c>
      <c r="H202" s="453">
        <f t="shared" si="31"/>
        <v>2.4083936326778193</v>
      </c>
    </row>
    <row r="203" spans="2:10" x14ac:dyDescent="0.2">
      <c r="B203" s="448" t="s">
        <v>254</v>
      </c>
      <c r="C203" s="454">
        <f t="shared" si="31"/>
        <v>2.7256672059291982</v>
      </c>
      <c r="D203" s="454">
        <f t="shared" si="31"/>
        <v>2.7256672059291973</v>
      </c>
      <c r="E203" s="454">
        <f t="shared" si="31"/>
        <v>2.2788605509140405</v>
      </c>
      <c r="F203" s="454">
        <f t="shared" si="31"/>
        <v>2.2330683858250615</v>
      </c>
      <c r="G203" s="454">
        <f t="shared" si="31"/>
        <v>2.1944325115356511</v>
      </c>
      <c r="H203" s="453">
        <f t="shared" si="31"/>
        <v>2.4083936326778193</v>
      </c>
    </row>
    <row r="204" spans="2:10" x14ac:dyDescent="0.2">
      <c r="B204" s="448" t="s">
        <v>255</v>
      </c>
      <c r="C204" s="454">
        <f t="shared" si="31"/>
        <v>2.7256672059291982</v>
      </c>
      <c r="D204" s="454">
        <f t="shared" si="31"/>
        <v>2.7256672059291973</v>
      </c>
      <c r="E204" s="454">
        <f t="shared" si="31"/>
        <v>2.2788605509140405</v>
      </c>
      <c r="F204" s="454">
        <f t="shared" si="31"/>
        <v>2.2330683858250615</v>
      </c>
      <c r="G204" s="454">
        <f t="shared" si="31"/>
        <v>2.1944325115356511</v>
      </c>
      <c r="H204" s="453">
        <f t="shared" si="31"/>
        <v>2.4083936326778193</v>
      </c>
    </row>
    <row r="205" spans="2:10" x14ac:dyDescent="0.2">
      <c r="B205" s="448" t="s">
        <v>256</v>
      </c>
      <c r="C205" s="454">
        <f t="shared" si="31"/>
        <v>2.7256672059291982</v>
      </c>
      <c r="D205" s="454">
        <f t="shared" si="31"/>
        <v>2.7256672059291973</v>
      </c>
      <c r="E205" s="454">
        <f t="shared" si="31"/>
        <v>2.2788605509140405</v>
      </c>
      <c r="F205" s="454">
        <f t="shared" si="31"/>
        <v>2.2330683858250615</v>
      </c>
      <c r="G205" s="454">
        <f t="shared" si="31"/>
        <v>2.1944325115356511</v>
      </c>
      <c r="H205" s="453">
        <f t="shared" si="31"/>
        <v>2.4083936326778193</v>
      </c>
    </row>
    <row r="207" spans="2:10" x14ac:dyDescent="0.2">
      <c r="B207" s="94" t="s">
        <v>293</v>
      </c>
    </row>
    <row r="208" spans="2:10" x14ac:dyDescent="0.2">
      <c r="B208" s="204"/>
      <c r="C208" s="261">
        <v>2020</v>
      </c>
      <c r="D208" s="261">
        <v>2021</v>
      </c>
      <c r="E208" s="261">
        <v>2022</v>
      </c>
      <c r="F208" s="261">
        <v>2023</v>
      </c>
      <c r="G208" s="262">
        <v>2024</v>
      </c>
      <c r="H208" s="203" t="s">
        <v>41</v>
      </c>
      <c r="I208" s="203" t="s">
        <v>3</v>
      </c>
      <c r="J208" s="203" t="s">
        <v>238</v>
      </c>
    </row>
    <row r="209" spans="2:11" x14ac:dyDescent="0.2">
      <c r="B209" s="64" t="s">
        <v>298</v>
      </c>
      <c r="C209" s="101">
        <f t="shared" ref="C209:H209" si="32">SUM(C210:C211)</f>
        <v>508584.39922383818</v>
      </c>
      <c r="D209" s="101">
        <f t="shared" si="32"/>
        <v>507194.82436257077</v>
      </c>
      <c r="E209" s="101">
        <f t="shared" si="32"/>
        <v>507194.82436257077</v>
      </c>
      <c r="F209" s="101">
        <f t="shared" si="32"/>
        <v>507194.82436257077</v>
      </c>
      <c r="G209" s="101">
        <f t="shared" si="32"/>
        <v>508584.39922383823</v>
      </c>
      <c r="H209" s="205">
        <f t="shared" si="32"/>
        <v>2538753.2715353891</v>
      </c>
      <c r="I209" s="225"/>
      <c r="J209" s="205">
        <f>AVERAGE(C209:G209)</f>
        <v>507750.65430707781</v>
      </c>
      <c r="K209" s="244" t="str">
        <f>IF(H209=H134,"Check","ERRO")</f>
        <v>Check</v>
      </c>
    </row>
    <row r="210" spans="2:11" x14ac:dyDescent="0.2">
      <c r="B210" s="63" t="s">
        <v>260</v>
      </c>
      <c r="C210" s="100">
        <f>C191*'C. Demanda'!C101/1000</f>
        <v>508584.39922383818</v>
      </c>
      <c r="D210" s="100">
        <f>D191*'C. Demanda'!D101/1000</f>
        <v>507194.82436257077</v>
      </c>
      <c r="E210" s="100">
        <f>E191*'C. Demanda'!E101/1000</f>
        <v>416164.51176505082</v>
      </c>
      <c r="F210" s="100">
        <f>F191*'C. Demanda'!F101/1000</f>
        <v>417993.70447317668</v>
      </c>
      <c r="G210" s="100">
        <f>G191*'C. Demanda'!G101/1000</f>
        <v>420686.45182441385</v>
      </c>
      <c r="H210" s="205">
        <f>H191*'C. Demanda'!H101/1000</f>
        <v>2249875.953309908</v>
      </c>
      <c r="I210" s="225"/>
      <c r="J210" s="205">
        <f>AVERAGE(C210:G210)</f>
        <v>454124.77832981001</v>
      </c>
    </row>
    <row r="211" spans="2:11" x14ac:dyDescent="0.2">
      <c r="B211" s="63" t="s">
        <v>185</v>
      </c>
      <c r="C211" s="100">
        <f>C192*'C. Demanda'!C102/1000</f>
        <v>0</v>
      </c>
      <c r="D211" s="100">
        <f>D192*'C. Demanda'!D102/1000</f>
        <v>0</v>
      </c>
      <c r="E211" s="100">
        <f>E192*'C. Demanda'!E102/1000</f>
        <v>91030.312597519965</v>
      </c>
      <c r="F211" s="100">
        <f>F192*'C. Demanda'!F102/1000</f>
        <v>89201.119889394089</v>
      </c>
      <c r="G211" s="100">
        <f>G192*'C. Demanda'!G102/1000</f>
        <v>87897.947399424374</v>
      </c>
      <c r="H211" s="205">
        <f>H192*'C. Demanda'!H102/1000</f>
        <v>288877.31822548114</v>
      </c>
      <c r="I211" s="225"/>
      <c r="J211" s="205">
        <f>AVERAGE(C211:G211)</f>
        <v>53625.875977267686</v>
      </c>
    </row>
    <row r="212" spans="2:11" x14ac:dyDescent="0.2">
      <c r="B212" s="132"/>
      <c r="C212" s="132"/>
      <c r="D212" s="132"/>
      <c r="E212" s="132"/>
      <c r="F212" s="132"/>
      <c r="G212" s="132"/>
      <c r="H212" s="132"/>
      <c r="I212" s="132"/>
    </row>
    <row r="213" spans="2:11" x14ac:dyDescent="0.2">
      <c r="B213" s="94" t="s">
        <v>294</v>
      </c>
      <c r="C213" s="132"/>
      <c r="D213" s="132"/>
      <c r="E213" s="132"/>
      <c r="F213" s="132"/>
      <c r="G213" s="132"/>
      <c r="H213" s="132"/>
      <c r="I213" s="132"/>
    </row>
    <row r="214" spans="2:11" x14ac:dyDescent="0.2">
      <c r="B214" s="204"/>
      <c r="C214" s="261">
        <v>2020</v>
      </c>
      <c r="D214" s="261">
        <v>2021</v>
      </c>
      <c r="E214" s="261">
        <v>2022</v>
      </c>
      <c r="F214" s="261">
        <v>2023</v>
      </c>
      <c r="G214" s="262">
        <v>2024</v>
      </c>
      <c r="H214" s="203" t="s">
        <v>41</v>
      </c>
      <c r="I214" s="203" t="s">
        <v>3</v>
      </c>
      <c r="J214" s="203" t="s">
        <v>238</v>
      </c>
    </row>
    <row r="215" spans="2:11" x14ac:dyDescent="0.2">
      <c r="B215" s="64" t="s">
        <v>298</v>
      </c>
      <c r="C215" s="101">
        <f t="shared" ref="C215:H215" si="33">SUM(C216:C224)</f>
        <v>508584.39922383829</v>
      </c>
      <c r="D215" s="101">
        <f t="shared" si="33"/>
        <v>507194.82436257071</v>
      </c>
      <c r="E215" s="101">
        <f t="shared" si="33"/>
        <v>507194.82436257071</v>
      </c>
      <c r="F215" s="101">
        <f t="shared" si="33"/>
        <v>507194.82436257077</v>
      </c>
      <c r="G215" s="101">
        <f t="shared" si="33"/>
        <v>508584.39922383812</v>
      </c>
      <c r="H215" s="205">
        <f t="shared" si="33"/>
        <v>2538753.2715353887</v>
      </c>
      <c r="I215" s="225"/>
      <c r="J215" s="205">
        <f t="shared" ref="J215:J224" si="34">AVERAGE(C215:G215)</f>
        <v>507750.65430707776</v>
      </c>
      <c r="K215" s="245" t="str">
        <f>IF(H215=H135,"Check","ERRO")</f>
        <v>Check</v>
      </c>
    </row>
    <row r="216" spans="2:11" x14ac:dyDescent="0.2">
      <c r="B216" s="63" t="s">
        <v>248</v>
      </c>
      <c r="C216" s="100">
        <f>C197*'C. Demanda'!C107/1000</f>
        <v>3461.0566443763951</v>
      </c>
      <c r="D216" s="100">
        <f>D197*'C. Demanda'!D107/1000</f>
        <v>3841.2970028476775</v>
      </c>
      <c r="E216" s="100">
        <f>E197*'C. Demanda'!E107/1000</f>
        <v>67125.763554422374</v>
      </c>
      <c r="F216" s="100">
        <f>F197*'C. Demanda'!F107/1000</f>
        <v>65905.369317279648</v>
      </c>
      <c r="G216" s="100">
        <f>G197*'C. Demanda'!G107/1000</f>
        <v>65069.566790619392</v>
      </c>
      <c r="H216" s="205">
        <f>H197*'C. Demanda'!H107/1000</f>
        <v>219887.38838852657</v>
      </c>
      <c r="I216" s="225"/>
      <c r="J216" s="205">
        <f t="shared" si="34"/>
        <v>41080.610661909101</v>
      </c>
    </row>
    <row r="217" spans="2:11" x14ac:dyDescent="0.2">
      <c r="B217" s="63" t="s">
        <v>249</v>
      </c>
      <c r="C217" s="100">
        <f>C198*'C. Demanda'!C108/1000</f>
        <v>29124.003886500665</v>
      </c>
      <c r="D217" s="100">
        <f>D198*'C. Demanda'!D108/1000</f>
        <v>30223.819528728342</v>
      </c>
      <c r="E217" s="100">
        <f>E198*'C. Demanda'!E108/1000</f>
        <v>26262.995884588479</v>
      </c>
      <c r="F217" s="100">
        <f>F198*'C. Demanda'!F108/1000</f>
        <v>26714.708146708192</v>
      </c>
      <c r="G217" s="100">
        <f>G198*'C. Demanda'!G108/1000</f>
        <v>27293.052214391195</v>
      </c>
      <c r="H217" s="205">
        <f>H198*'C. Demanda'!H108/1000</f>
        <v>138961.76131270666</v>
      </c>
      <c r="I217" s="225"/>
      <c r="J217" s="205">
        <f t="shared" si="34"/>
        <v>27923.715932183375</v>
      </c>
    </row>
    <row r="218" spans="2:11" x14ac:dyDescent="0.2">
      <c r="B218" s="63" t="s">
        <v>250</v>
      </c>
      <c r="C218" s="100">
        <f>C199*'C. Demanda'!C109/1000</f>
        <v>370516.02243912232</v>
      </c>
      <c r="D218" s="100">
        <f>D199*'C. Demanda'!D109/1000</f>
        <v>364659.38564095995</v>
      </c>
      <c r="E218" s="100">
        <f>E199*'C. Demanda'!E109/1000</f>
        <v>320314.87531835982</v>
      </c>
      <c r="F218" s="100">
        <f>F199*'C. Demanda'!F109/1000</f>
        <v>320154.55901019741</v>
      </c>
      <c r="G218" s="100">
        <f>G199*'C. Demanda'!G109/1000</f>
        <v>321684.16171749291</v>
      </c>
      <c r="H218" s="205">
        <f>H199*'C. Demanda'!H109/1000</f>
        <v>1686461.1920223574</v>
      </c>
      <c r="I218" s="225"/>
      <c r="J218" s="205">
        <f t="shared" si="34"/>
        <v>339465.80082522647</v>
      </c>
    </row>
    <row r="219" spans="2:11" x14ac:dyDescent="0.2">
      <c r="B219" s="63" t="s">
        <v>251</v>
      </c>
      <c r="C219" s="100">
        <f>C200*'C. Demanda'!C110/1000</f>
        <v>3.6392180580579574E-2</v>
      </c>
      <c r="D219" s="100">
        <f>D200*'C. Demanda'!D110/1000</f>
        <v>3.629274839320093E-2</v>
      </c>
      <c r="E219" s="100">
        <f>E200*'C. Demanda'!E110/1000</f>
        <v>3.0343437532506647E-2</v>
      </c>
      <c r="F219" s="100">
        <f>F200*'C. Demanda'!F110/1000</f>
        <v>2.9733706629798125E-2</v>
      </c>
      <c r="G219" s="100">
        <f>G200*'C. Demanda'!G110/1000</f>
        <v>2.9299315799808108E-2</v>
      </c>
      <c r="H219" s="205">
        <f>H200*'C. Demanda'!H110/1000</f>
        <v>0.16051668503587421</v>
      </c>
      <c r="I219" s="225"/>
      <c r="J219" s="205">
        <f t="shared" si="34"/>
        <v>3.241227778717868E-2</v>
      </c>
    </row>
    <row r="220" spans="2:11" x14ac:dyDescent="0.2">
      <c r="B220" s="63" t="s">
        <v>252</v>
      </c>
      <c r="C220" s="100">
        <f>C201*'C. Demanda'!C111/1000</f>
        <v>42688.605010859603</v>
      </c>
      <c r="D220" s="100">
        <f>D201*'C. Demanda'!D111/1000</f>
        <v>44300.663425588209</v>
      </c>
      <c r="E220" s="100">
        <f>E201*'C. Demanda'!E111/1000</f>
        <v>38495.07307059133</v>
      </c>
      <c r="F220" s="100">
        <f>F201*'C. Demanda'!F111/1000</f>
        <v>39157.171812623426</v>
      </c>
      <c r="G220" s="100">
        <f>G201*'C. Demanda'!G111/1000</f>
        <v>38675.09685574672</v>
      </c>
      <c r="H220" s="205">
        <f>H201*'C. Demanda'!H111/1000</f>
        <v>202224.22010805042</v>
      </c>
      <c r="I220" s="225"/>
      <c r="J220" s="205">
        <f t="shared" si="34"/>
        <v>40663.322035081859</v>
      </c>
    </row>
    <row r="221" spans="2:11" x14ac:dyDescent="0.2">
      <c r="B221" s="63" t="s">
        <v>253</v>
      </c>
      <c r="C221" s="100">
        <f>C202*'C. Demanda'!C112/1000</f>
        <v>3.6392180580579574E-2</v>
      </c>
      <c r="D221" s="100">
        <f>D202*'C. Demanda'!D112/1000</f>
        <v>3.629274839320093E-2</v>
      </c>
      <c r="E221" s="100">
        <f>E202*'C. Demanda'!E112/1000</f>
        <v>3.0343437532506647E-2</v>
      </c>
      <c r="F221" s="100">
        <f>F202*'C. Demanda'!F112/1000</f>
        <v>2.9733706629798125E-2</v>
      </c>
      <c r="G221" s="100">
        <f>G202*'C. Demanda'!G112/1000</f>
        <v>2.9299315799808108E-2</v>
      </c>
      <c r="H221" s="205">
        <f>H202*'C. Demanda'!H112/1000</f>
        <v>0.16051668503587421</v>
      </c>
      <c r="I221" s="225"/>
      <c r="J221" s="205">
        <f t="shared" si="34"/>
        <v>3.241227778717868E-2</v>
      </c>
    </row>
    <row r="222" spans="2:11" x14ac:dyDescent="0.2">
      <c r="B222" s="63" t="s">
        <v>254</v>
      </c>
      <c r="C222" s="100">
        <f>C203*'C. Demanda'!C113/1000</f>
        <v>38189.848775907631</v>
      </c>
      <c r="D222" s="100">
        <f>D203*'C. Demanda'!D113/1000</f>
        <v>39632.022697558132</v>
      </c>
      <c r="E222" s="100">
        <f>E203*'C. Demanda'!E113/1000</f>
        <v>34480.82738856841</v>
      </c>
      <c r="F222" s="100">
        <f>F203*'C. Demanda'!F113/1000</f>
        <v>35159.967822235652</v>
      </c>
      <c r="G222" s="100">
        <f>G203*'C. Demanda'!G113/1000</f>
        <v>36053.16633539016</v>
      </c>
      <c r="H222" s="205">
        <f>H203*'C. Demanda'!H113/1000</f>
        <v>182692.89740093786</v>
      </c>
      <c r="I222" s="225"/>
      <c r="J222" s="205">
        <f t="shared" si="34"/>
        <v>36703.166603931997</v>
      </c>
    </row>
    <row r="223" spans="2:11" x14ac:dyDescent="0.2">
      <c r="B223" s="63" t="s">
        <v>255</v>
      </c>
      <c r="C223" s="100">
        <f>C204*'C. Demanda'!C114/1000</f>
        <v>24604.75329052985</v>
      </c>
      <c r="D223" s="100">
        <f>D204*'C. Demanda'!D114/1000</f>
        <v>24537.527188643155</v>
      </c>
      <c r="E223" s="100">
        <f>E204*'C. Demanda'!E114/1000</f>
        <v>20515.198115727744</v>
      </c>
      <c r="F223" s="100">
        <f>F204*'C. Demanda'!F114/1000</f>
        <v>20102.959052406513</v>
      </c>
      <c r="G223" s="100">
        <f>G204*'C. Demanda'!G114/1000</f>
        <v>19809.267412250265</v>
      </c>
      <c r="H223" s="205">
        <f>H204*'C. Demanda'!H114/1000</f>
        <v>108525.33075275457</v>
      </c>
      <c r="I223" s="225"/>
      <c r="J223" s="205">
        <f t="shared" si="34"/>
        <v>21913.941011911505</v>
      </c>
    </row>
    <row r="224" spans="2:11" x14ac:dyDescent="0.2">
      <c r="B224" s="63" t="s">
        <v>256</v>
      </c>
      <c r="C224" s="100">
        <f>C205*'C. Demanda'!C115/1000</f>
        <v>3.6392180580579574E-2</v>
      </c>
      <c r="D224" s="100">
        <f>D205*'C. Demanda'!D115/1000</f>
        <v>3.629274839320093E-2</v>
      </c>
      <c r="E224" s="100">
        <f>E205*'C. Demanda'!E115/1000</f>
        <v>3.0343437532506647E-2</v>
      </c>
      <c r="F224" s="100">
        <f>F205*'C. Demanda'!F115/1000</f>
        <v>2.9733706629798125E-2</v>
      </c>
      <c r="G224" s="100">
        <f>G205*'C. Demanda'!G115/1000</f>
        <v>2.9299315799808108E-2</v>
      </c>
      <c r="H224" s="205">
        <f>H205*'C. Demanda'!H115/1000</f>
        <v>0.16051668503587421</v>
      </c>
      <c r="I224" s="225"/>
      <c r="J224" s="205">
        <f t="shared" si="34"/>
        <v>3.241227778717868E-2</v>
      </c>
    </row>
  </sheetData>
  <conditionalFormatting sqref="K209">
    <cfRule type="containsText" dxfId="7" priority="2" operator="containsText" text="ERRO">
      <formula>NOT(ISERROR(SEARCH("ERRO",K209)))</formula>
    </cfRule>
    <cfRule type="containsText" dxfId="6" priority="4" operator="containsText" text="Check">
      <formula>NOT(ISERROR(SEARCH("Check",K209)))</formula>
    </cfRule>
    <cfRule type="containsText" dxfId="5" priority="5" operator="containsText" text="&quot;ERRO&quot;">
      <formula>NOT(ISERROR(SEARCH("""ERRO""",K209)))</formula>
    </cfRule>
    <cfRule type="containsText" dxfId="4" priority="6" operator="containsText" text="&quot;Check&quot;">
      <formula>NOT(ISERROR(SEARCH("""Check""",K209)))</formula>
    </cfRule>
    <cfRule type="containsText" dxfId="3" priority="7" operator="containsText" text="&quot;ERRO&quot;">
      <formula>NOT(ISERROR(SEARCH("""ERRO""",K209)))</formula>
    </cfRule>
    <cfRule type="containsText" dxfId="2" priority="8" operator="containsText" text="&quot;check&quot;">
      <formula>NOT(ISERROR(SEARCH("""check""",K209)))</formula>
    </cfRule>
  </conditionalFormatting>
  <conditionalFormatting sqref="K215">
    <cfRule type="containsText" dxfId="1" priority="1" operator="containsText" text="ERRO">
      <formula>NOT(ISERROR(SEARCH("ERRO",K215)))</formula>
    </cfRule>
    <cfRule type="containsText" dxfId="0" priority="3" operator="containsText" text="Check">
      <formula>NOT(ISERROR(SEARCH("Check",K215)))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/>
  </sheetPr>
  <dimension ref="B2:S120"/>
  <sheetViews>
    <sheetView showGridLines="0" zoomScale="110" zoomScaleNormal="110" workbookViewId="0">
      <selection activeCell="A2" sqref="A2"/>
    </sheetView>
  </sheetViews>
  <sheetFormatPr defaultRowHeight="12.75" x14ac:dyDescent="0.2"/>
  <cols>
    <col min="1" max="1" width="20.28515625" style="122" bestFit="1" customWidth="1"/>
    <col min="2" max="2" width="30.7109375" style="122" customWidth="1"/>
    <col min="3" max="7" width="10.7109375" style="122" customWidth="1"/>
    <col min="8" max="10" width="14.7109375" style="122" customWidth="1"/>
    <col min="11" max="11" width="10.7109375" style="122" customWidth="1"/>
    <col min="12" max="12" width="15.28515625" style="122" bestFit="1" customWidth="1"/>
    <col min="13" max="13" width="31.140625" style="122" customWidth="1"/>
    <col min="14" max="18" width="10.7109375" style="122" customWidth="1"/>
    <col min="19" max="16384" width="9.140625" style="122"/>
  </cols>
  <sheetData>
    <row r="2" spans="2:18" x14ac:dyDescent="0.2">
      <c r="B2" s="94" t="s">
        <v>389</v>
      </c>
      <c r="M2" s="94" t="s">
        <v>329</v>
      </c>
    </row>
    <row r="3" spans="2:18" x14ac:dyDescent="0.2">
      <c r="B3" s="68" t="s">
        <v>328</v>
      </c>
      <c r="M3" s="68" t="s">
        <v>328</v>
      </c>
    </row>
    <row r="4" spans="2:18" x14ac:dyDescent="0.2">
      <c r="B4" s="433"/>
      <c r="C4" s="261">
        <v>2020</v>
      </c>
      <c r="D4" s="261">
        <v>2021</v>
      </c>
      <c r="E4" s="261">
        <v>2022</v>
      </c>
      <c r="F4" s="261">
        <v>2023</v>
      </c>
      <c r="G4" s="262">
        <v>2024</v>
      </c>
      <c r="H4" s="203" t="s">
        <v>41</v>
      </c>
      <c r="I4" s="203" t="s">
        <v>3</v>
      </c>
      <c r="J4" s="203" t="s">
        <v>238</v>
      </c>
      <c r="M4" s="433"/>
      <c r="N4" s="261">
        <v>2020</v>
      </c>
      <c r="O4" s="261">
        <v>2021</v>
      </c>
      <c r="P4" s="261">
        <v>2022</v>
      </c>
      <c r="Q4" s="261">
        <v>2023</v>
      </c>
      <c r="R4" s="262">
        <v>2024</v>
      </c>
    </row>
    <row r="5" spans="2:18" x14ac:dyDescent="0.2">
      <c r="B5" s="258" t="s">
        <v>330</v>
      </c>
      <c r="C5" s="434">
        <f>SUM(C6:C7)</f>
        <v>20817</v>
      </c>
      <c r="D5" s="434">
        <f t="shared" ref="D5:G5" si="0">SUM(D6:D7)</f>
        <v>20817</v>
      </c>
      <c r="E5" s="434">
        <f t="shared" si="0"/>
        <v>20817</v>
      </c>
      <c r="F5" s="434">
        <f t="shared" si="0"/>
        <v>20817.000000000051</v>
      </c>
      <c r="G5" s="434">
        <f t="shared" si="0"/>
        <v>20817</v>
      </c>
      <c r="H5" s="436">
        <f>SUM(C5:G5)</f>
        <v>104085.00000000006</v>
      </c>
      <c r="I5" s="437">
        <f>H5/H5</f>
        <v>1</v>
      </c>
      <c r="J5" s="279">
        <f>AVERAGE(C5:G5)</f>
        <v>20817.000000000011</v>
      </c>
      <c r="K5" s="125"/>
      <c r="L5" s="125"/>
      <c r="M5" s="258" t="s">
        <v>330</v>
      </c>
      <c r="N5" s="434">
        <f>SUM(N6:N7)</f>
        <v>21144</v>
      </c>
      <c r="O5" s="434">
        <f t="shared" ref="O5:R5" si="1">SUM(O6:O7)</f>
        <v>21144</v>
      </c>
      <c r="P5" s="434">
        <f t="shared" si="1"/>
        <v>21144</v>
      </c>
      <c r="Q5" s="434">
        <f t="shared" si="1"/>
        <v>21144</v>
      </c>
      <c r="R5" s="434">
        <f t="shared" si="1"/>
        <v>21144</v>
      </c>
    </row>
    <row r="6" spans="2:18" x14ac:dyDescent="0.2">
      <c r="B6" s="259" t="s">
        <v>246</v>
      </c>
      <c r="C6" s="435">
        <f>C40+'Cenário Ref'!C68</f>
        <v>20817</v>
      </c>
      <c r="D6" s="435">
        <f>D40+'Cenário Ref'!D68</f>
        <v>20817</v>
      </c>
      <c r="E6" s="435">
        <f>E40+'Cenário Ref'!E68</f>
        <v>15478.770000000002</v>
      </c>
      <c r="F6" s="435">
        <f>F40+'Cenário Ref'!F68</f>
        <v>15478.770000000053</v>
      </c>
      <c r="G6" s="435">
        <f>G40+'Cenário Ref'!G68</f>
        <v>15478.770000000002</v>
      </c>
      <c r="H6" s="436">
        <f>SUM(C6:G6)</f>
        <v>88070.310000000056</v>
      </c>
      <c r="I6" s="437">
        <f>H6/H5</f>
        <v>0.84613834846519675</v>
      </c>
      <c r="J6" s="279">
        <f>AVERAGE(C6:G6)</f>
        <v>17614.062000000013</v>
      </c>
      <c r="M6" s="259" t="s">
        <v>246</v>
      </c>
      <c r="N6" s="435">
        <v>18144</v>
      </c>
      <c r="O6" s="435">
        <v>18144</v>
      </c>
      <c r="P6" s="435">
        <v>18144</v>
      </c>
      <c r="Q6" s="435">
        <v>18144</v>
      </c>
      <c r="R6" s="435">
        <v>18144</v>
      </c>
    </row>
    <row r="7" spans="2:18" x14ac:dyDescent="0.2">
      <c r="B7" s="259" t="s">
        <v>247</v>
      </c>
      <c r="C7" s="435">
        <f>C53</f>
        <v>0</v>
      </c>
      <c r="D7" s="435">
        <f t="shared" ref="D7:G7" si="2">D53</f>
        <v>0</v>
      </c>
      <c r="E7" s="435">
        <f t="shared" si="2"/>
        <v>5338.23</v>
      </c>
      <c r="F7" s="435">
        <f t="shared" si="2"/>
        <v>5338.23</v>
      </c>
      <c r="G7" s="435">
        <f t="shared" si="2"/>
        <v>5338.23</v>
      </c>
      <c r="H7" s="436">
        <f>SUM(C7:G7)</f>
        <v>16014.689999999999</v>
      </c>
      <c r="I7" s="437">
        <f>H7/H5</f>
        <v>0.15386165153480319</v>
      </c>
      <c r="J7" s="279">
        <f>AVERAGE(C7:G7)</f>
        <v>3202.9379999999996</v>
      </c>
      <c r="M7" s="259" t="s">
        <v>247</v>
      </c>
      <c r="N7" s="435">
        <v>3000</v>
      </c>
      <c r="O7" s="435">
        <v>3000</v>
      </c>
      <c r="P7" s="435">
        <v>3000</v>
      </c>
      <c r="Q7" s="435">
        <v>3000</v>
      </c>
      <c r="R7" s="435">
        <v>3000</v>
      </c>
    </row>
    <row r="8" spans="2:18" x14ac:dyDescent="0.2">
      <c r="B8" s="201"/>
      <c r="C8" s="201"/>
      <c r="D8" s="201"/>
      <c r="E8" s="201"/>
      <c r="F8" s="201"/>
      <c r="G8" s="201"/>
      <c r="H8" s="132"/>
      <c r="I8" s="132"/>
      <c r="J8" s="132"/>
      <c r="M8" s="201"/>
      <c r="N8" s="201"/>
      <c r="O8" s="201"/>
      <c r="P8" s="201"/>
      <c r="Q8" s="201"/>
      <c r="R8" s="201"/>
    </row>
    <row r="9" spans="2:18" x14ac:dyDescent="0.2">
      <c r="B9" s="201" t="s">
        <v>327</v>
      </c>
      <c r="C9" s="201"/>
      <c r="D9" s="201"/>
      <c r="E9" s="201"/>
      <c r="F9" s="201"/>
      <c r="G9" s="201"/>
      <c r="H9" s="132"/>
      <c r="I9" s="132"/>
      <c r="J9" s="132"/>
      <c r="M9" s="201" t="s">
        <v>327</v>
      </c>
      <c r="N9" s="201"/>
      <c r="O9" s="201"/>
      <c r="P9" s="201"/>
      <c r="Q9" s="201"/>
      <c r="R9" s="201"/>
    </row>
    <row r="10" spans="2:18" x14ac:dyDescent="0.2">
      <c r="B10" s="433"/>
      <c r="C10" s="261">
        <v>2020</v>
      </c>
      <c r="D10" s="261">
        <v>2021</v>
      </c>
      <c r="E10" s="261">
        <v>2022</v>
      </c>
      <c r="F10" s="261">
        <v>2023</v>
      </c>
      <c r="G10" s="262">
        <v>2024</v>
      </c>
      <c r="H10" s="203" t="s">
        <v>41</v>
      </c>
      <c r="I10" s="203" t="s">
        <v>3</v>
      </c>
      <c r="J10" s="203" t="s">
        <v>238</v>
      </c>
      <c r="M10" s="433"/>
      <c r="N10" s="261">
        <v>2020</v>
      </c>
      <c r="O10" s="261">
        <v>2021</v>
      </c>
      <c r="P10" s="261">
        <v>2022</v>
      </c>
      <c r="Q10" s="261">
        <v>2023</v>
      </c>
      <c r="R10" s="262">
        <v>2024</v>
      </c>
    </row>
    <row r="11" spans="2:18" x14ac:dyDescent="0.2">
      <c r="B11" s="258" t="s">
        <v>331</v>
      </c>
      <c r="C11" s="434">
        <f>SUM(C12:C20)</f>
        <v>20817</v>
      </c>
      <c r="D11" s="434">
        <f>SUM(D12:D20)</f>
        <v>20817</v>
      </c>
      <c r="E11" s="434">
        <f>SUM(E12:E20)</f>
        <v>20817</v>
      </c>
      <c r="F11" s="434">
        <f>SUM(F12:F20)</f>
        <v>20817</v>
      </c>
      <c r="G11" s="434">
        <f>SUM(G12:G20)</f>
        <v>20817</v>
      </c>
      <c r="H11" s="436">
        <f>SUM(C11:G11)</f>
        <v>104085</v>
      </c>
      <c r="I11" s="437">
        <f>+H11/$H$11</f>
        <v>1</v>
      </c>
      <c r="J11" s="279">
        <f>AVERAGE(C11:G11)</f>
        <v>20817</v>
      </c>
      <c r="M11" s="258" t="s">
        <v>331</v>
      </c>
      <c r="N11" s="434">
        <f>SUM(N12:N20)</f>
        <v>20817</v>
      </c>
      <c r="O11" s="434">
        <f>SUM(O12:O20)</f>
        <v>20817</v>
      </c>
      <c r="P11" s="434">
        <f>SUM(P12:P20)</f>
        <v>20817</v>
      </c>
      <c r="Q11" s="434">
        <f>SUM(Q12:Q20)</f>
        <v>20817</v>
      </c>
      <c r="R11" s="434">
        <f>SUM(R12:R20)</f>
        <v>20817</v>
      </c>
    </row>
    <row r="12" spans="2:18" x14ac:dyDescent="0.2">
      <c r="B12" s="260" t="s">
        <v>248</v>
      </c>
      <c r="C12" s="435">
        <v>3760</v>
      </c>
      <c r="D12" s="435">
        <v>3760</v>
      </c>
      <c r="E12" s="435">
        <v>3760</v>
      </c>
      <c r="F12" s="435">
        <v>3760</v>
      </c>
      <c r="G12" s="435">
        <v>3760</v>
      </c>
      <c r="H12" s="436">
        <f t="shared" ref="H12:H20" si="3">SUM(C12:G12)</f>
        <v>18800</v>
      </c>
      <c r="I12" s="437">
        <f t="shared" ref="I12:I20" si="4">+H12/$H$11</f>
        <v>0.18062160734015467</v>
      </c>
      <c r="J12" s="279">
        <f>AVERAGE(C12:G12)</f>
        <v>3760</v>
      </c>
      <c r="M12" s="260" t="s">
        <v>248</v>
      </c>
      <c r="N12" s="435">
        <v>3760</v>
      </c>
      <c r="O12" s="435">
        <v>3760</v>
      </c>
      <c r="P12" s="435">
        <v>3760</v>
      </c>
      <c r="Q12" s="435">
        <v>3760</v>
      </c>
      <c r="R12" s="435">
        <v>3760</v>
      </c>
    </row>
    <row r="13" spans="2:18" x14ac:dyDescent="0.2">
      <c r="B13" s="259" t="s">
        <v>249</v>
      </c>
      <c r="C13" s="435">
        <v>2500</v>
      </c>
      <c r="D13" s="435">
        <v>2500</v>
      </c>
      <c r="E13" s="435">
        <v>2500</v>
      </c>
      <c r="F13" s="435">
        <v>2500</v>
      </c>
      <c r="G13" s="435">
        <v>2500</v>
      </c>
      <c r="H13" s="436">
        <f t="shared" si="3"/>
        <v>12500</v>
      </c>
      <c r="I13" s="437">
        <f t="shared" si="4"/>
        <v>0.12009415381659221</v>
      </c>
      <c r="J13" s="279">
        <f>AVERAGE(C13:G13)</f>
        <v>2500</v>
      </c>
      <c r="M13" s="259" t="s">
        <v>249</v>
      </c>
      <c r="N13" s="435">
        <v>2500</v>
      </c>
      <c r="O13" s="435">
        <v>2500</v>
      </c>
      <c r="P13" s="435">
        <v>2500</v>
      </c>
      <c r="Q13" s="435">
        <v>2500</v>
      </c>
      <c r="R13" s="435">
        <v>2500</v>
      </c>
    </row>
    <row r="14" spans="2:18" x14ac:dyDescent="0.2">
      <c r="B14" s="259" t="s">
        <v>250</v>
      </c>
      <c r="C14" s="435">
        <v>11300</v>
      </c>
      <c r="D14" s="435">
        <v>11300</v>
      </c>
      <c r="E14" s="435">
        <v>11300</v>
      </c>
      <c r="F14" s="435">
        <v>11300</v>
      </c>
      <c r="G14" s="435">
        <v>11300</v>
      </c>
      <c r="H14" s="436">
        <f t="shared" si="3"/>
        <v>56500</v>
      </c>
      <c r="I14" s="437">
        <f t="shared" si="4"/>
        <v>0.54282557525099673</v>
      </c>
      <c r="J14" s="279">
        <f t="shared" ref="J14:J20" si="5">AVERAGE(C14:G14)</f>
        <v>11300</v>
      </c>
      <c r="M14" s="259" t="s">
        <v>250</v>
      </c>
      <c r="N14" s="435">
        <v>11300</v>
      </c>
      <c r="O14" s="435">
        <v>11300</v>
      </c>
      <c r="P14" s="435">
        <v>11300</v>
      </c>
      <c r="Q14" s="435">
        <v>11300</v>
      </c>
      <c r="R14" s="435">
        <v>11300</v>
      </c>
    </row>
    <row r="15" spans="2:18" x14ac:dyDescent="0.2">
      <c r="B15" s="259" t="s">
        <v>251</v>
      </c>
      <c r="C15" s="435">
        <v>10</v>
      </c>
      <c r="D15" s="435">
        <v>10</v>
      </c>
      <c r="E15" s="435">
        <v>10</v>
      </c>
      <c r="F15" s="435">
        <v>10</v>
      </c>
      <c r="G15" s="435">
        <v>10</v>
      </c>
      <c r="H15" s="436">
        <f t="shared" si="3"/>
        <v>50</v>
      </c>
      <c r="I15" s="437">
        <f t="shared" si="4"/>
        <v>4.8037661526636886E-4</v>
      </c>
      <c r="J15" s="279">
        <f t="shared" si="5"/>
        <v>10</v>
      </c>
      <c r="M15" s="259" t="s">
        <v>251</v>
      </c>
      <c r="N15" s="435">
        <v>10</v>
      </c>
      <c r="O15" s="435">
        <v>10</v>
      </c>
      <c r="P15" s="435">
        <v>10</v>
      </c>
      <c r="Q15" s="435">
        <v>10</v>
      </c>
      <c r="R15" s="435">
        <v>10</v>
      </c>
    </row>
    <row r="16" spans="2:18" x14ac:dyDescent="0.2">
      <c r="B16" s="259" t="s">
        <v>252</v>
      </c>
      <c r="C16" s="435">
        <v>1320</v>
      </c>
      <c r="D16" s="435">
        <v>1320</v>
      </c>
      <c r="E16" s="435">
        <v>1320</v>
      </c>
      <c r="F16" s="435">
        <v>1320</v>
      </c>
      <c r="G16" s="435">
        <v>1320</v>
      </c>
      <c r="H16" s="436">
        <f t="shared" si="3"/>
        <v>6600</v>
      </c>
      <c r="I16" s="437">
        <f t="shared" si="4"/>
        <v>6.3409713215160687E-2</v>
      </c>
      <c r="J16" s="279">
        <f t="shared" si="5"/>
        <v>1320</v>
      </c>
      <c r="M16" s="259" t="s">
        <v>252</v>
      </c>
      <c r="N16" s="435">
        <v>1320</v>
      </c>
      <c r="O16" s="435">
        <v>1320</v>
      </c>
      <c r="P16" s="435">
        <v>1320</v>
      </c>
      <c r="Q16" s="435">
        <v>1320</v>
      </c>
      <c r="R16" s="435">
        <v>1320</v>
      </c>
    </row>
    <row r="17" spans="2:18" x14ac:dyDescent="0.2">
      <c r="B17" s="259" t="s">
        <v>253</v>
      </c>
      <c r="C17" s="435">
        <v>10</v>
      </c>
      <c r="D17" s="435">
        <v>10</v>
      </c>
      <c r="E17" s="435">
        <v>10</v>
      </c>
      <c r="F17" s="435">
        <v>10</v>
      </c>
      <c r="G17" s="435">
        <v>10</v>
      </c>
      <c r="H17" s="436">
        <f t="shared" si="3"/>
        <v>50</v>
      </c>
      <c r="I17" s="437">
        <f t="shared" si="4"/>
        <v>4.8037661526636886E-4</v>
      </c>
      <c r="J17" s="279">
        <f t="shared" si="5"/>
        <v>10</v>
      </c>
      <c r="M17" s="259" t="s">
        <v>253</v>
      </c>
      <c r="N17" s="435">
        <v>10</v>
      </c>
      <c r="O17" s="435">
        <v>10</v>
      </c>
      <c r="P17" s="435">
        <v>10</v>
      </c>
      <c r="Q17" s="435">
        <v>10</v>
      </c>
      <c r="R17" s="435">
        <v>10</v>
      </c>
    </row>
    <row r="18" spans="2:18" x14ac:dyDescent="0.2">
      <c r="B18" s="259" t="s">
        <v>254</v>
      </c>
      <c r="C18" s="435">
        <v>1231</v>
      </c>
      <c r="D18" s="435">
        <v>1231</v>
      </c>
      <c r="E18" s="435">
        <v>1231</v>
      </c>
      <c r="F18" s="435">
        <v>1231</v>
      </c>
      <c r="G18" s="435">
        <v>1231</v>
      </c>
      <c r="H18" s="436">
        <f t="shared" si="3"/>
        <v>6155</v>
      </c>
      <c r="I18" s="437">
        <f t="shared" si="4"/>
        <v>5.9134361339290002E-2</v>
      </c>
      <c r="J18" s="279">
        <f t="shared" si="5"/>
        <v>1231</v>
      </c>
      <c r="M18" s="259" t="s">
        <v>254</v>
      </c>
      <c r="N18" s="435">
        <v>1231</v>
      </c>
      <c r="O18" s="435">
        <v>1231</v>
      </c>
      <c r="P18" s="435">
        <v>1231</v>
      </c>
      <c r="Q18" s="435">
        <v>1231</v>
      </c>
      <c r="R18" s="435">
        <v>1231</v>
      </c>
    </row>
    <row r="19" spans="2:18" x14ac:dyDescent="0.2">
      <c r="B19" s="259" t="s">
        <v>255</v>
      </c>
      <c r="C19" s="435">
        <v>676</v>
      </c>
      <c r="D19" s="435">
        <v>676</v>
      </c>
      <c r="E19" s="435">
        <v>676</v>
      </c>
      <c r="F19" s="435">
        <v>676</v>
      </c>
      <c r="G19" s="435">
        <v>676</v>
      </c>
      <c r="H19" s="436">
        <f t="shared" si="3"/>
        <v>3380</v>
      </c>
      <c r="I19" s="437">
        <f t="shared" si="4"/>
        <v>3.2473459192006532E-2</v>
      </c>
      <c r="J19" s="279">
        <f t="shared" si="5"/>
        <v>676</v>
      </c>
      <c r="M19" s="259" t="s">
        <v>255</v>
      </c>
      <c r="N19" s="435">
        <v>676</v>
      </c>
      <c r="O19" s="435">
        <v>676</v>
      </c>
      <c r="P19" s="435">
        <v>676</v>
      </c>
      <c r="Q19" s="435">
        <v>676</v>
      </c>
      <c r="R19" s="435">
        <v>676</v>
      </c>
    </row>
    <row r="20" spans="2:18" x14ac:dyDescent="0.2">
      <c r="B20" s="259" t="s">
        <v>256</v>
      </c>
      <c r="C20" s="435">
        <v>10</v>
      </c>
      <c r="D20" s="435">
        <v>10</v>
      </c>
      <c r="E20" s="435">
        <v>10</v>
      </c>
      <c r="F20" s="435">
        <v>10</v>
      </c>
      <c r="G20" s="435">
        <v>10</v>
      </c>
      <c r="H20" s="436">
        <f t="shared" si="3"/>
        <v>50</v>
      </c>
      <c r="I20" s="437">
        <f t="shared" si="4"/>
        <v>4.8037661526636886E-4</v>
      </c>
      <c r="J20" s="279">
        <f t="shared" si="5"/>
        <v>10</v>
      </c>
      <c r="M20" s="259" t="s">
        <v>256</v>
      </c>
      <c r="N20" s="435">
        <v>10</v>
      </c>
      <c r="O20" s="435">
        <v>10</v>
      </c>
      <c r="P20" s="435">
        <v>10</v>
      </c>
      <c r="Q20" s="435">
        <v>10</v>
      </c>
      <c r="R20" s="435">
        <v>10</v>
      </c>
    </row>
    <row r="21" spans="2:18" x14ac:dyDescent="0.2">
      <c r="C21" s="239"/>
    </row>
    <row r="22" spans="2:18" x14ac:dyDescent="0.2">
      <c r="B22" s="94" t="s">
        <v>375</v>
      </c>
    </row>
    <row r="23" spans="2:18" ht="13.5" thickBot="1" x14ac:dyDescent="0.25">
      <c r="B23" s="68"/>
    </row>
    <row r="24" spans="2:18" s="132" customFormat="1" x14ac:dyDescent="0.2">
      <c r="B24" s="183"/>
      <c r="C24" s="668">
        <v>2020</v>
      </c>
      <c r="D24" s="663"/>
      <c r="E24" s="662">
        <v>2021</v>
      </c>
      <c r="F24" s="663"/>
      <c r="G24" s="662">
        <v>2022</v>
      </c>
      <c r="H24" s="663"/>
      <c r="I24" s="662">
        <v>2023</v>
      </c>
      <c r="J24" s="663"/>
      <c r="K24" s="662">
        <v>2024</v>
      </c>
      <c r="L24" s="663"/>
    </row>
    <row r="25" spans="2:18" s="132" customFormat="1" ht="13.5" customHeight="1" x14ac:dyDescent="0.2">
      <c r="B25" s="416" t="s">
        <v>193</v>
      </c>
      <c r="C25" s="417" t="s">
        <v>194</v>
      </c>
      <c r="D25" s="418" t="s">
        <v>195</v>
      </c>
      <c r="E25" s="419" t="s">
        <v>194</v>
      </c>
      <c r="F25" s="418" t="s">
        <v>195</v>
      </c>
      <c r="G25" s="419" t="s">
        <v>194</v>
      </c>
      <c r="H25" s="418" t="s">
        <v>195</v>
      </c>
      <c r="I25" s="419" t="s">
        <v>194</v>
      </c>
      <c r="J25" s="418" t="s">
        <v>195</v>
      </c>
      <c r="K25" s="419" t="s">
        <v>194</v>
      </c>
      <c r="L25" s="418" t="s">
        <v>195</v>
      </c>
    </row>
    <row r="26" spans="2:18" s="132" customFormat="1" x14ac:dyDescent="0.2">
      <c r="B26" s="300" t="s">
        <v>248</v>
      </c>
      <c r="C26" s="420">
        <v>1</v>
      </c>
      <c r="D26" s="421">
        <v>0</v>
      </c>
      <c r="E26" s="422">
        <v>1</v>
      </c>
      <c r="F26" s="423">
        <v>0</v>
      </c>
      <c r="G26" s="422">
        <v>1</v>
      </c>
      <c r="H26" s="423">
        <v>0</v>
      </c>
      <c r="I26" s="422">
        <v>1</v>
      </c>
      <c r="J26" s="423">
        <v>0</v>
      </c>
      <c r="K26" s="422">
        <v>1</v>
      </c>
      <c r="L26" s="423">
        <v>0</v>
      </c>
    </row>
    <row r="27" spans="2:18" s="132" customFormat="1" x14ac:dyDescent="0.2">
      <c r="B27" s="424" t="s">
        <v>249</v>
      </c>
      <c r="C27" s="414">
        <v>1</v>
      </c>
      <c r="D27" s="415">
        <v>0</v>
      </c>
      <c r="E27" s="79">
        <v>1</v>
      </c>
      <c r="F27" s="78">
        <v>0</v>
      </c>
      <c r="G27" s="79">
        <v>1</v>
      </c>
      <c r="H27" s="78">
        <v>0</v>
      </c>
      <c r="I27" s="79">
        <v>1</v>
      </c>
      <c r="J27" s="78">
        <v>0</v>
      </c>
      <c r="K27" s="79">
        <v>1</v>
      </c>
      <c r="L27" s="78">
        <v>0</v>
      </c>
    </row>
    <row r="28" spans="2:18" s="132" customFormat="1" x14ac:dyDescent="0.2">
      <c r="B28" s="424" t="s">
        <v>250</v>
      </c>
      <c r="C28" s="414">
        <v>1</v>
      </c>
      <c r="D28" s="415">
        <v>0</v>
      </c>
      <c r="E28" s="79">
        <v>1</v>
      </c>
      <c r="F28" s="78">
        <v>0</v>
      </c>
      <c r="G28" s="79">
        <v>0.64</v>
      </c>
      <c r="H28" s="78">
        <v>0.36</v>
      </c>
      <c r="I28" s="79">
        <v>0.64</v>
      </c>
      <c r="J28" s="78">
        <v>0.36</v>
      </c>
      <c r="K28" s="79">
        <v>0.64</v>
      </c>
      <c r="L28" s="78">
        <v>0.36</v>
      </c>
    </row>
    <row r="29" spans="2:18" s="132" customFormat="1" x14ac:dyDescent="0.2">
      <c r="B29" s="424" t="s">
        <v>251</v>
      </c>
      <c r="C29" s="414">
        <v>1</v>
      </c>
      <c r="D29" s="415">
        <v>0</v>
      </c>
      <c r="E29" s="79">
        <v>1</v>
      </c>
      <c r="F29" s="78">
        <v>0</v>
      </c>
      <c r="G29" s="79">
        <v>0.61</v>
      </c>
      <c r="H29" s="78">
        <v>0.39</v>
      </c>
      <c r="I29" s="79">
        <v>0.61</v>
      </c>
      <c r="J29" s="78">
        <v>0.39</v>
      </c>
      <c r="K29" s="79">
        <v>0.61</v>
      </c>
      <c r="L29" s="78">
        <v>0.39</v>
      </c>
    </row>
    <row r="30" spans="2:18" s="132" customFormat="1" x14ac:dyDescent="0.2">
      <c r="B30" s="424" t="s">
        <v>252</v>
      </c>
      <c r="C30" s="414">
        <v>1</v>
      </c>
      <c r="D30" s="415">
        <v>0</v>
      </c>
      <c r="E30" s="79">
        <v>1</v>
      </c>
      <c r="F30" s="78">
        <v>0</v>
      </c>
      <c r="G30" s="79">
        <v>0.61</v>
      </c>
      <c r="H30" s="78">
        <v>0.39</v>
      </c>
      <c r="I30" s="79">
        <v>0.61</v>
      </c>
      <c r="J30" s="78">
        <v>0.39</v>
      </c>
      <c r="K30" s="79">
        <v>0.61</v>
      </c>
      <c r="L30" s="78">
        <v>0.39</v>
      </c>
    </row>
    <row r="31" spans="2:18" s="132" customFormat="1" x14ac:dyDescent="0.2">
      <c r="B31" s="424" t="s">
        <v>253</v>
      </c>
      <c r="C31" s="414">
        <v>1</v>
      </c>
      <c r="D31" s="415">
        <v>0</v>
      </c>
      <c r="E31" s="79">
        <v>1</v>
      </c>
      <c r="F31" s="78">
        <v>0</v>
      </c>
      <c r="G31" s="79">
        <v>0.61</v>
      </c>
      <c r="H31" s="78">
        <v>0.39</v>
      </c>
      <c r="I31" s="79">
        <v>0.61</v>
      </c>
      <c r="J31" s="78">
        <v>0.39</v>
      </c>
      <c r="K31" s="79">
        <v>0.61</v>
      </c>
      <c r="L31" s="78">
        <v>0.39</v>
      </c>
    </row>
    <row r="32" spans="2:18" s="132" customFormat="1" x14ac:dyDescent="0.2">
      <c r="B32" s="424" t="s">
        <v>254</v>
      </c>
      <c r="C32" s="414">
        <v>1</v>
      </c>
      <c r="D32" s="415">
        <v>0</v>
      </c>
      <c r="E32" s="79">
        <v>1</v>
      </c>
      <c r="F32" s="78">
        <v>0</v>
      </c>
      <c r="G32" s="79">
        <v>0.61</v>
      </c>
      <c r="H32" s="78">
        <v>0.39</v>
      </c>
      <c r="I32" s="79">
        <v>0.61</v>
      </c>
      <c r="J32" s="78">
        <v>0.39</v>
      </c>
      <c r="K32" s="79">
        <v>0.61</v>
      </c>
      <c r="L32" s="78">
        <v>0.39</v>
      </c>
    </row>
    <row r="33" spans="2:19" s="132" customFormat="1" x14ac:dyDescent="0.2">
      <c r="B33" s="424" t="s">
        <v>255</v>
      </c>
      <c r="C33" s="414">
        <v>1</v>
      </c>
      <c r="D33" s="415">
        <v>0</v>
      </c>
      <c r="E33" s="79">
        <v>1</v>
      </c>
      <c r="F33" s="78">
        <v>0</v>
      </c>
      <c r="G33" s="79">
        <v>0.61</v>
      </c>
      <c r="H33" s="78">
        <v>0.39</v>
      </c>
      <c r="I33" s="79">
        <v>0.61</v>
      </c>
      <c r="J33" s="78">
        <v>0.39</v>
      </c>
      <c r="K33" s="79">
        <v>0.61</v>
      </c>
      <c r="L33" s="78">
        <v>0.39</v>
      </c>
    </row>
    <row r="34" spans="2:19" s="132" customFormat="1" x14ac:dyDescent="0.2">
      <c r="B34" s="424" t="s">
        <v>256</v>
      </c>
      <c r="C34" s="414">
        <v>1</v>
      </c>
      <c r="D34" s="415">
        <v>0</v>
      </c>
      <c r="E34" s="79">
        <v>1</v>
      </c>
      <c r="F34" s="78">
        <v>0</v>
      </c>
      <c r="G34" s="79">
        <v>0.61</v>
      </c>
      <c r="H34" s="78">
        <v>0.39</v>
      </c>
      <c r="I34" s="79">
        <v>0.61</v>
      </c>
      <c r="J34" s="78">
        <v>0.39</v>
      </c>
      <c r="K34" s="79">
        <v>0.61</v>
      </c>
      <c r="L34" s="78">
        <v>0.39</v>
      </c>
    </row>
    <row r="35" spans="2:19" s="132" customFormat="1" x14ac:dyDescent="0.2">
      <c r="B35" s="425"/>
      <c r="C35" s="426">
        <v>1</v>
      </c>
      <c r="D35" s="427">
        <v>0</v>
      </c>
      <c r="E35" s="196">
        <v>1</v>
      </c>
      <c r="F35" s="197">
        <v>0</v>
      </c>
      <c r="G35" s="196">
        <v>0.61</v>
      </c>
      <c r="H35" s="197">
        <v>0.39</v>
      </c>
      <c r="I35" s="196">
        <v>0.61</v>
      </c>
      <c r="J35" s="197">
        <v>0.39</v>
      </c>
      <c r="K35" s="196">
        <v>0.61</v>
      </c>
      <c r="L35" s="197">
        <v>0.39</v>
      </c>
    </row>
    <row r="36" spans="2:19" s="201" customFormat="1" x14ac:dyDescent="0.2">
      <c r="C36" s="428"/>
      <c r="D36" s="428"/>
      <c r="E36" s="428"/>
      <c r="F36" s="428"/>
      <c r="G36" s="428"/>
      <c r="H36" s="428"/>
      <c r="I36" s="428"/>
      <c r="J36" s="428"/>
      <c r="K36" s="428"/>
      <c r="L36" s="428"/>
      <c r="N36" s="132"/>
      <c r="O36" s="132"/>
      <c r="P36" s="132"/>
      <c r="Q36" s="132"/>
      <c r="R36" s="132"/>
      <c r="S36" s="132"/>
    </row>
    <row r="37" spans="2:19" x14ac:dyDescent="0.2">
      <c r="N37" s="132"/>
      <c r="O37" s="132"/>
      <c r="P37" s="132"/>
      <c r="Q37" s="132"/>
      <c r="R37" s="132"/>
      <c r="S37" s="132"/>
    </row>
    <row r="38" spans="2:19" x14ac:dyDescent="0.2">
      <c r="B38" s="94" t="s">
        <v>377</v>
      </c>
    </row>
    <row r="39" spans="2:19" x14ac:dyDescent="0.2">
      <c r="B39" s="433"/>
      <c r="C39" s="261">
        <v>2020</v>
      </c>
      <c r="D39" s="261">
        <v>2021</v>
      </c>
      <c r="E39" s="261">
        <v>2022</v>
      </c>
      <c r="F39" s="261">
        <v>2023</v>
      </c>
      <c r="G39" s="262">
        <v>2024</v>
      </c>
      <c r="H39" s="203" t="s">
        <v>41</v>
      </c>
      <c r="I39" s="203" t="s">
        <v>3</v>
      </c>
      <c r="J39" s="203" t="s">
        <v>238</v>
      </c>
    </row>
    <row r="40" spans="2:19" x14ac:dyDescent="0.2">
      <c r="B40" s="258" t="s">
        <v>259</v>
      </c>
      <c r="C40" s="434">
        <f>SUM(C41:C49)</f>
        <v>20817</v>
      </c>
      <c r="D40" s="434">
        <f>SUM(D41:D49)</f>
        <v>20817</v>
      </c>
      <c r="E40" s="434">
        <f>SUM(E41:E49)</f>
        <v>15478.770000000002</v>
      </c>
      <c r="F40" s="434">
        <f>SUM(F41:F49)</f>
        <v>15478.770000000002</v>
      </c>
      <c r="G40" s="434">
        <f>SUM(G41:G49)</f>
        <v>15478.770000000002</v>
      </c>
      <c r="H40" s="436">
        <f t="shared" ref="H40:H49" si="6">SUM(C40:G40)</f>
        <v>88070.310000000012</v>
      </c>
      <c r="I40" s="437">
        <f t="shared" ref="I40:I49" si="7">+H40/$H$40</f>
        <v>1</v>
      </c>
      <c r="J40" s="279">
        <f t="shared" ref="J40:J49" si="8">AVERAGE(C40:G40)</f>
        <v>17614.062000000002</v>
      </c>
    </row>
    <row r="41" spans="2:19" x14ac:dyDescent="0.2">
      <c r="B41" s="260" t="s">
        <v>248</v>
      </c>
      <c r="C41" s="435">
        <f>C12*C26</f>
        <v>3760</v>
      </c>
      <c r="D41" s="435">
        <f>D12*E26</f>
        <v>3760</v>
      </c>
      <c r="E41" s="435">
        <f>E12*G26</f>
        <v>3760</v>
      </c>
      <c r="F41" s="435">
        <f>F12*I26</f>
        <v>3760</v>
      </c>
      <c r="G41" s="435">
        <f>G12*K26</f>
        <v>3760</v>
      </c>
      <c r="H41" s="436">
        <f t="shared" si="6"/>
        <v>18800</v>
      </c>
      <c r="I41" s="437">
        <f t="shared" si="7"/>
        <v>0.21346580930622361</v>
      </c>
      <c r="J41" s="279">
        <f t="shared" si="8"/>
        <v>3760</v>
      </c>
    </row>
    <row r="42" spans="2:19" x14ac:dyDescent="0.2">
      <c r="B42" s="259" t="s">
        <v>249</v>
      </c>
      <c r="C42" s="435">
        <f t="shared" ref="C42:C49" si="9">C13*C27</f>
        <v>2500</v>
      </c>
      <c r="D42" s="435">
        <f t="shared" ref="D42:D49" si="10">D13*E27</f>
        <v>2500</v>
      </c>
      <c r="E42" s="435">
        <f t="shared" ref="E42:E49" si="11">E13*G27</f>
        <v>2500</v>
      </c>
      <c r="F42" s="435">
        <f t="shared" ref="F42:F49" si="12">F13*I27</f>
        <v>2500</v>
      </c>
      <c r="G42" s="435">
        <f t="shared" ref="G42:G49" si="13">G13*K27</f>
        <v>2500</v>
      </c>
      <c r="H42" s="436">
        <f t="shared" si="6"/>
        <v>12500</v>
      </c>
      <c r="I42" s="437">
        <f t="shared" si="7"/>
        <v>0.1419320540599891</v>
      </c>
      <c r="J42" s="279">
        <f t="shared" si="8"/>
        <v>2500</v>
      </c>
    </row>
    <row r="43" spans="2:19" x14ac:dyDescent="0.2">
      <c r="B43" s="259" t="s">
        <v>250</v>
      </c>
      <c r="C43" s="435">
        <f t="shared" si="9"/>
        <v>11300</v>
      </c>
      <c r="D43" s="435">
        <f t="shared" si="10"/>
        <v>11300</v>
      </c>
      <c r="E43" s="435">
        <f t="shared" si="11"/>
        <v>7232</v>
      </c>
      <c r="F43" s="435">
        <f t="shared" si="12"/>
        <v>7232</v>
      </c>
      <c r="G43" s="435">
        <f t="shared" si="13"/>
        <v>7232</v>
      </c>
      <c r="H43" s="436">
        <f t="shared" si="6"/>
        <v>44296</v>
      </c>
      <c r="I43" s="437">
        <f t="shared" si="7"/>
        <v>0.5029617813313022</v>
      </c>
      <c r="J43" s="279">
        <f t="shared" si="8"/>
        <v>8859.2000000000007</v>
      </c>
    </row>
    <row r="44" spans="2:19" x14ac:dyDescent="0.2">
      <c r="B44" s="259" t="s">
        <v>251</v>
      </c>
      <c r="C44" s="435">
        <f t="shared" si="9"/>
        <v>10</v>
      </c>
      <c r="D44" s="435">
        <f t="shared" si="10"/>
        <v>10</v>
      </c>
      <c r="E44" s="435">
        <f t="shared" si="11"/>
        <v>6.1</v>
      </c>
      <c r="F44" s="435">
        <f t="shared" si="12"/>
        <v>6.1</v>
      </c>
      <c r="G44" s="435">
        <f t="shared" si="13"/>
        <v>6.1</v>
      </c>
      <c r="H44" s="436">
        <f t="shared" si="6"/>
        <v>38.300000000000004</v>
      </c>
      <c r="I44" s="437">
        <f t="shared" si="7"/>
        <v>4.3487981363980662E-4</v>
      </c>
      <c r="J44" s="279">
        <f t="shared" si="8"/>
        <v>7.660000000000001</v>
      </c>
    </row>
    <row r="45" spans="2:19" x14ac:dyDescent="0.2">
      <c r="B45" s="259" t="s">
        <v>252</v>
      </c>
      <c r="C45" s="435">
        <f t="shared" si="9"/>
        <v>1320</v>
      </c>
      <c r="D45" s="435">
        <f t="shared" si="10"/>
        <v>1320</v>
      </c>
      <c r="E45" s="435">
        <f t="shared" si="11"/>
        <v>805.19999999999993</v>
      </c>
      <c r="F45" s="435">
        <f t="shared" si="12"/>
        <v>805.19999999999993</v>
      </c>
      <c r="G45" s="435">
        <f t="shared" si="13"/>
        <v>805.19999999999993</v>
      </c>
      <c r="H45" s="436">
        <f t="shared" si="6"/>
        <v>5055.5999999999995</v>
      </c>
      <c r="I45" s="437">
        <f t="shared" si="7"/>
        <v>5.7404135400454463E-2</v>
      </c>
      <c r="J45" s="279">
        <f t="shared" si="8"/>
        <v>1011.1199999999999</v>
      </c>
    </row>
    <row r="46" spans="2:19" x14ac:dyDescent="0.2">
      <c r="B46" s="259" t="s">
        <v>253</v>
      </c>
      <c r="C46" s="435">
        <f t="shared" si="9"/>
        <v>10</v>
      </c>
      <c r="D46" s="435">
        <f t="shared" si="10"/>
        <v>10</v>
      </c>
      <c r="E46" s="435">
        <f t="shared" si="11"/>
        <v>6.1</v>
      </c>
      <c r="F46" s="435">
        <f t="shared" si="12"/>
        <v>6.1</v>
      </c>
      <c r="G46" s="435">
        <f t="shared" si="13"/>
        <v>6.1</v>
      </c>
      <c r="H46" s="436">
        <f t="shared" si="6"/>
        <v>38.300000000000004</v>
      </c>
      <c r="I46" s="437">
        <f t="shared" si="7"/>
        <v>4.3487981363980662E-4</v>
      </c>
      <c r="J46" s="279">
        <f t="shared" si="8"/>
        <v>7.660000000000001</v>
      </c>
    </row>
    <row r="47" spans="2:19" x14ac:dyDescent="0.2">
      <c r="B47" s="259" t="s">
        <v>254</v>
      </c>
      <c r="C47" s="435">
        <f t="shared" si="9"/>
        <v>1231</v>
      </c>
      <c r="D47" s="435">
        <f t="shared" si="10"/>
        <v>1231</v>
      </c>
      <c r="E47" s="435">
        <f t="shared" si="11"/>
        <v>750.91</v>
      </c>
      <c r="F47" s="435">
        <f t="shared" si="12"/>
        <v>750.91</v>
      </c>
      <c r="G47" s="435">
        <f t="shared" si="13"/>
        <v>750.91</v>
      </c>
      <c r="H47" s="436">
        <f t="shared" si="6"/>
        <v>4714.7299999999996</v>
      </c>
      <c r="I47" s="437">
        <f t="shared" si="7"/>
        <v>5.3533705059060188E-2</v>
      </c>
      <c r="J47" s="279">
        <f t="shared" si="8"/>
        <v>942.94599999999991</v>
      </c>
    </row>
    <row r="48" spans="2:19" x14ac:dyDescent="0.2">
      <c r="B48" s="259" t="s">
        <v>255</v>
      </c>
      <c r="C48" s="435">
        <f t="shared" si="9"/>
        <v>676</v>
      </c>
      <c r="D48" s="435">
        <f t="shared" si="10"/>
        <v>676</v>
      </c>
      <c r="E48" s="435">
        <f t="shared" si="11"/>
        <v>412.36</v>
      </c>
      <c r="F48" s="435">
        <f t="shared" si="12"/>
        <v>412.36</v>
      </c>
      <c r="G48" s="435">
        <f t="shared" si="13"/>
        <v>412.36</v>
      </c>
      <c r="H48" s="436">
        <f t="shared" si="6"/>
        <v>2589.0800000000004</v>
      </c>
      <c r="I48" s="437">
        <f t="shared" si="7"/>
        <v>2.9397875402050931E-2</v>
      </c>
      <c r="J48" s="279">
        <f t="shared" si="8"/>
        <v>517.81600000000003</v>
      </c>
    </row>
    <row r="49" spans="2:10" x14ac:dyDescent="0.2">
      <c r="B49" s="259" t="s">
        <v>256</v>
      </c>
      <c r="C49" s="435">
        <f t="shared" si="9"/>
        <v>10</v>
      </c>
      <c r="D49" s="435">
        <f t="shared" si="10"/>
        <v>10</v>
      </c>
      <c r="E49" s="435">
        <f t="shared" si="11"/>
        <v>6.1</v>
      </c>
      <c r="F49" s="435">
        <f t="shared" si="12"/>
        <v>6.1</v>
      </c>
      <c r="G49" s="435">
        <f t="shared" si="13"/>
        <v>6.1</v>
      </c>
      <c r="H49" s="436">
        <f t="shared" si="6"/>
        <v>38.300000000000004</v>
      </c>
      <c r="I49" s="437">
        <f t="shared" si="7"/>
        <v>4.3487981363980662E-4</v>
      </c>
      <c r="J49" s="279">
        <f t="shared" si="8"/>
        <v>7.660000000000001</v>
      </c>
    </row>
    <row r="51" spans="2:10" x14ac:dyDescent="0.2">
      <c r="B51" s="94" t="s">
        <v>378</v>
      </c>
    </row>
    <row r="52" spans="2:10" x14ac:dyDescent="0.2">
      <c r="B52" s="433"/>
      <c r="C52" s="261">
        <v>2020</v>
      </c>
      <c r="D52" s="261">
        <v>2021</v>
      </c>
      <c r="E52" s="261">
        <v>2022</v>
      </c>
      <c r="F52" s="261">
        <v>2023</v>
      </c>
      <c r="G52" s="262">
        <v>2024</v>
      </c>
      <c r="H52" s="203" t="s">
        <v>41</v>
      </c>
      <c r="I52" s="203" t="s">
        <v>3</v>
      </c>
      <c r="J52" s="203" t="s">
        <v>238</v>
      </c>
    </row>
    <row r="53" spans="2:10" x14ac:dyDescent="0.2">
      <c r="B53" s="258" t="s">
        <v>259</v>
      </c>
      <c r="C53" s="434">
        <f>SUM(C54:C62)</f>
        <v>0</v>
      </c>
      <c r="D53" s="434">
        <f>SUM(D54:D62)</f>
        <v>0</v>
      </c>
      <c r="E53" s="434">
        <f>SUM(E54:E62)</f>
        <v>5338.23</v>
      </c>
      <c r="F53" s="434">
        <f>SUM(F54:F62)</f>
        <v>5338.23</v>
      </c>
      <c r="G53" s="434">
        <f>SUM(G54:G62)</f>
        <v>5338.23</v>
      </c>
      <c r="H53" s="436">
        <f t="shared" ref="H53:H62" si="14">SUM(C53:G53)</f>
        <v>16014.689999999999</v>
      </c>
      <c r="I53" s="437">
        <f t="shared" ref="I53:I62" si="15">+H53/$H$53</f>
        <v>1</v>
      </c>
      <c r="J53" s="279">
        <f t="shared" ref="J53:J62" si="16">AVERAGE(C53:G53)</f>
        <v>3202.9379999999996</v>
      </c>
    </row>
    <row r="54" spans="2:10" x14ac:dyDescent="0.2">
      <c r="B54" s="260" t="s">
        <v>248</v>
      </c>
      <c r="C54" s="435">
        <f>C12*D26</f>
        <v>0</v>
      </c>
      <c r="D54" s="435">
        <f>D12*F26</f>
        <v>0</v>
      </c>
      <c r="E54" s="435">
        <f>E12*H26</f>
        <v>0</v>
      </c>
      <c r="F54" s="435">
        <f>F12*J26</f>
        <v>0</v>
      </c>
      <c r="G54" s="435">
        <f>G12*L26</f>
        <v>0</v>
      </c>
      <c r="H54" s="436">
        <f t="shared" si="14"/>
        <v>0</v>
      </c>
      <c r="I54" s="437">
        <f t="shared" si="15"/>
        <v>0</v>
      </c>
      <c r="J54" s="279">
        <f t="shared" si="16"/>
        <v>0</v>
      </c>
    </row>
    <row r="55" spans="2:10" x14ac:dyDescent="0.2">
      <c r="B55" s="259" t="s">
        <v>249</v>
      </c>
      <c r="C55" s="435">
        <f t="shared" ref="C55:C62" si="17">C13*D27</f>
        <v>0</v>
      </c>
      <c r="D55" s="435">
        <f t="shared" ref="D55:D62" si="18">D13*F27</f>
        <v>0</v>
      </c>
      <c r="E55" s="435">
        <f t="shared" ref="E55:E62" si="19">E13*H27</f>
        <v>0</v>
      </c>
      <c r="F55" s="435">
        <f t="shared" ref="F55:F62" si="20">F13*J27</f>
        <v>0</v>
      </c>
      <c r="G55" s="435">
        <f t="shared" ref="G55:G61" si="21">G13*L27</f>
        <v>0</v>
      </c>
      <c r="H55" s="436">
        <f t="shared" si="14"/>
        <v>0</v>
      </c>
      <c r="I55" s="437">
        <f t="shared" si="15"/>
        <v>0</v>
      </c>
      <c r="J55" s="279">
        <f t="shared" si="16"/>
        <v>0</v>
      </c>
    </row>
    <row r="56" spans="2:10" x14ac:dyDescent="0.2">
      <c r="B56" s="259" t="s">
        <v>250</v>
      </c>
      <c r="C56" s="435">
        <f t="shared" si="17"/>
        <v>0</v>
      </c>
      <c r="D56" s="435">
        <f t="shared" si="18"/>
        <v>0</v>
      </c>
      <c r="E56" s="435">
        <f t="shared" si="19"/>
        <v>4068</v>
      </c>
      <c r="F56" s="435">
        <f t="shared" si="20"/>
        <v>4068</v>
      </c>
      <c r="G56" s="435">
        <f t="shared" si="21"/>
        <v>4068</v>
      </c>
      <c r="H56" s="436">
        <f t="shared" si="14"/>
        <v>12204</v>
      </c>
      <c r="I56" s="437">
        <f t="shared" si="15"/>
        <v>0.7620503425292654</v>
      </c>
      <c r="J56" s="279">
        <f t="shared" si="16"/>
        <v>2440.8000000000002</v>
      </c>
    </row>
    <row r="57" spans="2:10" x14ac:dyDescent="0.2">
      <c r="B57" s="259" t="s">
        <v>251</v>
      </c>
      <c r="C57" s="435">
        <f t="shared" si="17"/>
        <v>0</v>
      </c>
      <c r="D57" s="435">
        <f t="shared" si="18"/>
        <v>0</v>
      </c>
      <c r="E57" s="435">
        <f t="shared" si="19"/>
        <v>3.9000000000000004</v>
      </c>
      <c r="F57" s="435">
        <f t="shared" si="20"/>
        <v>3.9000000000000004</v>
      </c>
      <c r="G57" s="435">
        <f t="shared" si="21"/>
        <v>3.9000000000000004</v>
      </c>
      <c r="H57" s="436">
        <f t="shared" si="14"/>
        <v>11.700000000000001</v>
      </c>
      <c r="I57" s="437">
        <f t="shared" si="15"/>
        <v>7.3057923693808631E-4</v>
      </c>
      <c r="J57" s="279">
        <f t="shared" si="16"/>
        <v>2.3400000000000003</v>
      </c>
    </row>
    <row r="58" spans="2:10" x14ac:dyDescent="0.2">
      <c r="B58" s="259" t="s">
        <v>252</v>
      </c>
      <c r="C58" s="435">
        <f t="shared" si="17"/>
        <v>0</v>
      </c>
      <c r="D58" s="435">
        <f t="shared" si="18"/>
        <v>0</v>
      </c>
      <c r="E58" s="435">
        <f t="shared" si="19"/>
        <v>514.80000000000007</v>
      </c>
      <c r="F58" s="435">
        <f t="shared" si="20"/>
        <v>514.80000000000007</v>
      </c>
      <c r="G58" s="435">
        <f t="shared" si="21"/>
        <v>514.80000000000007</v>
      </c>
      <c r="H58" s="436">
        <f t="shared" si="14"/>
        <v>1544.4</v>
      </c>
      <c r="I58" s="437">
        <f t="shared" si="15"/>
        <v>9.6436459275827391E-2</v>
      </c>
      <c r="J58" s="279">
        <f t="shared" si="16"/>
        <v>308.88</v>
      </c>
    </row>
    <row r="59" spans="2:10" x14ac:dyDescent="0.2">
      <c r="B59" s="259" t="s">
        <v>253</v>
      </c>
      <c r="C59" s="435">
        <f t="shared" si="17"/>
        <v>0</v>
      </c>
      <c r="D59" s="435">
        <f t="shared" si="18"/>
        <v>0</v>
      </c>
      <c r="E59" s="435">
        <f t="shared" si="19"/>
        <v>3.9000000000000004</v>
      </c>
      <c r="F59" s="435">
        <f t="shared" si="20"/>
        <v>3.9000000000000004</v>
      </c>
      <c r="G59" s="435">
        <f t="shared" si="21"/>
        <v>3.9000000000000004</v>
      </c>
      <c r="H59" s="436">
        <f t="shared" si="14"/>
        <v>11.700000000000001</v>
      </c>
      <c r="I59" s="437">
        <f t="shared" si="15"/>
        <v>7.3057923693808631E-4</v>
      </c>
      <c r="J59" s="279">
        <f t="shared" si="16"/>
        <v>2.3400000000000003</v>
      </c>
    </row>
    <row r="60" spans="2:10" x14ac:dyDescent="0.2">
      <c r="B60" s="259" t="s">
        <v>254</v>
      </c>
      <c r="C60" s="435">
        <f t="shared" si="17"/>
        <v>0</v>
      </c>
      <c r="D60" s="435">
        <f t="shared" si="18"/>
        <v>0</v>
      </c>
      <c r="E60" s="435">
        <f t="shared" si="19"/>
        <v>480.09000000000003</v>
      </c>
      <c r="F60" s="435">
        <f t="shared" si="20"/>
        <v>480.09000000000003</v>
      </c>
      <c r="G60" s="435">
        <f t="shared" si="21"/>
        <v>480.09000000000003</v>
      </c>
      <c r="H60" s="436">
        <f t="shared" si="14"/>
        <v>1440.27</v>
      </c>
      <c r="I60" s="437">
        <f t="shared" si="15"/>
        <v>8.9934304067078419E-2</v>
      </c>
      <c r="J60" s="279">
        <f t="shared" si="16"/>
        <v>288.05399999999997</v>
      </c>
    </row>
    <row r="61" spans="2:10" x14ac:dyDescent="0.2">
      <c r="B61" s="259" t="s">
        <v>255</v>
      </c>
      <c r="C61" s="435">
        <f t="shared" si="17"/>
        <v>0</v>
      </c>
      <c r="D61" s="435">
        <f t="shared" si="18"/>
        <v>0</v>
      </c>
      <c r="E61" s="435">
        <f t="shared" si="19"/>
        <v>263.64</v>
      </c>
      <c r="F61" s="435">
        <f t="shared" si="20"/>
        <v>263.64</v>
      </c>
      <c r="G61" s="435">
        <f t="shared" si="21"/>
        <v>263.64</v>
      </c>
      <c r="H61" s="436">
        <f t="shared" si="14"/>
        <v>790.92</v>
      </c>
      <c r="I61" s="437">
        <f t="shared" si="15"/>
        <v>4.9387156417014633E-2</v>
      </c>
      <c r="J61" s="279">
        <f t="shared" si="16"/>
        <v>158.184</v>
      </c>
    </row>
    <row r="62" spans="2:10" x14ac:dyDescent="0.2">
      <c r="B62" s="259" t="s">
        <v>256</v>
      </c>
      <c r="C62" s="435">
        <f t="shared" si="17"/>
        <v>0</v>
      </c>
      <c r="D62" s="435">
        <f t="shared" si="18"/>
        <v>0</v>
      </c>
      <c r="E62" s="435">
        <f t="shared" si="19"/>
        <v>3.9000000000000004</v>
      </c>
      <c r="F62" s="435">
        <f t="shared" si="20"/>
        <v>3.9000000000000004</v>
      </c>
      <c r="G62" s="435">
        <f>G20*L34</f>
        <v>3.9000000000000004</v>
      </c>
      <c r="H62" s="436">
        <f t="shared" si="14"/>
        <v>11.700000000000001</v>
      </c>
      <c r="I62" s="437">
        <f t="shared" si="15"/>
        <v>7.3057923693808631E-4</v>
      </c>
      <c r="J62" s="279">
        <f t="shared" si="16"/>
        <v>2.3400000000000003</v>
      </c>
    </row>
    <row r="63" spans="2:10" x14ac:dyDescent="0.2">
      <c r="C63" s="239"/>
      <c r="D63" s="239"/>
      <c r="E63" s="239"/>
      <c r="F63" s="239"/>
      <c r="G63" s="239"/>
    </row>
    <row r="64" spans="2:10" x14ac:dyDescent="0.2">
      <c r="B64" s="94" t="s">
        <v>379</v>
      </c>
    </row>
    <row r="65" spans="2:10" x14ac:dyDescent="0.2">
      <c r="B65" s="433"/>
      <c r="C65" s="261">
        <v>2020</v>
      </c>
      <c r="D65" s="261">
        <v>2021</v>
      </c>
      <c r="E65" s="261">
        <v>2022</v>
      </c>
      <c r="F65" s="261">
        <v>2023</v>
      </c>
      <c r="G65" s="262">
        <v>2024</v>
      </c>
      <c r="H65" s="203" t="s">
        <v>41</v>
      </c>
      <c r="I65" s="203" t="s">
        <v>3</v>
      </c>
      <c r="J65" s="203" t="s">
        <v>238</v>
      </c>
    </row>
    <row r="66" spans="2:10" x14ac:dyDescent="0.2">
      <c r="B66" s="258" t="s">
        <v>259</v>
      </c>
      <c r="C66" s="434">
        <f>SUM(C67:C75)</f>
        <v>20817</v>
      </c>
      <c r="D66" s="434">
        <f>SUM(D67:D75)</f>
        <v>20817</v>
      </c>
      <c r="E66" s="434">
        <f>SUM(E67:E75)</f>
        <v>20817</v>
      </c>
      <c r="F66" s="434">
        <f>SUM(F67:F75)</f>
        <v>20817</v>
      </c>
      <c r="G66" s="434">
        <f>SUM(G67:G75)</f>
        <v>20817</v>
      </c>
      <c r="H66" s="436">
        <f t="shared" ref="H66:H75" si="22">SUM(C66:G66)</f>
        <v>104085</v>
      </c>
      <c r="I66" s="437">
        <f t="shared" ref="I66:I75" si="23">+H66/$H$66</f>
        <v>1</v>
      </c>
      <c r="J66" s="279">
        <f t="shared" ref="J66:J75" si="24">AVERAGE(C66:G66)</f>
        <v>20817</v>
      </c>
    </row>
    <row r="67" spans="2:10" x14ac:dyDescent="0.2">
      <c r="B67" s="260" t="s">
        <v>248</v>
      </c>
      <c r="C67" s="435">
        <f t="shared" ref="C67:G75" si="25">C41+C54</f>
        <v>3760</v>
      </c>
      <c r="D67" s="435">
        <f t="shared" si="25"/>
        <v>3760</v>
      </c>
      <c r="E67" s="435">
        <f t="shared" si="25"/>
        <v>3760</v>
      </c>
      <c r="F67" s="435">
        <f t="shared" si="25"/>
        <v>3760</v>
      </c>
      <c r="G67" s="435">
        <f t="shared" si="25"/>
        <v>3760</v>
      </c>
      <c r="H67" s="436">
        <f t="shared" si="22"/>
        <v>18800</v>
      </c>
      <c r="I67" s="437">
        <f t="shared" si="23"/>
        <v>0.18062160734015467</v>
      </c>
      <c r="J67" s="279">
        <f t="shared" si="24"/>
        <v>3760</v>
      </c>
    </row>
    <row r="68" spans="2:10" x14ac:dyDescent="0.2">
      <c r="B68" s="259" t="s">
        <v>249</v>
      </c>
      <c r="C68" s="435">
        <f t="shared" si="25"/>
        <v>2500</v>
      </c>
      <c r="D68" s="435">
        <f t="shared" si="25"/>
        <v>2500</v>
      </c>
      <c r="E68" s="435">
        <f t="shared" si="25"/>
        <v>2500</v>
      </c>
      <c r="F68" s="435">
        <f t="shared" si="25"/>
        <v>2500</v>
      </c>
      <c r="G68" s="435">
        <f t="shared" si="25"/>
        <v>2500</v>
      </c>
      <c r="H68" s="436">
        <f t="shared" si="22"/>
        <v>12500</v>
      </c>
      <c r="I68" s="437">
        <f t="shared" si="23"/>
        <v>0.12009415381659221</v>
      </c>
      <c r="J68" s="279">
        <f t="shared" si="24"/>
        <v>2500</v>
      </c>
    </row>
    <row r="69" spans="2:10" x14ac:dyDescent="0.2">
      <c r="B69" s="259" t="s">
        <v>250</v>
      </c>
      <c r="C69" s="435">
        <f t="shared" si="25"/>
        <v>11300</v>
      </c>
      <c r="D69" s="435">
        <f t="shared" si="25"/>
        <v>11300</v>
      </c>
      <c r="E69" s="435">
        <f t="shared" si="25"/>
        <v>11300</v>
      </c>
      <c r="F69" s="435">
        <f t="shared" si="25"/>
        <v>11300</v>
      </c>
      <c r="G69" s="435">
        <f t="shared" si="25"/>
        <v>11300</v>
      </c>
      <c r="H69" s="436">
        <f t="shared" si="22"/>
        <v>56500</v>
      </c>
      <c r="I69" s="437">
        <f t="shared" si="23"/>
        <v>0.54282557525099673</v>
      </c>
      <c r="J69" s="279">
        <f t="shared" si="24"/>
        <v>11300</v>
      </c>
    </row>
    <row r="70" spans="2:10" x14ac:dyDescent="0.2">
      <c r="B70" s="259" t="s">
        <v>251</v>
      </c>
      <c r="C70" s="435">
        <f t="shared" si="25"/>
        <v>10</v>
      </c>
      <c r="D70" s="435">
        <f t="shared" si="25"/>
        <v>10</v>
      </c>
      <c r="E70" s="435">
        <f t="shared" si="25"/>
        <v>10</v>
      </c>
      <c r="F70" s="435">
        <f t="shared" si="25"/>
        <v>10</v>
      </c>
      <c r="G70" s="435">
        <f t="shared" si="25"/>
        <v>10</v>
      </c>
      <c r="H70" s="436">
        <f t="shared" si="22"/>
        <v>50</v>
      </c>
      <c r="I70" s="437">
        <f t="shared" si="23"/>
        <v>4.8037661526636886E-4</v>
      </c>
      <c r="J70" s="279">
        <f t="shared" si="24"/>
        <v>10</v>
      </c>
    </row>
    <row r="71" spans="2:10" x14ac:dyDescent="0.2">
      <c r="B71" s="259" t="s">
        <v>252</v>
      </c>
      <c r="C71" s="435">
        <f t="shared" si="25"/>
        <v>1320</v>
      </c>
      <c r="D71" s="435">
        <f t="shared" si="25"/>
        <v>1320</v>
      </c>
      <c r="E71" s="435">
        <f>E45+E58</f>
        <v>1320</v>
      </c>
      <c r="F71" s="435">
        <f t="shared" si="25"/>
        <v>1320</v>
      </c>
      <c r="G71" s="435">
        <f t="shared" si="25"/>
        <v>1320</v>
      </c>
      <c r="H71" s="436">
        <f t="shared" si="22"/>
        <v>6600</v>
      </c>
      <c r="I71" s="437">
        <f t="shared" si="23"/>
        <v>6.3409713215160687E-2</v>
      </c>
      <c r="J71" s="279">
        <f t="shared" si="24"/>
        <v>1320</v>
      </c>
    </row>
    <row r="72" spans="2:10" x14ac:dyDescent="0.2">
      <c r="B72" s="259" t="s">
        <v>253</v>
      </c>
      <c r="C72" s="435">
        <f t="shared" si="25"/>
        <v>10</v>
      </c>
      <c r="D72" s="435">
        <f t="shared" si="25"/>
        <v>10</v>
      </c>
      <c r="E72" s="435">
        <f t="shared" si="25"/>
        <v>10</v>
      </c>
      <c r="F72" s="435">
        <f t="shared" si="25"/>
        <v>10</v>
      </c>
      <c r="G72" s="435">
        <f t="shared" si="25"/>
        <v>10</v>
      </c>
      <c r="H72" s="436">
        <f t="shared" si="22"/>
        <v>50</v>
      </c>
      <c r="I72" s="437">
        <f t="shared" si="23"/>
        <v>4.8037661526636886E-4</v>
      </c>
      <c r="J72" s="279">
        <f t="shared" si="24"/>
        <v>10</v>
      </c>
    </row>
    <row r="73" spans="2:10" x14ac:dyDescent="0.2">
      <c r="B73" s="259" t="s">
        <v>254</v>
      </c>
      <c r="C73" s="435">
        <f t="shared" si="25"/>
        <v>1231</v>
      </c>
      <c r="D73" s="435">
        <f t="shared" si="25"/>
        <v>1231</v>
      </c>
      <c r="E73" s="435">
        <f t="shared" si="25"/>
        <v>1231</v>
      </c>
      <c r="F73" s="435">
        <f t="shared" si="25"/>
        <v>1231</v>
      </c>
      <c r="G73" s="435">
        <f t="shared" si="25"/>
        <v>1231</v>
      </c>
      <c r="H73" s="436">
        <f t="shared" si="22"/>
        <v>6155</v>
      </c>
      <c r="I73" s="437">
        <f t="shared" si="23"/>
        <v>5.9134361339290002E-2</v>
      </c>
      <c r="J73" s="279">
        <f t="shared" si="24"/>
        <v>1231</v>
      </c>
    </row>
    <row r="74" spans="2:10" x14ac:dyDescent="0.2">
      <c r="B74" s="259" t="s">
        <v>255</v>
      </c>
      <c r="C74" s="435">
        <f t="shared" si="25"/>
        <v>676</v>
      </c>
      <c r="D74" s="435">
        <f t="shared" si="25"/>
        <v>676</v>
      </c>
      <c r="E74" s="435">
        <f t="shared" si="25"/>
        <v>676</v>
      </c>
      <c r="F74" s="435">
        <f t="shared" si="25"/>
        <v>676</v>
      </c>
      <c r="G74" s="435">
        <f t="shared" si="25"/>
        <v>676</v>
      </c>
      <c r="H74" s="436">
        <f t="shared" si="22"/>
        <v>3380</v>
      </c>
      <c r="I74" s="437">
        <f t="shared" si="23"/>
        <v>3.2473459192006532E-2</v>
      </c>
      <c r="J74" s="279">
        <f t="shared" si="24"/>
        <v>676</v>
      </c>
    </row>
    <row r="75" spans="2:10" x14ac:dyDescent="0.2">
      <c r="B75" s="259" t="s">
        <v>256</v>
      </c>
      <c r="C75" s="435">
        <f t="shared" si="25"/>
        <v>10</v>
      </c>
      <c r="D75" s="435">
        <f t="shared" si="25"/>
        <v>10</v>
      </c>
      <c r="E75" s="435">
        <f t="shared" si="25"/>
        <v>10</v>
      </c>
      <c r="F75" s="435">
        <f t="shared" si="25"/>
        <v>10</v>
      </c>
      <c r="G75" s="435">
        <f t="shared" si="25"/>
        <v>10</v>
      </c>
      <c r="H75" s="436">
        <f t="shared" si="22"/>
        <v>50</v>
      </c>
      <c r="I75" s="437">
        <f t="shared" si="23"/>
        <v>4.8037661526636886E-4</v>
      </c>
      <c r="J75" s="279">
        <f t="shared" si="24"/>
        <v>10</v>
      </c>
    </row>
    <row r="76" spans="2:10" x14ac:dyDescent="0.2">
      <c r="C76" s="239"/>
      <c r="D76" s="239"/>
      <c r="E76" s="239"/>
      <c r="F76" s="239"/>
      <c r="G76" s="239"/>
    </row>
    <row r="77" spans="2:10" x14ac:dyDescent="0.2">
      <c r="B77" s="94" t="s">
        <v>329</v>
      </c>
    </row>
    <row r="78" spans="2:10" x14ac:dyDescent="0.2">
      <c r="B78" s="68" t="s">
        <v>328</v>
      </c>
    </row>
    <row r="79" spans="2:10" x14ac:dyDescent="0.2">
      <c r="B79" s="433"/>
      <c r="C79" s="261">
        <v>2020</v>
      </c>
      <c r="D79" s="261">
        <v>2021</v>
      </c>
      <c r="E79" s="261">
        <v>2022</v>
      </c>
      <c r="F79" s="261">
        <v>2023</v>
      </c>
      <c r="G79" s="262">
        <v>2024</v>
      </c>
      <c r="H79" s="203" t="s">
        <v>41</v>
      </c>
      <c r="I79" s="203" t="s">
        <v>3</v>
      </c>
      <c r="J79" s="203" t="s">
        <v>238</v>
      </c>
    </row>
    <row r="80" spans="2:10" x14ac:dyDescent="0.2">
      <c r="B80" s="258" t="s">
        <v>332</v>
      </c>
      <c r="C80" s="434">
        <f>SUM(C81:C82)</f>
        <v>7619022</v>
      </c>
      <c r="D80" s="434">
        <f>SUM(D81:D82)</f>
        <v>7598205</v>
      </c>
      <c r="E80" s="434">
        <f>SUM(E81:E82)</f>
        <v>7598205.0000000009</v>
      </c>
      <c r="F80" s="434">
        <f>SUM(F81:F82)</f>
        <v>7598205.0000000196</v>
      </c>
      <c r="G80" s="434">
        <f>SUM(G81:G82)</f>
        <v>7619022.0000000009</v>
      </c>
      <c r="H80" s="436">
        <f>SUM(C80:G80)</f>
        <v>38032659.000000022</v>
      </c>
      <c r="I80" s="437">
        <f>H80/H80</f>
        <v>1</v>
      </c>
      <c r="J80" s="279">
        <f>AVERAGE(C80:G80)</f>
        <v>7606531.8000000045</v>
      </c>
    </row>
    <row r="81" spans="2:11" x14ac:dyDescent="0.2">
      <c r="B81" s="259" t="s">
        <v>260</v>
      </c>
      <c r="C81" s="435">
        <f t="shared" ref="C81:G82" si="26">C6*C$119</f>
        <v>7619022</v>
      </c>
      <c r="D81" s="435">
        <f t="shared" si="26"/>
        <v>7598205</v>
      </c>
      <c r="E81" s="435">
        <f t="shared" si="26"/>
        <v>5649751.0500000007</v>
      </c>
      <c r="F81" s="435">
        <f t="shared" si="26"/>
        <v>5649751.0500000194</v>
      </c>
      <c r="G81" s="435">
        <f t="shared" si="26"/>
        <v>5665229.8200000012</v>
      </c>
      <c r="H81" s="436">
        <f>SUM(C81:G81)</f>
        <v>32181958.92000002</v>
      </c>
      <c r="I81" s="437">
        <f>H81/H80</f>
        <v>0.84616642028631239</v>
      </c>
      <c r="J81" s="279">
        <f>AVERAGE(C81:G81)</f>
        <v>6436391.7840000037</v>
      </c>
      <c r="K81" s="177"/>
    </row>
    <row r="82" spans="2:11" x14ac:dyDescent="0.2">
      <c r="B82" s="259" t="s">
        <v>185</v>
      </c>
      <c r="C82" s="435">
        <f t="shared" si="26"/>
        <v>0</v>
      </c>
      <c r="D82" s="435">
        <f t="shared" si="26"/>
        <v>0</v>
      </c>
      <c r="E82" s="435">
        <f t="shared" si="26"/>
        <v>1948453.95</v>
      </c>
      <c r="F82" s="435">
        <f t="shared" si="26"/>
        <v>1948453.95</v>
      </c>
      <c r="G82" s="435">
        <f t="shared" si="26"/>
        <v>1953792.18</v>
      </c>
      <c r="H82" s="436">
        <f>SUM(C82:G82)</f>
        <v>5850700.0800000001</v>
      </c>
      <c r="I82" s="437">
        <f>H82/H80</f>
        <v>0.15383357971368755</v>
      </c>
      <c r="J82" s="279">
        <f>AVERAGE(C82:G82)</f>
        <v>1170140.0160000001</v>
      </c>
      <c r="K82" s="177"/>
    </row>
    <row r="83" spans="2:11" x14ac:dyDescent="0.2">
      <c r="B83" s="132"/>
      <c r="C83" s="132"/>
      <c r="D83" s="132"/>
      <c r="E83" s="132"/>
      <c r="F83" s="132"/>
      <c r="G83" s="132"/>
      <c r="H83" s="132"/>
      <c r="I83" s="132"/>
      <c r="J83" s="132"/>
    </row>
    <row r="84" spans="2:11" x14ac:dyDescent="0.2">
      <c r="B84" s="201" t="s">
        <v>327</v>
      </c>
      <c r="C84" s="132"/>
      <c r="D84" s="132"/>
      <c r="E84" s="132"/>
      <c r="F84" s="132"/>
      <c r="G84" s="132"/>
      <c r="H84" s="132"/>
      <c r="I84" s="132"/>
      <c r="J84" s="132"/>
    </row>
    <row r="85" spans="2:11" x14ac:dyDescent="0.2">
      <c r="B85" s="433"/>
      <c r="C85" s="261">
        <v>2020</v>
      </c>
      <c r="D85" s="261">
        <v>2021</v>
      </c>
      <c r="E85" s="261">
        <v>2022</v>
      </c>
      <c r="F85" s="261">
        <v>2023</v>
      </c>
      <c r="G85" s="262">
        <v>2024</v>
      </c>
      <c r="H85" s="203" t="s">
        <v>41</v>
      </c>
      <c r="I85" s="203" t="s">
        <v>3</v>
      </c>
      <c r="J85" s="203" t="s">
        <v>238</v>
      </c>
    </row>
    <row r="86" spans="2:11" x14ac:dyDescent="0.2">
      <c r="B86" s="258" t="s">
        <v>333</v>
      </c>
      <c r="C86" s="434">
        <f>SUM(C87:C95)</f>
        <v>7619022</v>
      </c>
      <c r="D86" s="434">
        <f>SUM(D87:D95)</f>
        <v>7598205</v>
      </c>
      <c r="E86" s="434">
        <f>SUM(E87:E95)</f>
        <v>7598205</v>
      </c>
      <c r="F86" s="434">
        <f>SUM(F87:F95)</f>
        <v>7598205</v>
      </c>
      <c r="G86" s="434">
        <f>SUM(G87:G95)</f>
        <v>7619022</v>
      </c>
      <c r="H86" s="436">
        <f t="shared" ref="H86:H88" si="27">SUM(C86:G86)</f>
        <v>38032659</v>
      </c>
      <c r="I86" s="437">
        <f>+H86/$H$86</f>
        <v>1</v>
      </c>
      <c r="J86" s="279">
        <f>AVERAGE(C86:G86)</f>
        <v>7606531.7999999998</v>
      </c>
    </row>
    <row r="87" spans="2:11" x14ac:dyDescent="0.2">
      <c r="B87" s="260" t="s">
        <v>248</v>
      </c>
      <c r="C87" s="435">
        <f t="shared" ref="C87:G95" si="28">C12*C$119</f>
        <v>1376160</v>
      </c>
      <c r="D87" s="435">
        <f t="shared" si="28"/>
        <v>1372400</v>
      </c>
      <c r="E87" s="435">
        <f t="shared" si="28"/>
        <v>1372400</v>
      </c>
      <c r="F87" s="435">
        <f t="shared" si="28"/>
        <v>1372400</v>
      </c>
      <c r="G87" s="435">
        <f t="shared" si="28"/>
        <v>1376160</v>
      </c>
      <c r="H87" s="436">
        <f t="shared" si="27"/>
        <v>6869520</v>
      </c>
      <c r="I87" s="437">
        <f t="shared" ref="I87:I95" si="29">+H87/$H$86</f>
        <v>0.18062160734015467</v>
      </c>
      <c r="J87" s="279">
        <f t="shared" ref="J87:J95" si="30">AVERAGE(C87:G87)</f>
        <v>1373904</v>
      </c>
    </row>
    <row r="88" spans="2:11" x14ac:dyDescent="0.2">
      <c r="B88" s="259" t="s">
        <v>249</v>
      </c>
      <c r="C88" s="435">
        <f t="shared" si="28"/>
        <v>915000</v>
      </c>
      <c r="D88" s="435">
        <f t="shared" si="28"/>
        <v>912500</v>
      </c>
      <c r="E88" s="435">
        <f t="shared" si="28"/>
        <v>912500</v>
      </c>
      <c r="F88" s="435">
        <f t="shared" si="28"/>
        <v>912500</v>
      </c>
      <c r="G88" s="435">
        <f t="shared" si="28"/>
        <v>915000</v>
      </c>
      <c r="H88" s="436">
        <f t="shared" si="27"/>
        <v>4567500</v>
      </c>
      <c r="I88" s="437">
        <f t="shared" si="29"/>
        <v>0.12009415381659221</v>
      </c>
      <c r="J88" s="279">
        <f t="shared" si="30"/>
        <v>913500</v>
      </c>
    </row>
    <row r="89" spans="2:11" x14ac:dyDescent="0.2">
      <c r="B89" s="259" t="s">
        <v>250</v>
      </c>
      <c r="C89" s="435">
        <f t="shared" si="28"/>
        <v>4135800</v>
      </c>
      <c r="D89" s="435">
        <f t="shared" si="28"/>
        <v>4124500</v>
      </c>
      <c r="E89" s="435">
        <f t="shared" si="28"/>
        <v>4124500</v>
      </c>
      <c r="F89" s="435">
        <f t="shared" si="28"/>
        <v>4124500</v>
      </c>
      <c r="G89" s="435">
        <f t="shared" si="28"/>
        <v>4135800</v>
      </c>
      <c r="H89" s="436">
        <f>SUM(C89:G89)</f>
        <v>20645100</v>
      </c>
      <c r="I89" s="437">
        <f t="shared" si="29"/>
        <v>0.54282557525099673</v>
      </c>
      <c r="J89" s="279">
        <f t="shared" si="30"/>
        <v>4129020</v>
      </c>
    </row>
    <row r="90" spans="2:11" x14ac:dyDescent="0.2">
      <c r="B90" s="259" t="s">
        <v>251</v>
      </c>
      <c r="C90" s="435">
        <f t="shared" si="28"/>
        <v>3660</v>
      </c>
      <c r="D90" s="435">
        <f t="shared" si="28"/>
        <v>3650</v>
      </c>
      <c r="E90" s="435">
        <f t="shared" si="28"/>
        <v>3650</v>
      </c>
      <c r="F90" s="435">
        <f t="shared" si="28"/>
        <v>3650</v>
      </c>
      <c r="G90" s="435">
        <f t="shared" si="28"/>
        <v>3660</v>
      </c>
      <c r="H90" s="436">
        <f t="shared" ref="H90:H95" si="31">SUM(C90:G90)</f>
        <v>18270</v>
      </c>
      <c r="I90" s="437">
        <f t="shared" si="29"/>
        <v>4.8037661526636886E-4</v>
      </c>
      <c r="J90" s="279">
        <f t="shared" si="30"/>
        <v>3654</v>
      </c>
    </row>
    <row r="91" spans="2:11" x14ac:dyDescent="0.2">
      <c r="B91" s="259" t="s">
        <v>252</v>
      </c>
      <c r="C91" s="435">
        <f t="shared" si="28"/>
        <v>483120</v>
      </c>
      <c r="D91" s="435">
        <f t="shared" si="28"/>
        <v>481800</v>
      </c>
      <c r="E91" s="435">
        <f t="shared" si="28"/>
        <v>481800</v>
      </c>
      <c r="F91" s="435">
        <f t="shared" si="28"/>
        <v>481800</v>
      </c>
      <c r="G91" s="435">
        <f t="shared" si="28"/>
        <v>483120</v>
      </c>
      <c r="H91" s="436">
        <f t="shared" si="31"/>
        <v>2411640</v>
      </c>
      <c r="I91" s="437">
        <f t="shared" si="29"/>
        <v>6.3409713215160687E-2</v>
      </c>
      <c r="J91" s="279">
        <f t="shared" si="30"/>
        <v>482328</v>
      </c>
    </row>
    <row r="92" spans="2:11" x14ac:dyDescent="0.2">
      <c r="B92" s="259" t="s">
        <v>253</v>
      </c>
      <c r="C92" s="435">
        <f t="shared" si="28"/>
        <v>3660</v>
      </c>
      <c r="D92" s="435">
        <f t="shared" si="28"/>
        <v>3650</v>
      </c>
      <c r="E92" s="435">
        <f t="shared" si="28"/>
        <v>3650</v>
      </c>
      <c r="F92" s="435">
        <f t="shared" si="28"/>
        <v>3650</v>
      </c>
      <c r="G92" s="435">
        <f t="shared" si="28"/>
        <v>3660</v>
      </c>
      <c r="H92" s="436">
        <f t="shared" si="31"/>
        <v>18270</v>
      </c>
      <c r="I92" s="437">
        <f t="shared" si="29"/>
        <v>4.8037661526636886E-4</v>
      </c>
      <c r="J92" s="279">
        <f t="shared" si="30"/>
        <v>3654</v>
      </c>
    </row>
    <row r="93" spans="2:11" x14ac:dyDescent="0.2">
      <c r="B93" s="259" t="s">
        <v>254</v>
      </c>
      <c r="C93" s="435">
        <f t="shared" si="28"/>
        <v>450546</v>
      </c>
      <c r="D93" s="435">
        <f t="shared" si="28"/>
        <v>449315</v>
      </c>
      <c r="E93" s="435">
        <f t="shared" si="28"/>
        <v>449315</v>
      </c>
      <c r="F93" s="435">
        <f t="shared" si="28"/>
        <v>449315</v>
      </c>
      <c r="G93" s="435">
        <f t="shared" si="28"/>
        <v>450546</v>
      </c>
      <c r="H93" s="436">
        <f t="shared" si="31"/>
        <v>2249037</v>
      </c>
      <c r="I93" s="437">
        <f t="shared" si="29"/>
        <v>5.9134361339290002E-2</v>
      </c>
      <c r="J93" s="279">
        <f t="shared" si="30"/>
        <v>449807.4</v>
      </c>
    </row>
    <row r="94" spans="2:11" x14ac:dyDescent="0.2">
      <c r="B94" s="259" t="s">
        <v>255</v>
      </c>
      <c r="C94" s="435">
        <f t="shared" si="28"/>
        <v>247416</v>
      </c>
      <c r="D94" s="435">
        <f t="shared" si="28"/>
        <v>246740</v>
      </c>
      <c r="E94" s="435">
        <f t="shared" si="28"/>
        <v>246740</v>
      </c>
      <c r="F94" s="435">
        <f t="shared" si="28"/>
        <v>246740</v>
      </c>
      <c r="G94" s="435">
        <f t="shared" si="28"/>
        <v>247416</v>
      </c>
      <c r="H94" s="436">
        <f t="shared" si="31"/>
        <v>1235052</v>
      </c>
      <c r="I94" s="437">
        <f t="shared" si="29"/>
        <v>3.2473459192006532E-2</v>
      </c>
      <c r="J94" s="279">
        <f t="shared" si="30"/>
        <v>247010.4</v>
      </c>
    </row>
    <row r="95" spans="2:11" x14ac:dyDescent="0.2">
      <c r="B95" s="259" t="s">
        <v>256</v>
      </c>
      <c r="C95" s="435">
        <f t="shared" si="28"/>
        <v>3660</v>
      </c>
      <c r="D95" s="435">
        <f t="shared" si="28"/>
        <v>3650</v>
      </c>
      <c r="E95" s="435">
        <f t="shared" si="28"/>
        <v>3650</v>
      </c>
      <c r="F95" s="435">
        <f t="shared" si="28"/>
        <v>3650</v>
      </c>
      <c r="G95" s="435">
        <f t="shared" si="28"/>
        <v>3660</v>
      </c>
      <c r="H95" s="436">
        <f t="shared" si="31"/>
        <v>18270</v>
      </c>
      <c r="I95" s="437">
        <f t="shared" si="29"/>
        <v>4.8037661526636886E-4</v>
      </c>
      <c r="J95" s="279">
        <f t="shared" si="30"/>
        <v>3654</v>
      </c>
    </row>
    <row r="96" spans="2:11" x14ac:dyDescent="0.2">
      <c r="C96" s="165"/>
      <c r="D96" s="165"/>
      <c r="E96" s="165"/>
      <c r="F96" s="165"/>
      <c r="G96" s="165"/>
    </row>
    <row r="97" spans="2:13" x14ac:dyDescent="0.2">
      <c r="B97" s="94" t="s">
        <v>329</v>
      </c>
    </row>
    <row r="98" spans="2:13" x14ac:dyDescent="0.2">
      <c r="B98" s="68" t="s">
        <v>328</v>
      </c>
    </row>
    <row r="99" spans="2:13" x14ac:dyDescent="0.2">
      <c r="B99" s="433"/>
      <c r="C99" s="261">
        <v>2020</v>
      </c>
      <c r="D99" s="261">
        <v>2021</v>
      </c>
      <c r="E99" s="261">
        <v>2022</v>
      </c>
      <c r="F99" s="261">
        <v>2023</v>
      </c>
      <c r="G99" s="262">
        <v>2024</v>
      </c>
      <c r="H99" s="203" t="s">
        <v>41</v>
      </c>
      <c r="I99" s="203" t="s">
        <v>3</v>
      </c>
      <c r="J99" s="203" t="s">
        <v>238</v>
      </c>
    </row>
    <row r="100" spans="2:13" x14ac:dyDescent="0.2">
      <c r="B100" s="258" t="s">
        <v>334</v>
      </c>
      <c r="C100" s="434">
        <f>SUM(C101:C102)</f>
        <v>277941496.85550565</v>
      </c>
      <c r="D100" s="434">
        <f>SUM(D101:D102)</f>
        <v>277182093.85863268</v>
      </c>
      <c r="E100" s="434">
        <f>SUM(E101:E102)</f>
        <v>277182093.85863268</v>
      </c>
      <c r="F100" s="434">
        <f>SUM(F101:F102)</f>
        <v>277182093.8586334</v>
      </c>
      <c r="G100" s="434">
        <f>SUM(G101:G102)</f>
        <v>277941496.85550565</v>
      </c>
      <c r="H100" s="436">
        <f>SUM(C100:G100)</f>
        <v>1387429275.2869101</v>
      </c>
      <c r="I100" s="437">
        <f>H100/H100</f>
        <v>1</v>
      </c>
      <c r="J100" s="279">
        <f>AVERAGE(C100:G100)</f>
        <v>277485855.05738199</v>
      </c>
    </row>
    <row r="101" spans="2:13" x14ac:dyDescent="0.2">
      <c r="B101" s="259" t="s">
        <v>260</v>
      </c>
      <c r="C101" s="435">
        <f t="shared" ref="C101:G102" si="32">+C81*$M$114</f>
        <v>277941496.85550565</v>
      </c>
      <c r="D101" s="435">
        <f t="shared" si="32"/>
        <v>277182093.85863268</v>
      </c>
      <c r="E101" s="435">
        <f t="shared" si="32"/>
        <v>206102602.63035923</v>
      </c>
      <c r="F101" s="435">
        <f t="shared" si="32"/>
        <v>206102602.63035992</v>
      </c>
      <c r="G101" s="435">
        <f t="shared" si="32"/>
        <v>206667267.29509994</v>
      </c>
      <c r="H101" s="436">
        <f>SUM(C101:G101)</f>
        <v>1173996063.2699573</v>
      </c>
      <c r="I101" s="437">
        <f>H101/H100</f>
        <v>0.84616642028631239</v>
      </c>
      <c r="J101" s="279">
        <f>AVERAGE(C101:G101)</f>
        <v>234799212.65399146</v>
      </c>
      <c r="K101" s="177"/>
    </row>
    <row r="102" spans="2:13" x14ac:dyDescent="0.2">
      <c r="B102" s="259" t="s">
        <v>185</v>
      </c>
      <c r="C102" s="435">
        <f t="shared" si="32"/>
        <v>0</v>
      </c>
      <c r="D102" s="435">
        <f t="shared" si="32"/>
        <v>0</v>
      </c>
      <c r="E102" s="435">
        <f t="shared" si="32"/>
        <v>71079491.228273451</v>
      </c>
      <c r="F102" s="435">
        <f t="shared" si="32"/>
        <v>71079491.228273451</v>
      </c>
      <c r="G102" s="435">
        <f t="shared" si="32"/>
        <v>71274229.560405716</v>
      </c>
      <c r="H102" s="436">
        <f>SUM(C102:G102)</f>
        <v>213433212.01695263</v>
      </c>
      <c r="I102" s="437">
        <f>H102/H100</f>
        <v>0.15383357971368755</v>
      </c>
      <c r="J102" s="279">
        <f>AVERAGE(C102:G102)</f>
        <v>42686642.403390527</v>
      </c>
      <c r="K102" s="177"/>
    </row>
    <row r="103" spans="2:13" x14ac:dyDescent="0.2">
      <c r="B103" s="132"/>
      <c r="C103" s="132"/>
      <c r="D103" s="132"/>
      <c r="E103" s="132"/>
      <c r="F103" s="132"/>
      <c r="G103" s="132"/>
      <c r="H103" s="132"/>
      <c r="I103" s="132"/>
      <c r="J103" s="132"/>
    </row>
    <row r="104" spans="2:13" x14ac:dyDescent="0.2">
      <c r="B104" s="201" t="s">
        <v>327</v>
      </c>
      <c r="C104" s="132"/>
      <c r="D104" s="132"/>
      <c r="E104" s="132"/>
      <c r="F104" s="132"/>
      <c r="G104" s="132"/>
      <c r="H104" s="132"/>
      <c r="I104" s="132"/>
      <c r="J104" s="132"/>
    </row>
    <row r="105" spans="2:13" x14ac:dyDescent="0.2">
      <c r="B105" s="433"/>
      <c r="C105" s="261">
        <v>2020</v>
      </c>
      <c r="D105" s="261">
        <v>2021</v>
      </c>
      <c r="E105" s="261">
        <v>2022</v>
      </c>
      <c r="F105" s="261">
        <v>2023</v>
      </c>
      <c r="G105" s="262">
        <v>2024</v>
      </c>
      <c r="H105" s="203" t="s">
        <v>41</v>
      </c>
      <c r="I105" s="203" t="s">
        <v>3</v>
      </c>
      <c r="J105" s="203" t="s">
        <v>238</v>
      </c>
      <c r="L105" s="123"/>
      <c r="M105" s="125"/>
    </row>
    <row r="106" spans="2:13" x14ac:dyDescent="0.2">
      <c r="B106" s="258" t="s">
        <v>335</v>
      </c>
      <c r="C106" s="434">
        <f>SUM(C107:C115)</f>
        <v>277941496.85550565</v>
      </c>
      <c r="D106" s="434">
        <f>SUM(D107:D115)</f>
        <v>277182093.85863268</v>
      </c>
      <c r="E106" s="434">
        <f>SUM(E107:E115)</f>
        <v>277182093.85863268</v>
      </c>
      <c r="F106" s="434">
        <f>SUM(F107:F115)</f>
        <v>277182093.85863268</v>
      </c>
      <c r="G106" s="434">
        <f>SUM(G107:G115)</f>
        <v>277941496.85550565</v>
      </c>
      <c r="H106" s="436">
        <f t="shared" ref="H106" si="33">SUM(C106:G106)</f>
        <v>1387429275.2869093</v>
      </c>
      <c r="I106" s="437">
        <f>+H106/$H$106</f>
        <v>1</v>
      </c>
      <c r="J106" s="279">
        <f>AVERAGE(C106:G106)</f>
        <v>277485855.05738187</v>
      </c>
      <c r="L106" s="123"/>
      <c r="M106" s="125"/>
    </row>
    <row r="107" spans="2:13" x14ac:dyDescent="0.2">
      <c r="B107" s="260" t="s">
        <v>248</v>
      </c>
      <c r="C107" s="435">
        <f t="shared" ref="C107:G115" si="34">+C87*$M$114</f>
        <v>50202239.908569977</v>
      </c>
      <c r="D107" s="435">
        <f t="shared" si="34"/>
        <v>50065075.318655849</v>
      </c>
      <c r="E107" s="435">
        <f t="shared" si="34"/>
        <v>50065075.318655849</v>
      </c>
      <c r="F107" s="435">
        <f t="shared" si="34"/>
        <v>50065075.318655849</v>
      </c>
      <c r="G107" s="435">
        <f t="shared" si="34"/>
        <v>50202239.908569977</v>
      </c>
      <c r="H107" s="436">
        <f>SUM(C107:G107)</f>
        <v>250599705.77310753</v>
      </c>
      <c r="I107" s="437">
        <f t="shared" ref="I107:I115" si="35">+H107/$H$106</f>
        <v>0.1806216073401547</v>
      </c>
      <c r="J107" s="279">
        <f t="shared" ref="J107:J115" si="36">AVERAGE(C107:G107)</f>
        <v>50119941.154621504</v>
      </c>
      <c r="L107" s="123"/>
      <c r="M107" s="125"/>
    </row>
    <row r="108" spans="2:13" x14ac:dyDescent="0.2">
      <c r="B108" s="259" t="s">
        <v>249</v>
      </c>
      <c r="C108" s="435">
        <f t="shared" si="34"/>
        <v>33379148.875378974</v>
      </c>
      <c r="D108" s="435">
        <f t="shared" si="34"/>
        <v>33287949.015063729</v>
      </c>
      <c r="E108" s="435">
        <f t="shared" si="34"/>
        <v>33287949.015063729</v>
      </c>
      <c r="F108" s="435">
        <f t="shared" si="34"/>
        <v>33287949.015063729</v>
      </c>
      <c r="G108" s="435">
        <f t="shared" si="34"/>
        <v>33379148.875378974</v>
      </c>
      <c r="H108" s="436">
        <f t="shared" ref="H108:H115" si="37">SUM(C108:G108)</f>
        <v>166622144.79594913</v>
      </c>
      <c r="I108" s="437">
        <f t="shared" si="35"/>
        <v>0.12009415381659219</v>
      </c>
      <c r="J108" s="279">
        <f t="shared" si="36"/>
        <v>33324428.959189825</v>
      </c>
      <c r="L108" s="123"/>
      <c r="M108" s="125"/>
    </row>
    <row r="109" spans="2:13" x14ac:dyDescent="0.2">
      <c r="B109" s="259" t="s">
        <v>250</v>
      </c>
      <c r="C109" s="435">
        <f t="shared" si="34"/>
        <v>150873752.91671294</v>
      </c>
      <c r="D109" s="435">
        <f t="shared" si="34"/>
        <v>150461529.54808804</v>
      </c>
      <c r="E109" s="435">
        <f t="shared" si="34"/>
        <v>150461529.54808804</v>
      </c>
      <c r="F109" s="435">
        <f t="shared" si="34"/>
        <v>150461529.54808804</v>
      </c>
      <c r="G109" s="435">
        <f t="shared" si="34"/>
        <v>150873752.91671294</v>
      </c>
      <c r="H109" s="436">
        <f t="shared" si="37"/>
        <v>753132094.47768998</v>
      </c>
      <c r="I109" s="437">
        <f t="shared" si="35"/>
        <v>0.54282557525099662</v>
      </c>
      <c r="J109" s="279">
        <f t="shared" si="36"/>
        <v>150626418.895538</v>
      </c>
      <c r="L109" s="123"/>
      <c r="M109" s="125"/>
    </row>
    <row r="110" spans="2:13" ht="13.5" thickBot="1" x14ac:dyDescent="0.25">
      <c r="B110" s="259" t="s">
        <v>251</v>
      </c>
      <c r="C110" s="435">
        <f t="shared" si="34"/>
        <v>133516.5955015159</v>
      </c>
      <c r="D110" s="435">
        <f t="shared" si="34"/>
        <v>133151.79606025491</v>
      </c>
      <c r="E110" s="435">
        <f t="shared" si="34"/>
        <v>133151.79606025491</v>
      </c>
      <c r="F110" s="435">
        <f t="shared" si="34"/>
        <v>133151.79606025491</v>
      </c>
      <c r="G110" s="435">
        <f t="shared" si="34"/>
        <v>133516.5955015159</v>
      </c>
      <c r="H110" s="436">
        <f t="shared" si="37"/>
        <v>666488.57918379654</v>
      </c>
      <c r="I110" s="437">
        <f t="shared" si="35"/>
        <v>4.803766152663688E-4</v>
      </c>
      <c r="J110" s="279">
        <f t="shared" si="36"/>
        <v>133297.71583675931</v>
      </c>
      <c r="L110" s="123"/>
      <c r="M110" s="125"/>
    </row>
    <row r="111" spans="2:13" x14ac:dyDescent="0.2">
      <c r="B111" s="259" t="s">
        <v>252</v>
      </c>
      <c r="C111" s="435">
        <f t="shared" si="34"/>
        <v>17624190.606200099</v>
      </c>
      <c r="D111" s="435">
        <f t="shared" si="34"/>
        <v>17576037.079953648</v>
      </c>
      <c r="E111" s="435">
        <f t="shared" si="34"/>
        <v>17576037.079953648</v>
      </c>
      <c r="F111" s="435">
        <f t="shared" si="34"/>
        <v>17576037.079953648</v>
      </c>
      <c r="G111" s="435">
        <f t="shared" si="34"/>
        <v>17624190.606200099</v>
      </c>
      <c r="H111" s="436">
        <f t="shared" si="37"/>
        <v>87976492.45226115</v>
      </c>
      <c r="I111" s="437">
        <f t="shared" si="35"/>
        <v>6.3409713215160687E-2</v>
      </c>
      <c r="J111" s="279">
        <f t="shared" si="36"/>
        <v>17595298.49045223</v>
      </c>
      <c r="L111" s="232" t="s">
        <v>301</v>
      </c>
      <c r="M111" s="233"/>
    </row>
    <row r="112" spans="2:13" x14ac:dyDescent="0.2">
      <c r="B112" s="259" t="s">
        <v>253</v>
      </c>
      <c r="C112" s="435">
        <f t="shared" si="34"/>
        <v>133516.5955015159</v>
      </c>
      <c r="D112" s="435">
        <f t="shared" si="34"/>
        <v>133151.79606025491</v>
      </c>
      <c r="E112" s="435">
        <f t="shared" si="34"/>
        <v>133151.79606025491</v>
      </c>
      <c r="F112" s="435">
        <f t="shared" si="34"/>
        <v>133151.79606025491</v>
      </c>
      <c r="G112" s="435">
        <f t="shared" si="34"/>
        <v>133516.5955015159</v>
      </c>
      <c r="H112" s="436">
        <f t="shared" si="37"/>
        <v>666488.57918379654</v>
      </c>
      <c r="I112" s="437">
        <f t="shared" si="35"/>
        <v>4.803766152663688E-4</v>
      </c>
      <c r="J112" s="279">
        <f t="shared" si="36"/>
        <v>133297.71583675931</v>
      </c>
      <c r="L112" s="234" t="s">
        <v>302</v>
      </c>
      <c r="M112" s="235"/>
    </row>
    <row r="113" spans="2:13" x14ac:dyDescent="0.2">
      <c r="B113" s="259" t="s">
        <v>254</v>
      </c>
      <c r="C113" s="435">
        <f t="shared" si="34"/>
        <v>16435892.906236606</v>
      </c>
      <c r="D113" s="435">
        <f t="shared" si="34"/>
        <v>16390986.095017381</v>
      </c>
      <c r="E113" s="435">
        <f t="shared" si="34"/>
        <v>16390986.095017381</v>
      </c>
      <c r="F113" s="435">
        <f t="shared" si="34"/>
        <v>16390986.095017381</v>
      </c>
      <c r="G113" s="435">
        <f t="shared" si="34"/>
        <v>16435892.906236606</v>
      </c>
      <c r="H113" s="436">
        <f t="shared" si="37"/>
        <v>82044744.097525358</v>
      </c>
      <c r="I113" s="437">
        <f t="shared" si="35"/>
        <v>5.9134361339290002E-2</v>
      </c>
      <c r="J113" s="279">
        <f t="shared" si="36"/>
        <v>16408948.819505071</v>
      </c>
      <c r="L113" s="234" t="s">
        <v>303</v>
      </c>
      <c r="M113" s="235">
        <f>1/26.8</f>
        <v>3.7313432835820892E-2</v>
      </c>
    </row>
    <row r="114" spans="2:13" x14ac:dyDescent="0.2">
      <c r="B114" s="259" t="s">
        <v>255</v>
      </c>
      <c r="C114" s="435">
        <f t="shared" si="34"/>
        <v>9025721.8559024744</v>
      </c>
      <c r="D114" s="435">
        <f t="shared" si="34"/>
        <v>9001061.4136732332</v>
      </c>
      <c r="E114" s="435">
        <f t="shared" si="34"/>
        <v>9001061.4136732332</v>
      </c>
      <c r="F114" s="435">
        <f t="shared" si="34"/>
        <v>9001061.4136732332</v>
      </c>
      <c r="G114" s="435">
        <f t="shared" si="34"/>
        <v>9025721.8559024744</v>
      </c>
      <c r="H114" s="436">
        <f t="shared" si="37"/>
        <v>45054627.952824652</v>
      </c>
      <c r="I114" s="437">
        <f t="shared" si="35"/>
        <v>3.2473459192006539E-2</v>
      </c>
      <c r="J114" s="279">
        <f t="shared" si="36"/>
        <v>9010925.5905649308</v>
      </c>
      <c r="L114" s="277" t="s">
        <v>304</v>
      </c>
      <c r="M114" s="278">
        <f>Premissas!B57*1000</f>
        <v>36.479944126097237</v>
      </c>
    </row>
    <row r="115" spans="2:13" ht="13.5" thickBot="1" x14ac:dyDescent="0.25">
      <c r="B115" s="259" t="s">
        <v>256</v>
      </c>
      <c r="C115" s="435">
        <f t="shared" si="34"/>
        <v>133516.5955015159</v>
      </c>
      <c r="D115" s="435">
        <f t="shared" si="34"/>
        <v>133151.79606025491</v>
      </c>
      <c r="E115" s="435">
        <f t="shared" si="34"/>
        <v>133151.79606025491</v>
      </c>
      <c r="F115" s="435">
        <f t="shared" si="34"/>
        <v>133151.79606025491</v>
      </c>
      <c r="G115" s="435">
        <f t="shared" si="34"/>
        <v>133516.5955015159</v>
      </c>
      <c r="H115" s="436">
        <f t="shared" si="37"/>
        <v>666488.57918379654</v>
      </c>
      <c r="I115" s="437">
        <f t="shared" si="35"/>
        <v>4.803766152663688E-4</v>
      </c>
      <c r="J115" s="279">
        <f t="shared" si="36"/>
        <v>133297.71583675931</v>
      </c>
      <c r="L115" s="236" t="s">
        <v>305</v>
      </c>
      <c r="M115" s="237">
        <f>+M114*1000</f>
        <v>36479.944126097238</v>
      </c>
    </row>
    <row r="116" spans="2:13" x14ac:dyDescent="0.2">
      <c r="C116" s="165"/>
      <c r="D116" s="165"/>
      <c r="E116" s="165"/>
      <c r="F116" s="165"/>
      <c r="G116" s="165"/>
    </row>
    <row r="117" spans="2:13" x14ac:dyDescent="0.2">
      <c r="B117" s="94" t="s">
        <v>271</v>
      </c>
      <c r="C117" s="165"/>
      <c r="D117" s="165"/>
      <c r="E117" s="165"/>
      <c r="F117" s="165"/>
      <c r="G117" s="165"/>
    </row>
    <row r="118" spans="2:13" x14ac:dyDescent="0.2">
      <c r="B118" s="204"/>
      <c r="C118" s="261">
        <v>2020</v>
      </c>
      <c r="D118" s="261">
        <v>2021</v>
      </c>
      <c r="E118" s="261">
        <v>2022</v>
      </c>
      <c r="F118" s="261">
        <v>2023</v>
      </c>
      <c r="G118" s="262">
        <v>2024</v>
      </c>
      <c r="H118" s="203" t="s">
        <v>41</v>
      </c>
      <c r="I118" s="203" t="s">
        <v>3</v>
      </c>
      <c r="J118" s="203" t="s">
        <v>238</v>
      </c>
    </row>
    <row r="119" spans="2:13" x14ac:dyDescent="0.2">
      <c r="B119" s="64" t="s">
        <v>272</v>
      </c>
      <c r="C119" s="96">
        <v>366</v>
      </c>
      <c r="D119" s="96">
        <v>365</v>
      </c>
      <c r="E119" s="96">
        <v>365</v>
      </c>
      <c r="F119" s="96">
        <v>365</v>
      </c>
      <c r="G119" s="97">
        <v>366</v>
      </c>
      <c r="H119" s="241">
        <f>SUM(C119:G119)</f>
        <v>1827</v>
      </c>
      <c r="I119" s="225"/>
      <c r="J119" s="256">
        <f>AVERAGE(C119:G119)</f>
        <v>365.4</v>
      </c>
    </row>
    <row r="120" spans="2:13" x14ac:dyDescent="0.2">
      <c r="C120" s="165"/>
      <c r="D120" s="165"/>
      <c r="E120" s="165"/>
      <c r="F120" s="165"/>
      <c r="G120" s="165"/>
    </row>
  </sheetData>
  <mergeCells count="5">
    <mergeCell ref="C24:D24"/>
    <mergeCell ref="E24:F24"/>
    <mergeCell ref="G24:H24"/>
    <mergeCell ref="I24:J24"/>
    <mergeCell ref="K24:L24"/>
  </mergeCells>
  <conditionalFormatting sqref="C26:L36">
    <cfRule type="colorScale" priority="1">
      <colorScale>
        <cfvo type="min"/>
        <cfvo type="max"/>
        <color rgb="FF0070C0"/>
        <color theme="4" tint="0.79998168889431442"/>
      </colorScale>
    </cfRule>
  </conditionalFormatting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/>
  </sheetPr>
  <dimension ref="B2:M122"/>
  <sheetViews>
    <sheetView showGridLines="0" zoomScale="110" zoomScaleNormal="110" workbookViewId="0">
      <selection activeCell="A2" sqref="A2"/>
    </sheetView>
  </sheetViews>
  <sheetFormatPr defaultRowHeight="12.75" x14ac:dyDescent="0.2"/>
  <cols>
    <col min="1" max="1" width="20.28515625" style="122" bestFit="1" customWidth="1"/>
    <col min="2" max="2" width="30.7109375" style="122" customWidth="1"/>
    <col min="3" max="7" width="10.7109375" style="122" customWidth="1"/>
    <col min="8" max="10" width="14.7109375" style="122" customWidth="1"/>
    <col min="11" max="11" width="10.7109375" style="122" customWidth="1"/>
    <col min="12" max="12" width="15.28515625" style="122" bestFit="1" customWidth="1"/>
    <col min="13" max="13" width="10.7109375" style="122" customWidth="1"/>
    <col min="14" max="14" width="15.28515625" style="122" bestFit="1" customWidth="1"/>
    <col min="15" max="16384" width="9.140625" style="122"/>
  </cols>
  <sheetData>
    <row r="2" spans="2:12" x14ac:dyDescent="0.2">
      <c r="B2" s="94" t="s">
        <v>312</v>
      </c>
    </row>
    <row r="3" spans="2:12" x14ac:dyDescent="0.2">
      <c r="B3" s="68" t="s">
        <v>319</v>
      </c>
    </row>
    <row r="4" spans="2:12" x14ac:dyDescent="0.2">
      <c r="B4" s="433"/>
      <c r="C4" s="261">
        <v>2020</v>
      </c>
      <c r="D4" s="261">
        <v>2021</v>
      </c>
      <c r="E4" s="261">
        <v>2022</v>
      </c>
      <c r="F4" s="261">
        <v>2023</v>
      </c>
      <c r="G4" s="262">
        <v>2024</v>
      </c>
      <c r="H4" s="203" t="s">
        <v>41</v>
      </c>
      <c r="I4" s="203" t="s">
        <v>3</v>
      </c>
      <c r="J4" s="203" t="s">
        <v>238</v>
      </c>
    </row>
    <row r="5" spans="2:12" x14ac:dyDescent="0.2">
      <c r="B5" s="258" t="s">
        <v>278</v>
      </c>
      <c r="C5" s="434">
        <f>'Cenário Ref'!C75</f>
        <v>13975.101000000001</v>
      </c>
      <c r="D5" s="434">
        <f>'Cenário Ref'!D75</f>
        <v>13975.101000000001</v>
      </c>
      <c r="E5" s="434">
        <f>'Cenário Ref'!E75</f>
        <v>16715.140590752693</v>
      </c>
      <c r="F5" s="434">
        <f>'Cenário Ref'!F75</f>
        <v>17057.907736746103</v>
      </c>
      <c r="G5" s="434">
        <f>'Cenário Ref'!G75</f>
        <v>17358.234666598215</v>
      </c>
      <c r="H5" s="436">
        <f>SUM(C5:G5)</f>
        <v>79081.484994097016</v>
      </c>
      <c r="I5" s="437">
        <f>H5/H5</f>
        <v>1</v>
      </c>
      <c r="J5" s="279">
        <f>AVERAGE(C5:G5)</f>
        <v>15816.296998819404</v>
      </c>
      <c r="K5" s="125"/>
      <c r="L5" s="125"/>
    </row>
    <row r="6" spans="2:12" x14ac:dyDescent="0.2">
      <c r="B6" s="259" t="s">
        <v>246</v>
      </c>
      <c r="C6" s="435">
        <f>C11+C121-C7</f>
        <v>13975.101000000001</v>
      </c>
      <c r="D6" s="435">
        <f t="shared" ref="D6:G6" si="0">D11+D121-D7</f>
        <v>13975.101000000001</v>
      </c>
      <c r="E6" s="435">
        <f t="shared" si="0"/>
        <v>13715.140590752693</v>
      </c>
      <c r="F6" s="435">
        <f t="shared" si="0"/>
        <v>14057.907736746103</v>
      </c>
      <c r="G6" s="435">
        <f t="shared" si="0"/>
        <v>14358.234666598215</v>
      </c>
      <c r="H6" s="436">
        <f>SUM(C6:G6)</f>
        <v>70081.484994097016</v>
      </c>
      <c r="I6" s="437">
        <f>H6/H5</f>
        <v>0.88619333589054627</v>
      </c>
      <c r="J6" s="279">
        <f>AVERAGE(C6:G6)</f>
        <v>14016.296998819404</v>
      </c>
      <c r="K6" s="177"/>
      <c r="L6" s="177"/>
    </row>
    <row r="7" spans="2:12" x14ac:dyDescent="0.2">
      <c r="B7" s="259" t="s">
        <v>247</v>
      </c>
      <c r="C7" s="435">
        <f>IF('C. Demanda'!C53&lt;3000,'C. Demanda'!C53,3000)</f>
        <v>0</v>
      </c>
      <c r="D7" s="435">
        <f>IF('C. Demanda'!D53&lt;3000,'C. Demanda'!D53,3000)</f>
        <v>0</v>
      </c>
      <c r="E7" s="435">
        <f>IF('C. Demanda'!E53&lt;3000,'C. Demanda'!E53,3000)</f>
        <v>3000</v>
      </c>
      <c r="F7" s="435">
        <f>IF('C. Demanda'!F53&lt;3000,'C. Demanda'!F53,3000)</f>
        <v>3000</v>
      </c>
      <c r="G7" s="435">
        <f>IF('C. Demanda'!G53&lt;3000,'C. Demanda'!G53,3000)</f>
        <v>3000</v>
      </c>
      <c r="H7" s="436">
        <f>SUM(C7:G7)</f>
        <v>9000</v>
      </c>
      <c r="I7" s="437">
        <f>H7/H5</f>
        <v>0.11380666410945367</v>
      </c>
      <c r="J7" s="279">
        <f>AVERAGE(C7:G7)</f>
        <v>1800</v>
      </c>
      <c r="K7" s="177"/>
      <c r="L7" s="177"/>
    </row>
    <row r="8" spans="2:12" x14ac:dyDescent="0.2">
      <c r="B8" s="201"/>
      <c r="C8" s="201"/>
      <c r="D8" s="201"/>
      <c r="E8" s="201"/>
      <c r="F8" s="201"/>
      <c r="G8" s="201"/>
      <c r="H8" s="132"/>
      <c r="I8" s="132"/>
      <c r="J8" s="132"/>
    </row>
    <row r="9" spans="2:12" x14ac:dyDescent="0.2">
      <c r="B9" s="201" t="s">
        <v>318</v>
      </c>
      <c r="C9" s="201"/>
      <c r="D9" s="201"/>
      <c r="E9" s="201"/>
      <c r="F9" s="201"/>
      <c r="G9" s="201"/>
      <c r="H9" s="132"/>
      <c r="I9" s="132"/>
      <c r="J9" s="132"/>
    </row>
    <row r="10" spans="2:12" x14ac:dyDescent="0.2">
      <c r="B10" s="433"/>
      <c r="C10" s="261">
        <v>2020</v>
      </c>
      <c r="D10" s="261">
        <v>2021</v>
      </c>
      <c r="E10" s="261">
        <v>2022</v>
      </c>
      <c r="F10" s="261">
        <v>2023</v>
      </c>
      <c r="G10" s="262">
        <v>2024</v>
      </c>
      <c r="H10" s="203" t="s">
        <v>41</v>
      </c>
      <c r="I10" s="203" t="s">
        <v>3</v>
      </c>
      <c r="J10" s="203" t="s">
        <v>238</v>
      </c>
    </row>
    <row r="11" spans="2:12" x14ac:dyDescent="0.2">
      <c r="B11" s="258" t="s">
        <v>277</v>
      </c>
      <c r="C11" s="434">
        <f>SUM(C12:C20)</f>
        <v>13975.101000000001</v>
      </c>
      <c r="D11" s="434">
        <f>SUM(D12:D20)</f>
        <v>13975.101000000001</v>
      </c>
      <c r="E11" s="434">
        <f>SUM(E12:E20)</f>
        <v>16715.140590752693</v>
      </c>
      <c r="F11" s="434">
        <f>SUM(F12:F20)</f>
        <v>17057.907736746052</v>
      </c>
      <c r="G11" s="434">
        <f>SUM(G12:G20)</f>
        <v>17358.234666598215</v>
      </c>
      <c r="H11" s="436">
        <f t="shared" ref="H11:H20" si="1">SUM(C11:G11)</f>
        <v>79081.484994096973</v>
      </c>
      <c r="I11" s="437">
        <f t="shared" ref="I11:I20" si="2">+H11/$H$11</f>
        <v>1</v>
      </c>
      <c r="J11" s="279">
        <f t="shared" ref="J11:J20" si="3">AVERAGE(C11:G11)</f>
        <v>15816.296998819395</v>
      </c>
    </row>
    <row r="12" spans="2:12" x14ac:dyDescent="0.2">
      <c r="B12" s="260" t="s">
        <v>248</v>
      </c>
      <c r="C12" s="435">
        <f>'Cenário Ref'!C7+'Cenário Ref'!C8+'Cenário Ref'!C9+'Cenário Ref'!C10</f>
        <v>95.104404000000002</v>
      </c>
      <c r="D12" s="435">
        <f>'Cenário Ref'!D7+'Cenário Ref'!D8+'Cenário Ref'!D9+'Cenário Ref'!D10</f>
        <v>105.84199800000002</v>
      </c>
      <c r="E12" s="435">
        <f>'Cenário Ref'!E7+'Cenário Ref'!E8+'Cenário Ref'!E9+'Cenário Ref'!E10</f>
        <v>2212.2003639999971</v>
      </c>
      <c r="F12" s="435">
        <f>'Cenário Ref'!F7+'Cenário Ref'!F8+'Cenário Ref'!F9+'Cenário Ref'!F10</f>
        <v>2216.520467422366</v>
      </c>
      <c r="G12" s="435">
        <f>'Cenário Ref'!G7+'Cenário Ref'!G8+'Cenário Ref'!G9+'Cenário Ref'!G10</f>
        <v>2220.8561877422935</v>
      </c>
      <c r="H12" s="436">
        <f t="shared" si="1"/>
        <v>6850.5234211646566</v>
      </c>
      <c r="I12" s="437">
        <f t="shared" si="2"/>
        <v>8.6626135329603546E-2</v>
      </c>
      <c r="J12" s="279">
        <f t="shared" si="3"/>
        <v>1370.1046842329313</v>
      </c>
    </row>
    <row r="13" spans="2:12" x14ac:dyDescent="0.2">
      <c r="B13" s="259" t="s">
        <v>249</v>
      </c>
      <c r="C13" s="435">
        <f>'Cenário Ref'!C11+'Cenário Ref'!C12+'Cenário Ref'!C13+'Cenário Ref'!C14+'Cenário Ref'!C15+'Cenário Ref'!C16+'Cenário Ref'!C17</f>
        <v>800.28191281405316</v>
      </c>
      <c r="D13" s="435">
        <f>'Cenário Ref'!D11+'Cenário Ref'!D12+'Cenário Ref'!D13+'Cenário Ref'!D14+'Cenário Ref'!D15+'Cenário Ref'!D16+'Cenário Ref'!D17</f>
        <v>832.77847137061849</v>
      </c>
      <c r="E13" s="435">
        <f>'Cenário Ref'!E11+'Cenário Ref'!E12+'Cenário Ref'!E13+'Cenário Ref'!E14+'Cenário Ref'!E15+'Cenário Ref'!E16+'Cenário Ref'!E17</f>
        <v>865.52474011730442</v>
      </c>
      <c r="F13" s="435">
        <f>'Cenário Ref'!F11+'Cenário Ref'!F12+'Cenário Ref'!F13+'Cenário Ref'!F14+'Cenário Ref'!F15+'Cenário Ref'!F16+'Cenário Ref'!F17</f>
        <v>898.46545132504957</v>
      </c>
      <c r="G13" s="435">
        <f>'Cenário Ref'!G11+'Cenário Ref'!G12+'Cenário Ref'!G13+'Cenário Ref'!G14+'Cenário Ref'!G15+'Cenário Ref'!G16+'Cenário Ref'!G17</f>
        <v>931.5252410969249</v>
      </c>
      <c r="H13" s="436">
        <f t="shared" si="1"/>
        <v>4328.575816723951</v>
      </c>
      <c r="I13" s="437">
        <f t="shared" si="2"/>
        <v>5.473564156068967E-2</v>
      </c>
      <c r="J13" s="279">
        <f t="shared" si="3"/>
        <v>865.7151633447902</v>
      </c>
    </row>
    <row r="14" spans="2:12" x14ac:dyDescent="0.2">
      <c r="B14" s="259" t="s">
        <v>250</v>
      </c>
      <c r="C14" s="435">
        <f>IF('Cenário Ref'!C23&gt;0,'Cenário Ref'!C18+'Cenário Ref'!C19+'Cenário Ref'!C20+'Cenário Ref'!C21+'Cenário Ref'!C22+'Cenário Ref'!C23+'Cenário Ref'!C24+'Cenário Ref'!C25+'Cenário Ref'!C26+'Cenário Ref'!C27+'Cenário Ref'!C28,'Cenário Ref'!C18+'Cenário Ref'!C19+'Cenário Ref'!C20+'Cenário Ref'!C21+'Cenário Ref'!C22+'Cenário Ref'!C24+'Cenário Ref'!C25+'Cenário Ref'!C26+'Cenário Ref'!C27+'Cenário Ref'!C28)</f>
        <v>10181.198722586178</v>
      </c>
      <c r="D14" s="435">
        <f>IF('Cenário Ref'!D23&gt;0,'Cenário Ref'!D18+'Cenário Ref'!D19+'Cenário Ref'!D20+'Cenário Ref'!D21+'Cenário Ref'!D22+'Cenário Ref'!D23+'Cenário Ref'!D24+'Cenário Ref'!D25+'Cenário Ref'!D26+'Cenário Ref'!D27+'Cenário Ref'!D28,'Cenário Ref'!D18+'Cenário Ref'!D19+'Cenário Ref'!D20+'Cenário Ref'!D21+'Cenário Ref'!D22+'Cenário Ref'!D24+'Cenário Ref'!D25+'Cenário Ref'!D26+'Cenário Ref'!D27+'Cenário Ref'!D28)</f>
        <v>10047.720323911184</v>
      </c>
      <c r="E14" s="435">
        <f>IF('Cenário Ref'!E23&gt;0,'Cenário Ref'!E18+'Cenário Ref'!E19+'Cenário Ref'!E20+'Cenário Ref'!E21+'Cenário Ref'!E22+'Cenário Ref'!E23+'Cenário Ref'!E24+'Cenário Ref'!E25+'Cenário Ref'!E26+'Cenário Ref'!E27+'Cenário Ref'!E28,'Cenário Ref'!E18+'Cenário Ref'!E19+'Cenário Ref'!E20+'Cenário Ref'!E21+'Cenário Ref'!E22+'Cenário Ref'!E24+'Cenário Ref'!E25+'Cenário Ref'!E26+'Cenário Ref'!E27+'Cenário Ref'!E28)</f>
        <v>10556.314688314709</v>
      </c>
      <c r="F14" s="435">
        <f>IF('Cenário Ref'!F23&gt;0,'Cenário Ref'!F18+'Cenário Ref'!F19+'Cenário Ref'!F20+'Cenário Ref'!F21+'Cenário Ref'!F22+'Cenário Ref'!F23+'Cenário Ref'!F24+'Cenário Ref'!F25+'Cenário Ref'!F26+'Cenário Ref'!F27+'Cenário Ref'!F28,'Cenário Ref'!F18+'Cenário Ref'!F19+'Cenário Ref'!F20+'Cenário Ref'!F21+'Cenário Ref'!F22+'Cenário Ref'!F24+'Cenário Ref'!F25+'Cenário Ref'!F26+'Cenário Ref'!F27+'Cenário Ref'!F28)</f>
        <v>10767.394828916125</v>
      </c>
      <c r="G14" s="435">
        <f>IF('Cenário Ref'!G23&gt;0,'Cenário Ref'!G18+'Cenário Ref'!G19+'Cenário Ref'!G20+'Cenário Ref'!G21+'Cenário Ref'!G22+'Cenário Ref'!G23+'Cenário Ref'!G24+'Cenário Ref'!G25+'Cenário Ref'!G26+'Cenário Ref'!G27+'Cenário Ref'!G28,'Cenário Ref'!G18+'Cenário Ref'!G19+'Cenário Ref'!G20+'Cenário Ref'!G21+'Cenário Ref'!G22+'Cenário Ref'!G24+'Cenário Ref'!G25+'Cenário Ref'!G26+'Cenário Ref'!G27+'Cenário Ref'!G28)</f>
        <v>10979.238010725141</v>
      </c>
      <c r="H14" s="436">
        <f t="shared" si="1"/>
        <v>52531.866574453335</v>
      </c>
      <c r="I14" s="437">
        <f t="shared" si="2"/>
        <v>0.66427516603127235</v>
      </c>
      <c r="J14" s="279">
        <f t="shared" si="3"/>
        <v>10506.373314890667</v>
      </c>
    </row>
    <row r="15" spans="2:12" x14ac:dyDescent="0.2">
      <c r="B15" s="259" t="s">
        <v>251</v>
      </c>
      <c r="C15" s="435">
        <f>'Cenário Ref'!C29+'Cenário Ref'!C30+'Cenário Ref'!C31+'Cenário Ref'!C32</f>
        <v>1E-3</v>
      </c>
      <c r="D15" s="435">
        <f>'Cenário Ref'!D29+'Cenário Ref'!D30+'Cenário Ref'!D31+'Cenário Ref'!D32</f>
        <v>1E-3</v>
      </c>
      <c r="E15" s="435">
        <f>'Cenário Ref'!E29+'Cenário Ref'!E30+'Cenário Ref'!E31+'Cenário Ref'!E32</f>
        <v>1E-3</v>
      </c>
      <c r="F15" s="435">
        <f>'Cenário Ref'!F29+'Cenário Ref'!F30+'Cenário Ref'!F31+'Cenário Ref'!F32</f>
        <v>1E-3</v>
      </c>
      <c r="G15" s="435">
        <f>'Cenário Ref'!G29+'Cenário Ref'!G30+'Cenário Ref'!G31+'Cenário Ref'!G32</f>
        <v>1E-3</v>
      </c>
      <c r="H15" s="436">
        <f t="shared" si="1"/>
        <v>5.0000000000000001E-3</v>
      </c>
      <c r="I15" s="437">
        <f t="shared" si="2"/>
        <v>6.3225924505252071E-8</v>
      </c>
      <c r="J15" s="279">
        <f t="shared" si="3"/>
        <v>1E-3</v>
      </c>
    </row>
    <row r="16" spans="2:12" x14ac:dyDescent="0.2">
      <c r="B16" s="259" t="s">
        <v>252</v>
      </c>
      <c r="C16" s="435">
        <f>'Cenário Ref'!C33+'Cenário Ref'!C34+'Cenário Ref'!C35+'Cenário Ref'!C36</f>
        <v>1173.0158602708207</v>
      </c>
      <c r="D16" s="435">
        <f>'Cenário Ref'!D33+'Cenário Ref'!D34+'Cenário Ref'!D35+'Cenário Ref'!D36</f>
        <v>1220.6477984424976</v>
      </c>
      <c r="E16" s="435">
        <f>'Cenário Ref'!E33+'Cenário Ref'!E34+'Cenário Ref'!E35+'Cenário Ref'!E36</f>
        <v>1268.6457501511456</v>
      </c>
      <c r="F16" s="435">
        <f>'Cenário Ref'!F33+'Cenário Ref'!F34+'Cenário Ref'!F35+'Cenário Ref'!F36</f>
        <v>1316.9287065401197</v>
      </c>
      <c r="G16" s="435">
        <f>'Cenário Ref'!G33+'Cenário Ref'!G34+'Cenário Ref'!G35+'Cenário Ref'!G36</f>
        <v>1320.0000000000005</v>
      </c>
      <c r="H16" s="436">
        <f t="shared" si="1"/>
        <v>6299.2381154045834</v>
      </c>
      <c r="I16" s="437">
        <f t="shared" si="2"/>
        <v>7.965503070503531E-2</v>
      </c>
      <c r="J16" s="279">
        <f t="shared" si="3"/>
        <v>1259.8476230809167</v>
      </c>
    </row>
    <row r="17" spans="2:12" x14ac:dyDescent="0.2">
      <c r="B17" s="259" t="s">
        <v>253</v>
      </c>
      <c r="C17" s="435">
        <f>'Cenário Ref'!C37+'Cenário Ref'!C38+'Cenário Ref'!C39+'Cenário Ref'!C40</f>
        <v>1E-3</v>
      </c>
      <c r="D17" s="435">
        <f>'Cenário Ref'!D37+'Cenário Ref'!D38+'Cenário Ref'!D39+'Cenário Ref'!D40</f>
        <v>1E-3</v>
      </c>
      <c r="E17" s="435">
        <f>'Cenário Ref'!E37+'Cenário Ref'!E38+'Cenário Ref'!E39+'Cenário Ref'!E40</f>
        <v>1E-3</v>
      </c>
      <c r="F17" s="435">
        <f>'Cenário Ref'!F37+'Cenário Ref'!F38+'Cenário Ref'!F39+'Cenário Ref'!F40</f>
        <v>1E-3</v>
      </c>
      <c r="G17" s="435">
        <f>'Cenário Ref'!G37+'Cenário Ref'!G38+'Cenário Ref'!G39+'Cenário Ref'!G40</f>
        <v>1E-3</v>
      </c>
      <c r="H17" s="436">
        <f t="shared" si="1"/>
        <v>5.0000000000000001E-3</v>
      </c>
      <c r="I17" s="437">
        <f t="shared" si="2"/>
        <v>6.3225924505252071E-8</v>
      </c>
      <c r="J17" s="279">
        <f t="shared" si="3"/>
        <v>1E-3</v>
      </c>
    </row>
    <row r="18" spans="2:12" x14ac:dyDescent="0.2">
      <c r="B18" s="259" t="s">
        <v>254</v>
      </c>
      <c r="C18" s="435">
        <f>'Cenário Ref'!C41+'Cenário Ref'!C42+'Cenário Ref'!C43+'Cenário Ref'!C44+'Cenário Ref'!C45</f>
        <v>1049.3971003289471</v>
      </c>
      <c r="D18" s="435">
        <f>'Cenário Ref'!D41+'Cenário Ref'!D42+'Cenário Ref'!D43+'Cenário Ref'!D44+'Cenário Ref'!D45</f>
        <v>1092.009408275698</v>
      </c>
      <c r="E18" s="435">
        <f>'Cenário Ref'!E41+'Cenário Ref'!E42+'Cenário Ref'!E43+'Cenário Ref'!E44+'Cenário Ref'!E45</f>
        <v>1136.3520481695396</v>
      </c>
      <c r="F18" s="435">
        <f>'Cenário Ref'!F41+'Cenário Ref'!F42+'Cenário Ref'!F43+'Cenário Ref'!F44+'Cenário Ref'!F45</f>
        <v>1182.4952825423895</v>
      </c>
      <c r="G18" s="435">
        <f>'Cenário Ref'!G41+'Cenário Ref'!G42+'Cenário Ref'!G43+'Cenário Ref'!G44+'Cenário Ref'!G45</f>
        <v>1230.5122270338572</v>
      </c>
      <c r="H18" s="436">
        <f t="shared" si="1"/>
        <v>5690.7660663504312</v>
      </c>
      <c r="I18" s="437">
        <f t="shared" si="2"/>
        <v>7.1960789137624534E-2</v>
      </c>
      <c r="J18" s="279">
        <f t="shared" si="3"/>
        <v>1138.1532132700863</v>
      </c>
    </row>
    <row r="19" spans="2:12" x14ac:dyDescent="0.2">
      <c r="B19" s="259" t="s">
        <v>255</v>
      </c>
      <c r="C19" s="435">
        <f>'Cenário Ref'!C46+'Cenário Ref'!C47+'Cenário Ref'!C48+'Cenário Ref'!C49</f>
        <v>676.1</v>
      </c>
      <c r="D19" s="435">
        <f>'Cenário Ref'!D46+'Cenário Ref'!D47+'Cenário Ref'!D48+'Cenário Ref'!D49</f>
        <v>676.1</v>
      </c>
      <c r="E19" s="435">
        <f>'Cenário Ref'!E46+'Cenário Ref'!E47+'Cenário Ref'!E48+'Cenário Ref'!E49</f>
        <v>676.1</v>
      </c>
      <c r="F19" s="435">
        <f>'Cenário Ref'!F46+'Cenário Ref'!F47+'Cenário Ref'!F48+'Cenário Ref'!F49</f>
        <v>676.1</v>
      </c>
      <c r="G19" s="435">
        <f>'Cenário Ref'!G46+'Cenário Ref'!G47+'Cenário Ref'!G48+'Cenário Ref'!G49</f>
        <v>676.1</v>
      </c>
      <c r="H19" s="436">
        <f t="shared" si="1"/>
        <v>3380.5</v>
      </c>
      <c r="I19" s="437">
        <f t="shared" si="2"/>
        <v>4.2747047558000927E-2</v>
      </c>
      <c r="J19" s="279">
        <f t="shared" si="3"/>
        <v>676.1</v>
      </c>
    </row>
    <row r="20" spans="2:12" x14ac:dyDescent="0.2">
      <c r="B20" s="259" t="s">
        <v>256</v>
      </c>
      <c r="C20" s="435">
        <f>'Cenário Ref'!C50+'Cenário Ref'!C51+'Cenário Ref'!C52+'Cenário Ref'!C53+'Cenário Ref'!C54+'Cenário Ref'!C55+'Cenário Ref'!C56</f>
        <v>1E-3</v>
      </c>
      <c r="D20" s="435">
        <f>'Cenário Ref'!D50+'Cenário Ref'!D51+'Cenário Ref'!D52+'Cenário Ref'!D53+'Cenário Ref'!D54+'Cenário Ref'!D55+'Cenário Ref'!D56</f>
        <v>1E-3</v>
      </c>
      <c r="E20" s="435">
        <f>'Cenário Ref'!E50+'Cenário Ref'!E51+'Cenário Ref'!E52+'Cenário Ref'!E53+'Cenário Ref'!E54+'Cenário Ref'!E55+'Cenário Ref'!E56</f>
        <v>1E-3</v>
      </c>
      <c r="F20" s="435">
        <f>'Cenário Ref'!F50+'Cenário Ref'!F51+'Cenário Ref'!F52+'Cenário Ref'!F53+'Cenário Ref'!F54+'Cenário Ref'!F55+'Cenário Ref'!F56</f>
        <v>1E-3</v>
      </c>
      <c r="G20" s="435">
        <f>'Cenário Ref'!G50+'Cenário Ref'!G51+'Cenário Ref'!G52+'Cenário Ref'!G53+'Cenário Ref'!G54+'Cenário Ref'!G55+'Cenário Ref'!G56</f>
        <v>1E-3</v>
      </c>
      <c r="H20" s="436">
        <f t="shared" si="1"/>
        <v>5.0000000000000001E-3</v>
      </c>
      <c r="I20" s="437">
        <f t="shared" si="2"/>
        <v>6.3225924505252071E-8</v>
      </c>
      <c r="J20" s="279">
        <f t="shared" si="3"/>
        <v>1E-3</v>
      </c>
    </row>
    <row r="21" spans="2:12" x14ac:dyDescent="0.2">
      <c r="C21" s="239"/>
      <c r="D21" s="239"/>
      <c r="E21" s="239"/>
      <c r="F21" s="239"/>
      <c r="G21" s="239"/>
    </row>
    <row r="22" spans="2:12" hidden="1" x14ac:dyDescent="0.2">
      <c r="B22" s="94" t="s">
        <v>380</v>
      </c>
    </row>
    <row r="23" spans="2:12" ht="13.5" hidden="1" thickBot="1" x14ac:dyDescent="0.25">
      <c r="B23" s="68"/>
    </row>
    <row r="24" spans="2:12" s="132" customFormat="1" hidden="1" x14ac:dyDescent="0.2">
      <c r="B24" s="183"/>
      <c r="C24" s="668">
        <v>2020</v>
      </c>
      <c r="D24" s="663"/>
      <c r="E24" s="662">
        <v>2021</v>
      </c>
      <c r="F24" s="663"/>
      <c r="G24" s="662">
        <v>2022</v>
      </c>
      <c r="H24" s="663"/>
      <c r="I24" s="662">
        <v>2023</v>
      </c>
      <c r="J24" s="663"/>
      <c r="K24" s="662">
        <v>2024</v>
      </c>
      <c r="L24" s="663"/>
    </row>
    <row r="25" spans="2:12" s="132" customFormat="1" ht="13.5" hidden="1" customHeight="1" x14ac:dyDescent="0.2">
      <c r="B25" s="416" t="s">
        <v>193</v>
      </c>
      <c r="C25" s="417" t="s">
        <v>194</v>
      </c>
      <c r="D25" s="418" t="s">
        <v>195</v>
      </c>
      <c r="E25" s="419" t="s">
        <v>194</v>
      </c>
      <c r="F25" s="418" t="s">
        <v>195</v>
      </c>
      <c r="G25" s="419" t="s">
        <v>194</v>
      </c>
      <c r="H25" s="418" t="s">
        <v>195</v>
      </c>
      <c r="I25" s="419" t="s">
        <v>194</v>
      </c>
      <c r="J25" s="418" t="s">
        <v>195</v>
      </c>
      <c r="K25" s="419" t="s">
        <v>194</v>
      </c>
      <c r="L25" s="418" t="s">
        <v>195</v>
      </c>
    </row>
    <row r="26" spans="2:12" s="132" customFormat="1" hidden="1" x14ac:dyDescent="0.2">
      <c r="B26" s="300" t="s">
        <v>248</v>
      </c>
      <c r="C26" s="420"/>
      <c r="D26" s="421"/>
      <c r="E26" s="422"/>
      <c r="F26" s="423"/>
      <c r="G26" s="422"/>
      <c r="H26" s="423"/>
      <c r="I26" s="422"/>
      <c r="J26" s="423"/>
      <c r="K26" s="422"/>
      <c r="L26" s="423"/>
    </row>
    <row r="27" spans="2:12" s="132" customFormat="1" hidden="1" x14ac:dyDescent="0.2">
      <c r="B27" s="424" t="s">
        <v>249</v>
      </c>
      <c r="C27" s="414"/>
      <c r="D27" s="415"/>
      <c r="E27" s="79"/>
      <c r="F27" s="78"/>
      <c r="G27" s="79"/>
      <c r="H27" s="78"/>
      <c r="I27" s="79"/>
      <c r="J27" s="78"/>
      <c r="K27" s="79"/>
      <c r="L27" s="78"/>
    </row>
    <row r="28" spans="2:12" s="132" customFormat="1" hidden="1" x14ac:dyDescent="0.2">
      <c r="B28" s="424" t="s">
        <v>250</v>
      </c>
      <c r="C28" s="414"/>
      <c r="D28" s="415"/>
      <c r="E28" s="79"/>
      <c r="F28" s="78"/>
      <c r="G28" s="79"/>
      <c r="H28" s="78"/>
      <c r="I28" s="79"/>
      <c r="J28" s="78"/>
      <c r="K28" s="79"/>
      <c r="L28" s="78"/>
    </row>
    <row r="29" spans="2:12" s="132" customFormat="1" hidden="1" x14ac:dyDescent="0.2">
      <c r="B29" s="424" t="s">
        <v>251</v>
      </c>
      <c r="C29" s="414"/>
      <c r="D29" s="415"/>
      <c r="E29" s="79"/>
      <c r="F29" s="78"/>
      <c r="G29" s="79"/>
      <c r="H29" s="78"/>
      <c r="I29" s="79"/>
      <c r="J29" s="78"/>
      <c r="K29" s="79"/>
      <c r="L29" s="78"/>
    </row>
    <row r="30" spans="2:12" s="132" customFormat="1" hidden="1" x14ac:dyDescent="0.2">
      <c r="B30" s="424" t="s">
        <v>252</v>
      </c>
      <c r="C30" s="414"/>
      <c r="D30" s="415"/>
      <c r="E30" s="79"/>
      <c r="F30" s="78"/>
      <c r="G30" s="79"/>
      <c r="H30" s="78"/>
      <c r="I30" s="79"/>
      <c r="J30" s="78"/>
      <c r="K30" s="79"/>
      <c r="L30" s="78"/>
    </row>
    <row r="31" spans="2:12" s="132" customFormat="1" hidden="1" x14ac:dyDescent="0.2">
      <c r="B31" s="424" t="s">
        <v>253</v>
      </c>
      <c r="C31" s="414"/>
      <c r="D31" s="415"/>
      <c r="E31" s="79"/>
      <c r="F31" s="78"/>
      <c r="G31" s="79"/>
      <c r="H31" s="78"/>
      <c r="I31" s="79"/>
      <c r="J31" s="78"/>
      <c r="K31" s="79"/>
      <c r="L31" s="78"/>
    </row>
    <row r="32" spans="2:12" s="132" customFormat="1" hidden="1" x14ac:dyDescent="0.2">
      <c r="B32" s="424" t="s">
        <v>254</v>
      </c>
      <c r="C32" s="414"/>
      <c r="D32" s="415"/>
      <c r="E32" s="79"/>
      <c r="F32" s="78"/>
      <c r="G32" s="79"/>
      <c r="H32" s="78"/>
      <c r="I32" s="79"/>
      <c r="J32" s="78"/>
      <c r="K32" s="79"/>
      <c r="L32" s="78"/>
    </row>
    <row r="33" spans="2:12" s="132" customFormat="1" hidden="1" x14ac:dyDescent="0.2">
      <c r="B33" s="424" t="s">
        <v>255</v>
      </c>
      <c r="C33" s="414"/>
      <c r="D33" s="415"/>
      <c r="E33" s="79"/>
      <c r="F33" s="78"/>
      <c r="G33" s="79"/>
      <c r="H33" s="78"/>
      <c r="I33" s="79"/>
      <c r="J33" s="78"/>
      <c r="K33" s="79"/>
      <c r="L33" s="78"/>
    </row>
    <row r="34" spans="2:12" s="132" customFormat="1" hidden="1" x14ac:dyDescent="0.2">
      <c r="B34" s="424" t="s">
        <v>256</v>
      </c>
      <c r="C34" s="414"/>
      <c r="D34" s="415"/>
      <c r="E34" s="79"/>
      <c r="F34" s="78"/>
      <c r="G34" s="79"/>
      <c r="H34" s="78"/>
      <c r="I34" s="79"/>
      <c r="J34" s="78"/>
      <c r="K34" s="79"/>
      <c r="L34" s="78"/>
    </row>
    <row r="35" spans="2:12" s="132" customFormat="1" hidden="1" x14ac:dyDescent="0.2">
      <c r="B35" s="425"/>
      <c r="C35" s="426"/>
      <c r="D35" s="427"/>
      <c r="E35" s="196"/>
      <c r="F35" s="197"/>
      <c r="G35" s="196"/>
      <c r="H35" s="197"/>
      <c r="I35" s="196"/>
      <c r="J35" s="197"/>
      <c r="K35" s="196"/>
      <c r="L35" s="197"/>
    </row>
    <row r="36" spans="2:12" s="201" customFormat="1" hidden="1" x14ac:dyDescent="0.2">
      <c r="C36" s="428"/>
      <c r="D36" s="428"/>
      <c r="E36" s="428"/>
      <c r="F36" s="428"/>
      <c r="G36" s="428"/>
      <c r="H36" s="428"/>
      <c r="I36" s="428"/>
      <c r="J36" s="428"/>
      <c r="K36" s="428"/>
      <c r="L36" s="428"/>
    </row>
    <row r="37" spans="2:12" hidden="1" x14ac:dyDescent="0.2"/>
    <row r="38" spans="2:12" hidden="1" x14ac:dyDescent="0.2">
      <c r="B38" s="94" t="s">
        <v>264</v>
      </c>
    </row>
    <row r="39" spans="2:12" hidden="1" x14ac:dyDescent="0.2">
      <c r="B39" s="433"/>
      <c r="C39" s="261">
        <v>2020</v>
      </c>
      <c r="D39" s="261">
        <v>2021</v>
      </c>
      <c r="E39" s="261">
        <v>2022</v>
      </c>
      <c r="F39" s="261">
        <v>2023</v>
      </c>
      <c r="G39" s="262">
        <v>2024</v>
      </c>
      <c r="H39" s="203" t="s">
        <v>41</v>
      </c>
      <c r="I39" s="203" t="s">
        <v>3</v>
      </c>
      <c r="J39" s="203" t="s">
        <v>238</v>
      </c>
    </row>
    <row r="40" spans="2:12" hidden="1" x14ac:dyDescent="0.2">
      <c r="B40" s="258" t="s">
        <v>259</v>
      </c>
      <c r="C40" s="434">
        <f>SUM(C41:C49)</f>
        <v>13975.101000000001</v>
      </c>
      <c r="D40" s="434">
        <f>SUM(D41:D49)</f>
        <v>13975.101000000001</v>
      </c>
      <c r="E40" s="434">
        <f>SUM(E41:E49)</f>
        <v>11431.547591031043</v>
      </c>
      <c r="F40" s="434">
        <f>SUM(F41:F49)</f>
        <v>11525.692025054152</v>
      </c>
      <c r="G40" s="434">
        <f>SUM(G41:G49)</f>
        <v>11677.348750238643</v>
      </c>
      <c r="H40" s="436">
        <f t="shared" ref="H40:H49" si="4">SUM(C40:G40)</f>
        <v>62584.790366323839</v>
      </c>
      <c r="I40" s="437">
        <f t="shared" ref="I40:I49" si="5">+H40/$H$40</f>
        <v>1</v>
      </c>
      <c r="J40" s="279">
        <f t="shared" ref="J40:J49" si="6">AVERAGE(C40:G40)</f>
        <v>12516.958073264768</v>
      </c>
    </row>
    <row r="41" spans="2:12" hidden="1" x14ac:dyDescent="0.2">
      <c r="B41" s="260" t="s">
        <v>248</v>
      </c>
      <c r="C41" s="435">
        <f>('Cenário Ref'!C7*'Fluxo Ótimo'!C9)+('Cenário Ref'!C8*'Fluxo Ótimo'!C10)+('Cenário Ref'!C9*'Fluxo Ótimo'!C11)+('Cenário Ref'!C10*'Fluxo Ótimo'!C12)</f>
        <v>95.104404000000002</v>
      </c>
      <c r="D41" s="435">
        <f>('Cenário Ref'!D7*'Fluxo Ótimo'!E9)+('Cenário Ref'!D8*'Fluxo Ótimo'!E10)+('Cenário Ref'!D9*'Fluxo Ótimo'!E11)+('Cenário Ref'!D10*'Fluxo Ótimo'!E12)</f>
        <v>105.84199800000002</v>
      </c>
      <c r="E41" s="435">
        <f>('Cenário Ref'!E7*'Fluxo Ótimo'!G9)+('Cenário Ref'!E8*'Fluxo Ótimo'!G10)+('Cenário Ref'!E9*'Fluxo Ótimo'!G11)+('Cenário Ref'!E10*'Fluxo Ótimo'!G12)</f>
        <v>2212.2003639999971</v>
      </c>
      <c r="F41" s="435">
        <f>('Cenário Ref'!F7*'Fluxo Ótimo'!I9)+('Cenário Ref'!F8*'Fluxo Ótimo'!I10)+('Cenário Ref'!F9*'Fluxo Ótimo'!I11)+('Cenário Ref'!F10*'Fluxo Ótimo'!I12)</f>
        <v>2216.520467422366</v>
      </c>
      <c r="G41" s="435">
        <f>('Cenário Ref'!G7*'Fluxo Ótimo'!K9)+('Cenário Ref'!G8*'Fluxo Ótimo'!K10)+('Cenário Ref'!G9*'Fluxo Ótimo'!K11)+('Cenário Ref'!G10*'Fluxo Ótimo'!K12)</f>
        <v>2220.8561877422935</v>
      </c>
      <c r="H41" s="436">
        <f t="shared" si="4"/>
        <v>6850.5234211646566</v>
      </c>
      <c r="I41" s="437">
        <f t="shared" si="5"/>
        <v>0.10945987645028279</v>
      </c>
      <c r="J41" s="279">
        <f t="shared" si="6"/>
        <v>1370.1046842329313</v>
      </c>
    </row>
    <row r="42" spans="2:12" hidden="1" x14ac:dyDescent="0.2">
      <c r="B42" s="259" t="s">
        <v>249</v>
      </c>
      <c r="C42" s="435">
        <f>('Cenário Ref'!C11*'Fluxo Ótimo'!C13)+('Cenário Ref'!C12*'Fluxo Ótimo'!C14)+('Cenário Ref'!C13*'Fluxo Ótimo'!C15)+('Cenário Ref'!C14*'Fluxo Ótimo'!C16)+('Cenário Ref'!C15*'Fluxo Ótimo'!C17)+('Cenário Ref'!C16*'Fluxo Ótimo'!C18)+('Cenário Ref'!C17*'Fluxo Ótimo'!C19)</f>
        <v>800.28191281405316</v>
      </c>
      <c r="D42" s="435">
        <f>('Cenário Ref'!D11*'Fluxo Ótimo'!E13)+('Cenário Ref'!D12*'Fluxo Ótimo'!E14)+('Cenário Ref'!D13*'Fluxo Ótimo'!E15)+('Cenário Ref'!D14*'Fluxo Ótimo'!E16)+('Cenário Ref'!D15*'Fluxo Ótimo'!E17)+('Cenário Ref'!D16*'Fluxo Ótimo'!E18)+('Cenário Ref'!D17*'Fluxo Ótimo'!E19)</f>
        <v>832.77847137061849</v>
      </c>
      <c r="E42" s="435">
        <f>('Cenário Ref'!E11*'Fluxo Ótimo'!G13)+('Cenário Ref'!E12*'Fluxo Ótimo'!G14)+('Cenário Ref'!E13*'Fluxo Ótimo'!G15)+('Cenário Ref'!E14*'Fluxo Ótimo'!G16)+('Cenário Ref'!E15*'Fluxo Ótimo'!G17)+('Cenário Ref'!E16*'Fluxo Ótimo'!G18)+('Cenário Ref'!E17*'Fluxo Ótimo'!G19)</f>
        <v>865.52474011730442</v>
      </c>
      <c r="F42" s="435">
        <f>('Cenário Ref'!F11*'Fluxo Ótimo'!I13)+('Cenário Ref'!F12*'Fluxo Ótimo'!I14)+('Cenário Ref'!F13*'Fluxo Ótimo'!I15)+('Cenário Ref'!F14*'Fluxo Ótimo'!I16)+('Cenário Ref'!F15*'Fluxo Ótimo'!I17)+('Cenário Ref'!F16*'Fluxo Ótimo'!I18)+('Cenário Ref'!F17*'Fluxo Ótimo'!I19)</f>
        <v>898.46545132504957</v>
      </c>
      <c r="G42" s="435">
        <f>('Cenário Ref'!G11*'Fluxo Ótimo'!K13)+('Cenário Ref'!G12*'Fluxo Ótimo'!K14)+('Cenário Ref'!G13*'Fluxo Ótimo'!K15)+('Cenário Ref'!G14*'Fluxo Ótimo'!K16)+('Cenário Ref'!G15*'Fluxo Ótimo'!K17)+('Cenário Ref'!G16*'Fluxo Ótimo'!K18)+('Cenário Ref'!G17*'Fluxo Ótimo'!K19)</f>
        <v>931.5252410969249</v>
      </c>
      <c r="H42" s="436">
        <f t="shared" si="4"/>
        <v>4328.575816723951</v>
      </c>
      <c r="I42" s="437">
        <f t="shared" si="5"/>
        <v>6.9163382850493782E-2</v>
      </c>
      <c r="J42" s="279">
        <f t="shared" si="6"/>
        <v>865.7151633447902</v>
      </c>
    </row>
    <row r="43" spans="2:12" hidden="1" x14ac:dyDescent="0.2">
      <c r="B43" s="259" t="s">
        <v>250</v>
      </c>
      <c r="C43" s="435">
        <f>('Cenário Ref'!C18*'Fluxo Ótimo'!C20)+('Cenário Ref'!C19*'Fluxo Ótimo'!C21)+('Cenário Ref'!C20*'Fluxo Ótimo'!C22)+('Cenário Ref'!C21*'Fluxo Ótimo'!C23)+('Cenário Ref'!C22*'Fluxo Ótimo'!C24)+IF('Cenário Ref'!C23&gt;0,'Cenário Ref'!C23*'Fluxo Ótimo'!C25,0)+('Cenário Ref'!C24*'Fluxo Ótimo'!C26)+('Cenário Ref'!C25*'Fluxo Ótimo'!C27)+('Cenário Ref'!C26*'Fluxo Ótimo'!C28)+('Cenário Ref'!C27*'Fluxo Ótimo'!C29)+('Cenário Ref'!C28*'Fluxo Ótimo'!C30)</f>
        <v>10181.198722586178</v>
      </c>
      <c r="D43" s="435">
        <f>('Cenário Ref'!D18*'Fluxo Ótimo'!E20)+('Cenário Ref'!D19*'Fluxo Ótimo'!E21)+('Cenário Ref'!D20*'Fluxo Ótimo'!E22)+('Cenário Ref'!D21*'Fluxo Ótimo'!E23)+('Cenário Ref'!D22*'Fluxo Ótimo'!E24)+IF('Cenário Ref'!D23&gt;0,'Cenário Ref'!D23*'Fluxo Ótimo'!E25,0)+('Cenário Ref'!D24*'Fluxo Ótimo'!E26)+('Cenário Ref'!D25*'Fluxo Ótimo'!E27)+('Cenário Ref'!D26*'Fluxo Ótimo'!E28)+('Cenário Ref'!D27*'Fluxo Ótimo'!E29)+('Cenário Ref'!D28*'Fluxo Ótimo'!E30)</f>
        <v>10047.720323911184</v>
      </c>
      <c r="E43" s="435">
        <f>('Cenário Ref'!E18*'Fluxo Ótimo'!G20)+('Cenário Ref'!E19*'Fluxo Ótimo'!G21)+('Cenário Ref'!E20*'Fluxo Ótimo'!G22)+('Cenário Ref'!E21*'Fluxo Ótimo'!G23)+('Cenário Ref'!E22*'Fluxo Ótimo'!G24)+IF('Cenário Ref'!E23&gt;0,'Cenário Ref'!E23*'Fluxo Ótimo'!G25,0)+('Cenário Ref'!E24*'Fluxo Ótimo'!G26)+('Cenário Ref'!E25*'Fluxo Ótimo'!G27)+('Cenário Ref'!E26*'Fluxo Ótimo'!G28)+('Cenário Ref'!E27*'Fluxo Ótimo'!G29)+('Cenário Ref'!E28*'Fluxo Ótimo'!G30)</f>
        <v>6443.5399919549145</v>
      </c>
      <c r="F43" s="435">
        <f>('Cenário Ref'!F18*'Fluxo Ótimo'!I20)+('Cenário Ref'!F19*'Fluxo Ótimo'!I21)+('Cenário Ref'!F20*'Fluxo Ótimo'!I22)+('Cenário Ref'!F21*'Fluxo Ótimo'!I23)+('Cenário Ref'!F22*'Fluxo Ótimo'!I24)+IF('Cenário Ref'!F23&gt;0,'Cenário Ref'!F23*'Fluxo Ótimo'!I25,0)+('Cenário Ref'!F24*'Fluxo Ótimo'!I26)+('Cenário Ref'!F25*'Fluxo Ótimo'!I27)+('Cenário Ref'!F26*'Fluxo Ótimo'!I28)+('Cenário Ref'!F27*'Fluxo Ótimo'!I29)+('Cenário Ref'!F28*'Fluxo Ótimo'!I30)</f>
        <v>6505.389912857232</v>
      </c>
      <c r="G43" s="435">
        <f>('Cenário Ref'!G18*'Fluxo Ótimo'!K20)+('Cenário Ref'!G19*'Fluxo Ótimo'!K21)+('Cenário Ref'!G20*'Fluxo Ótimo'!K22)+('Cenário Ref'!G21*'Fluxo Ótimo'!K23)+('Cenário Ref'!G22*'Fluxo Ótimo'!K24)+IF('Cenário Ref'!G23&gt;0,'Cenário Ref'!G23*'Fluxo Ótimo'!K25,0)+('Cenário Ref'!G24*'Fluxo Ótimo'!K26)+('Cenário Ref'!G25*'Fluxo Ótimo'!K27)+('Cenário Ref'!G26*'Fluxo Ótimo'!K28)+('Cenário Ref'!G27*'Fluxo Ótimo'!K29)+('Cenário Ref'!G28*'Fluxo Ótimo'!K30)</f>
        <v>6621.264337449451</v>
      </c>
      <c r="H43" s="436">
        <f t="shared" si="4"/>
        <v>39799.113288758956</v>
      </c>
      <c r="I43" s="437">
        <f t="shared" si="5"/>
        <v>0.63592309019180482</v>
      </c>
      <c r="J43" s="279">
        <f t="shared" si="6"/>
        <v>7959.8226577517908</v>
      </c>
    </row>
    <row r="44" spans="2:12" hidden="1" x14ac:dyDescent="0.2">
      <c r="B44" s="259" t="s">
        <v>251</v>
      </c>
      <c r="C44" s="435">
        <f>('Cenário Ref'!C29*'Fluxo Ótimo'!C31)+('Cenário Ref'!C30*'Fluxo Ótimo'!C32)+('Cenário Ref'!C31*'Fluxo Ótimo'!C33)+('Cenário Ref'!C32*'Fluxo Ótimo'!C34)</f>
        <v>1E-3</v>
      </c>
      <c r="D44" s="435">
        <f>('Cenário Ref'!D29*'Fluxo Ótimo'!E31)+('Cenário Ref'!D30*'Fluxo Ótimo'!E32)+('Cenário Ref'!D31*'Fluxo Ótimo'!E33)+('Cenário Ref'!D32*'Fluxo Ótimo'!E34)</f>
        <v>1E-3</v>
      </c>
      <c r="E44" s="435">
        <f>('Cenário Ref'!E29*'Fluxo Ótimo'!G31)+('Cenário Ref'!E30*'Fluxo Ótimo'!G32)+('Cenário Ref'!E31*'Fluxo Ótimo'!G33)+('Cenário Ref'!E32*'Fluxo Ótimo'!G34)</f>
        <v>6.2E-4</v>
      </c>
      <c r="F44" s="435">
        <f>('Cenário Ref'!F29*'Fluxo Ótimo'!I31)+('Cenário Ref'!F30*'Fluxo Ótimo'!I32)+('Cenário Ref'!F31*'Fluxo Ótimo'!I33)+('Cenário Ref'!F32*'Fluxo Ótimo'!I34)</f>
        <v>5.9999999999999995E-4</v>
      </c>
      <c r="G44" s="435">
        <f>('Cenário Ref'!G29*'Fluxo Ótimo'!K31)+('Cenário Ref'!G30*'Fluxo Ótimo'!K32)+('Cenário Ref'!G31*'Fluxo Ótimo'!K33)+('Cenário Ref'!G32*'Fluxo Ótimo'!K34)</f>
        <v>5.9000000000000003E-4</v>
      </c>
      <c r="H44" s="436">
        <f t="shared" si="4"/>
        <v>3.81E-3</v>
      </c>
      <c r="I44" s="437">
        <f t="shared" si="5"/>
        <v>6.0877410912446193E-8</v>
      </c>
      <c r="J44" s="279">
        <f t="shared" si="6"/>
        <v>7.6199999999999998E-4</v>
      </c>
    </row>
    <row r="45" spans="2:12" hidden="1" x14ac:dyDescent="0.2">
      <c r="B45" s="259" t="s">
        <v>252</v>
      </c>
      <c r="C45" s="435">
        <f>('Cenário Ref'!C33*'Fluxo Ótimo'!C35)+('Cenário Ref'!C34*'Fluxo Ótimo'!C36)+('Cenário Ref'!C35*'Fluxo Ótimo'!C37)+('Cenário Ref'!C36*'Fluxo Ótimo'!C38)</f>
        <v>1173.0158602708207</v>
      </c>
      <c r="D45" s="435">
        <f>('Cenário Ref'!D33*'Fluxo Ótimo'!E35)+('Cenário Ref'!D34*'Fluxo Ótimo'!E36)+('Cenário Ref'!D35*'Fluxo Ótimo'!E37)+('Cenário Ref'!D36*'Fluxo Ótimo'!E38)</f>
        <v>1220.6477984424976</v>
      </c>
      <c r="E45" s="435">
        <f>('Cenário Ref'!E33*'Fluxo Ótimo'!G35)+('Cenário Ref'!E34*'Fluxo Ótimo'!G36)+('Cenário Ref'!E35*'Fluxo Ótimo'!G37)+('Cenário Ref'!E36*'Fluxo Ótimo'!G38)</f>
        <v>786.56036509371029</v>
      </c>
      <c r="F45" s="435">
        <f>('Cenário Ref'!F33*'Fluxo Ótimo'!I35)+('Cenário Ref'!F34*'Fluxo Ótimo'!I36)+('Cenário Ref'!F35*'Fluxo Ótimo'!I37)+('Cenário Ref'!F36*'Fluxo Ótimo'!I38)</f>
        <v>790.1572239240719</v>
      </c>
      <c r="G45" s="435">
        <f>('Cenário Ref'!G33*'Fluxo Ótimo'!K35)+('Cenário Ref'!G34*'Fluxo Ótimo'!K36)+('Cenário Ref'!G35*'Fluxo Ótimo'!K37)+('Cenário Ref'!G36*'Fluxo Ótimo'!K38)</f>
        <v>778.80000000000007</v>
      </c>
      <c r="H45" s="436">
        <f t="shared" si="4"/>
        <v>4749.1812477310996</v>
      </c>
      <c r="I45" s="437">
        <f t="shared" si="5"/>
        <v>7.58839523138609E-2</v>
      </c>
      <c r="J45" s="279">
        <f t="shared" si="6"/>
        <v>949.83624954621996</v>
      </c>
    </row>
    <row r="46" spans="2:12" hidden="1" x14ac:dyDescent="0.2">
      <c r="B46" s="259" t="s">
        <v>253</v>
      </c>
      <c r="C46" s="435">
        <f>('Cenário Ref'!C37*'Fluxo Ótimo'!C39)+('Cenário Ref'!C38*'Fluxo Ótimo'!C40)+('Cenário Ref'!C39*'Fluxo Ótimo'!C41)+('Cenário Ref'!C40*'Fluxo Ótimo'!C42)</f>
        <v>1E-3</v>
      </c>
      <c r="D46" s="435">
        <f>('Cenário Ref'!D37*'Fluxo Ótimo'!E39)+('Cenário Ref'!D38*'Fluxo Ótimo'!E40)+('Cenário Ref'!D39*'Fluxo Ótimo'!E41)+('Cenário Ref'!D40*'Fluxo Ótimo'!E42)</f>
        <v>1E-3</v>
      </c>
      <c r="E46" s="435">
        <f>('Cenário Ref'!E37*'Fluxo Ótimo'!G39)+('Cenário Ref'!E38*'Fluxo Ótimo'!G40)+('Cenário Ref'!E39*'Fluxo Ótimo'!G41)+('Cenário Ref'!E40*'Fluxo Ótimo'!G42)</f>
        <v>6.2E-4</v>
      </c>
      <c r="F46" s="435">
        <f>('Cenário Ref'!F37*'Fluxo Ótimo'!I39)+('Cenário Ref'!F38*'Fluxo Ótimo'!I40)+('Cenário Ref'!F39*'Fluxo Ótimo'!I41)+('Cenário Ref'!F40*'Fluxo Ótimo'!I42)</f>
        <v>5.9999999999999995E-4</v>
      </c>
      <c r="G46" s="435">
        <f>('Cenário Ref'!G37*'Fluxo Ótimo'!K39)+('Cenário Ref'!G38*'Fluxo Ótimo'!K40)+('Cenário Ref'!G39*'Fluxo Ótimo'!K41)+('Cenário Ref'!G40*'Fluxo Ótimo'!K42)</f>
        <v>5.9000000000000003E-4</v>
      </c>
      <c r="H46" s="436">
        <f t="shared" si="4"/>
        <v>3.81E-3</v>
      </c>
      <c r="I46" s="437">
        <f t="shared" si="5"/>
        <v>6.0877410912446193E-8</v>
      </c>
      <c r="J46" s="279">
        <f t="shared" si="6"/>
        <v>7.6199999999999998E-4</v>
      </c>
    </row>
    <row r="47" spans="2:12" hidden="1" x14ac:dyDescent="0.2">
      <c r="B47" s="259" t="s">
        <v>254</v>
      </c>
      <c r="C47" s="435">
        <f>('Cenário Ref'!C41*'Fluxo Ótimo'!C43)+('Cenário Ref'!C42*'Fluxo Ótimo'!C44)+('Cenário Ref'!C43*'Fluxo Ótimo'!C45)+('Cenário Ref'!C44*'Fluxo Ótimo'!C46)+('Cenário Ref'!C45*'Fluxo Ótimo'!C47)</f>
        <v>1049.3971003289471</v>
      </c>
      <c r="D47" s="435">
        <f>('Cenário Ref'!D41*'Fluxo Ótimo'!E43)+('Cenário Ref'!D42*'Fluxo Ótimo'!E44)+('Cenário Ref'!D43*'Fluxo Ótimo'!E45)+('Cenário Ref'!D44*'Fluxo Ótimo'!E46)+('Cenário Ref'!D45*'Fluxo Ótimo'!E47)</f>
        <v>1092.009408275698</v>
      </c>
      <c r="E47" s="435">
        <f>('Cenário Ref'!E41*'Fluxo Ótimo'!G43)+('Cenário Ref'!E42*'Fluxo Ótimo'!G44)+('Cenário Ref'!E43*'Fluxo Ótimo'!G45)+('Cenário Ref'!E44*'Fluxo Ótimo'!G46)+('Cenário Ref'!E45*'Fluxo Ótimo'!G47)</f>
        <v>704.53826986511433</v>
      </c>
      <c r="F47" s="435">
        <f>('Cenário Ref'!F41*'Fluxo Ótimo'!I43)+('Cenário Ref'!F42*'Fluxo Ótimo'!I44)+('Cenário Ref'!F43*'Fluxo Ótimo'!I45)+('Cenário Ref'!F44*'Fluxo Ótimo'!I46)+('Cenário Ref'!F45*'Fluxo Ótimo'!I47)</f>
        <v>709.49716952543372</v>
      </c>
      <c r="G47" s="435">
        <f>('Cenário Ref'!G41*'Fluxo Ótimo'!K43)+('Cenário Ref'!G42*'Fluxo Ótimo'!K44)+('Cenário Ref'!G43*'Fluxo Ótimo'!K45)+('Cenário Ref'!G44*'Fluxo Ótimo'!K46)+('Cenário Ref'!G45*'Fluxo Ótimo'!K47)</f>
        <v>726.00221394997573</v>
      </c>
      <c r="H47" s="436">
        <f t="shared" si="4"/>
        <v>4281.4441619451691</v>
      </c>
      <c r="I47" s="437">
        <f t="shared" si="5"/>
        <v>6.8410298043419915E-2</v>
      </c>
      <c r="J47" s="279">
        <f t="shared" si="6"/>
        <v>856.28883238903381</v>
      </c>
    </row>
    <row r="48" spans="2:12" hidden="1" x14ac:dyDescent="0.2">
      <c r="B48" s="259" t="s">
        <v>255</v>
      </c>
      <c r="C48" s="435">
        <f>('Cenário Ref'!C46*'Fluxo Ótimo'!C48)+('Cenário Ref'!C47*'Fluxo Ótimo'!C49)+('Cenário Ref'!C48*'Fluxo Ótimo'!C50)+('Cenário Ref'!C49*'Fluxo Ótimo'!C51)</f>
        <v>676.1</v>
      </c>
      <c r="D48" s="435">
        <f>('Cenário Ref'!D46*'Fluxo Ótimo'!E48)+('Cenário Ref'!D47*'Fluxo Ótimo'!E49)+('Cenário Ref'!D48*'Fluxo Ótimo'!E50)+('Cenário Ref'!D49*'Fluxo Ótimo'!E51)</f>
        <v>676.1</v>
      </c>
      <c r="E48" s="435">
        <f>('Cenário Ref'!E46*'Fluxo Ótimo'!G48)+('Cenário Ref'!E47*'Fluxo Ótimo'!G49)+('Cenário Ref'!E48*'Fluxo Ótimo'!G50)+('Cenário Ref'!E49*'Fluxo Ótimo'!G51)</f>
        <v>419.18200000000002</v>
      </c>
      <c r="F48" s="435">
        <f>('Cenário Ref'!F46*'Fluxo Ótimo'!I48)+('Cenário Ref'!F47*'Fluxo Ótimo'!I49)+('Cenário Ref'!F48*'Fluxo Ótimo'!I50)+('Cenário Ref'!F49*'Fluxo Ótimo'!I51)</f>
        <v>405.65999999999997</v>
      </c>
      <c r="G48" s="435">
        <f>('Cenário Ref'!G46*'Fluxo Ótimo'!K48)+('Cenário Ref'!G47*'Fluxo Ótimo'!K49)+('Cenário Ref'!G48*'Fluxo Ótimo'!K50)+('Cenário Ref'!G49*'Fluxo Ótimo'!K51)</f>
        <v>398.899</v>
      </c>
      <c r="H48" s="436">
        <f t="shared" si="4"/>
        <v>2575.9409999999998</v>
      </c>
      <c r="I48" s="437">
        <f t="shared" si="5"/>
        <v>4.1159217517904863E-2</v>
      </c>
      <c r="J48" s="279">
        <f t="shared" si="6"/>
        <v>515.18819999999994</v>
      </c>
    </row>
    <row r="49" spans="2:10" hidden="1" x14ac:dyDescent="0.2">
      <c r="B49" s="259" t="s">
        <v>256</v>
      </c>
      <c r="C49" s="435">
        <f>('Cenário Ref'!C50*'Fluxo Ótimo'!C52)+('Cenário Ref'!C51*'Fluxo Ótimo'!C53)+('Cenário Ref'!C52*'Fluxo Ótimo'!C54)+('Cenário Ref'!C53*'Fluxo Ótimo'!C55)+('Cenário Ref'!C54*'Fluxo Ótimo'!C56)+('Cenário Ref'!C55*'Fluxo Ótimo'!C57)+('Cenário Ref'!C56*'Fluxo Ótimo'!C58)</f>
        <v>1E-3</v>
      </c>
      <c r="D49" s="435">
        <f>('Cenário Ref'!D50*'Fluxo Ótimo'!E52)+('Cenário Ref'!D51*'Fluxo Ótimo'!E53)+('Cenário Ref'!D52*'Fluxo Ótimo'!E54)+('Cenário Ref'!D53*'Fluxo Ótimo'!E55)+('Cenário Ref'!D54*'Fluxo Ótimo'!E56)+('Cenário Ref'!D55*'Fluxo Ótimo'!E57)+('Cenário Ref'!D56*'Fluxo Ótimo'!E58)</f>
        <v>1E-3</v>
      </c>
      <c r="E49" s="435">
        <f>('Cenário Ref'!E50*'Fluxo Ótimo'!G52)+('Cenário Ref'!E51*'Fluxo Ótimo'!G53)+('Cenário Ref'!E52*'Fluxo Ótimo'!G54)+('Cenário Ref'!E53*'Fluxo Ótimo'!G55)+('Cenário Ref'!E54*'Fluxo Ótimo'!G56)+('Cenário Ref'!E55*'Fluxo Ótimo'!G57)+('Cenário Ref'!E56*'Fluxo Ótimo'!G58)</f>
        <v>6.2E-4</v>
      </c>
      <c r="F49" s="435">
        <f>('Cenário Ref'!F50*'Fluxo Ótimo'!I52)+('Cenário Ref'!F51*'Fluxo Ótimo'!I53)+('Cenário Ref'!F52*'Fluxo Ótimo'!I54)+('Cenário Ref'!F53*'Fluxo Ótimo'!I55)+('Cenário Ref'!F54*'Fluxo Ótimo'!I56)+('Cenário Ref'!F55*'Fluxo Ótimo'!I57)+('Cenário Ref'!F56*'Fluxo Ótimo'!I58)</f>
        <v>5.9999999999999995E-4</v>
      </c>
      <c r="G49" s="435">
        <f>('Cenário Ref'!G50*'Fluxo Ótimo'!K52)+('Cenário Ref'!G51*'Fluxo Ótimo'!K53)+('Cenário Ref'!G52*'Fluxo Ótimo'!K54)+('Cenário Ref'!G53*'Fluxo Ótimo'!K55)+('Cenário Ref'!G54*'Fluxo Ótimo'!K56)+('Cenário Ref'!G55*'Fluxo Ótimo'!K57)+('Cenário Ref'!G56*'Fluxo Ótimo'!K58)</f>
        <v>5.9000000000000003E-4</v>
      </c>
      <c r="H49" s="436">
        <f t="shared" si="4"/>
        <v>3.81E-3</v>
      </c>
      <c r="I49" s="437">
        <f t="shared" si="5"/>
        <v>6.0877410912446193E-8</v>
      </c>
      <c r="J49" s="279">
        <f t="shared" si="6"/>
        <v>7.6199999999999998E-4</v>
      </c>
    </row>
    <row r="50" spans="2:10" hidden="1" x14ac:dyDescent="0.2"/>
    <row r="51" spans="2:10" hidden="1" x14ac:dyDescent="0.2">
      <c r="B51" s="94" t="s">
        <v>265</v>
      </c>
    </row>
    <row r="52" spans="2:10" hidden="1" x14ac:dyDescent="0.2">
      <c r="B52" s="433"/>
      <c r="C52" s="261">
        <v>2020</v>
      </c>
      <c r="D52" s="261">
        <v>2021</v>
      </c>
      <c r="E52" s="261">
        <v>2022</v>
      </c>
      <c r="F52" s="261">
        <v>2023</v>
      </c>
      <c r="G52" s="262">
        <v>2024</v>
      </c>
      <c r="H52" s="203" t="s">
        <v>41</v>
      </c>
      <c r="I52" s="203" t="s">
        <v>3</v>
      </c>
      <c r="J52" s="203" t="s">
        <v>238</v>
      </c>
    </row>
    <row r="53" spans="2:10" hidden="1" x14ac:dyDescent="0.2">
      <c r="B53" s="258" t="s">
        <v>259</v>
      </c>
      <c r="C53" s="434">
        <f>SUM(C54:C62)</f>
        <v>0</v>
      </c>
      <c r="D53" s="434">
        <f>SUM(D54:D62)</f>
        <v>0</v>
      </c>
      <c r="E53" s="434">
        <f>SUM(E54:E62)</f>
        <v>5283.5929997216563</v>
      </c>
      <c r="F53" s="434">
        <f>SUM(F54:F62)</f>
        <v>5532.2157116918979</v>
      </c>
      <c r="G53" s="434">
        <f>SUM(G54:G62)</f>
        <v>5680.8859163595689</v>
      </c>
      <c r="H53" s="436">
        <f t="shared" ref="H53:H62" si="7">SUM(C53:G53)</f>
        <v>16496.694627773122</v>
      </c>
      <c r="I53" s="437">
        <f t="shared" ref="I53:I62" si="8">+H53/$H$53</f>
        <v>1</v>
      </c>
      <c r="J53" s="279">
        <f t="shared" ref="J53:J62" si="9">AVERAGE(C53:G53)</f>
        <v>3299.3389255546244</v>
      </c>
    </row>
    <row r="54" spans="2:10" hidden="1" x14ac:dyDescent="0.2">
      <c r="B54" s="260" t="s">
        <v>248</v>
      </c>
      <c r="C54" s="435">
        <f>('Cenário Ref'!C7*'Fluxo Ótimo'!D9)+('Cenário Ref'!C8*'Fluxo Ótimo'!D10)+('Cenário Ref'!C9*'Fluxo Ótimo'!D11)+('Cenário Ref'!C10*'Fluxo Ótimo'!D12)</f>
        <v>0</v>
      </c>
      <c r="D54" s="435">
        <f>('Cenário Ref'!D7*'Fluxo Ótimo'!F9)+('Cenário Ref'!D8*'Fluxo Ótimo'!F10)+('Cenário Ref'!D9*'Fluxo Ótimo'!F11)+('Cenário Ref'!D10*'Fluxo Ótimo'!F12)</f>
        <v>0</v>
      </c>
      <c r="E54" s="435">
        <f>('Cenário Ref'!E7*'Fluxo Ótimo'!H9)+('Cenário Ref'!E8*'Fluxo Ótimo'!H10)+('Cenário Ref'!E9*'Fluxo Ótimo'!H11)+('Cenário Ref'!E10*'Fluxo Ótimo'!H12)</f>
        <v>0</v>
      </c>
      <c r="F54" s="435">
        <f>('Cenário Ref'!F7*'Fluxo Ótimo'!J9)+('Cenário Ref'!F8*'Fluxo Ótimo'!J10)+('Cenário Ref'!F9*'Fluxo Ótimo'!J11)+('Cenário Ref'!F10*'Fluxo Ótimo'!J12)</f>
        <v>0</v>
      </c>
      <c r="G54" s="435">
        <f>('Cenário Ref'!G7*'Fluxo Ótimo'!L9)+('Cenário Ref'!G8*'Fluxo Ótimo'!L10)+('Cenário Ref'!G9*'Fluxo Ótimo'!L11)+('Cenário Ref'!G10*'Fluxo Ótimo'!L12)</f>
        <v>0</v>
      </c>
      <c r="H54" s="436">
        <f t="shared" si="7"/>
        <v>0</v>
      </c>
      <c r="I54" s="437">
        <f t="shared" si="8"/>
        <v>0</v>
      </c>
      <c r="J54" s="279">
        <f t="shared" si="9"/>
        <v>0</v>
      </c>
    </row>
    <row r="55" spans="2:10" hidden="1" x14ac:dyDescent="0.2">
      <c r="B55" s="259" t="s">
        <v>249</v>
      </c>
      <c r="C55" s="435">
        <f>('Cenário Ref'!C11*'Fluxo Ótimo'!D13)+('Cenário Ref'!C12*'Fluxo Ótimo'!D14)+('Cenário Ref'!C13*'Fluxo Ótimo'!D15)+('Cenário Ref'!C14*'Fluxo Ótimo'!D16)+('Cenário Ref'!C15*'Fluxo Ótimo'!D17)+('Cenário Ref'!C16*'Fluxo Ótimo'!D18)+('Cenário Ref'!C17*'Fluxo Ótimo'!D19)</f>
        <v>0</v>
      </c>
      <c r="D55" s="435">
        <f>('Cenário Ref'!D11*'Fluxo Ótimo'!F13)+('Cenário Ref'!D12*'Fluxo Ótimo'!F14)+('Cenário Ref'!D13*'Fluxo Ótimo'!F15)+('Cenário Ref'!D14*'Fluxo Ótimo'!F16)+('Cenário Ref'!D15*'Fluxo Ótimo'!F17)+('Cenário Ref'!D16*'Fluxo Ótimo'!F18)+('Cenário Ref'!D17*'Fluxo Ótimo'!F19)</f>
        <v>0</v>
      </c>
      <c r="E55" s="435">
        <f>('Cenário Ref'!E11*'Fluxo Ótimo'!H13)+('Cenário Ref'!E12*'Fluxo Ótimo'!H14)+('Cenário Ref'!E13*'Fluxo Ótimo'!H15)+('Cenário Ref'!E14*'Fluxo Ótimo'!H16)+('Cenário Ref'!E15*'Fluxo Ótimo'!H17)+('Cenário Ref'!E16*'Fluxo Ótimo'!H18)+('Cenário Ref'!E17*'Fluxo Ótimo'!H19)</f>
        <v>0</v>
      </c>
      <c r="F55" s="435">
        <f>('Cenário Ref'!F11*'Fluxo Ótimo'!J13)+('Cenário Ref'!F12*'Fluxo Ótimo'!J14)+('Cenário Ref'!F13*'Fluxo Ótimo'!J15)+('Cenário Ref'!F14*'Fluxo Ótimo'!J16)+('Cenário Ref'!F15*'Fluxo Ótimo'!J17)+('Cenário Ref'!F16*'Fluxo Ótimo'!J18)+('Cenário Ref'!F17*'Fluxo Ótimo'!J19)</f>
        <v>0</v>
      </c>
      <c r="G55" s="435">
        <f>('Cenário Ref'!G11*'Fluxo Ótimo'!L13)+('Cenário Ref'!G12*'Fluxo Ótimo'!L14)+('Cenário Ref'!G13*'Fluxo Ótimo'!L15)+('Cenário Ref'!G14*'Fluxo Ótimo'!L16)+('Cenário Ref'!G15*'Fluxo Ótimo'!L17)+('Cenário Ref'!G16*'Fluxo Ótimo'!L18)+('Cenário Ref'!G17*'Fluxo Ótimo'!L19)</f>
        <v>0</v>
      </c>
      <c r="H55" s="436">
        <f t="shared" si="7"/>
        <v>0</v>
      </c>
      <c r="I55" s="437">
        <f t="shared" si="8"/>
        <v>0</v>
      </c>
      <c r="J55" s="279">
        <f t="shared" si="9"/>
        <v>0</v>
      </c>
    </row>
    <row r="56" spans="2:10" hidden="1" x14ac:dyDescent="0.2">
      <c r="B56" s="259" t="s">
        <v>250</v>
      </c>
      <c r="C56" s="435">
        <f>('Cenário Ref'!C18*'Fluxo Ótimo'!D20)+('Cenário Ref'!C19*'Fluxo Ótimo'!D21)+('Cenário Ref'!C20*'Fluxo Ótimo'!D22)+('Cenário Ref'!C21*'Fluxo Ótimo'!D23)+('Cenário Ref'!C22*'Fluxo Ótimo'!D24)+IF('Cenário Ref'!C23&gt;0,'Cenário Ref'!C23*'Fluxo Ótimo'!D25,0)+('Cenário Ref'!C24*'Fluxo Ótimo'!D26)+('Cenário Ref'!C25*'Fluxo Ótimo'!D27)+('Cenário Ref'!C26*'Fluxo Ótimo'!D28)+('Cenário Ref'!C27*'Fluxo Ótimo'!D29)+('Cenário Ref'!C28*'Fluxo Ótimo'!D30)</f>
        <v>0</v>
      </c>
      <c r="D56" s="435">
        <f>('Cenário Ref'!D18*'Fluxo Ótimo'!F20)+('Cenário Ref'!D19*'Fluxo Ótimo'!F21)+('Cenário Ref'!D20*'Fluxo Ótimo'!F22)+('Cenário Ref'!D21*'Fluxo Ótimo'!F23)+('Cenário Ref'!D22*'Fluxo Ótimo'!F24)+IF('Cenário Ref'!D23&gt;0,'Cenário Ref'!D23*'Fluxo Ótimo'!F25,0)+('Cenário Ref'!D24*'Fluxo Ótimo'!F26)+('Cenário Ref'!D25*'Fluxo Ótimo'!F27)+('Cenário Ref'!D26*'Fluxo Ótimo'!F28)+('Cenário Ref'!D27*'Fluxo Ótimo'!F29)+('Cenário Ref'!D28*'Fluxo Ótimo'!F30)</f>
        <v>0</v>
      </c>
      <c r="E56" s="435">
        <f>('Cenário Ref'!E18*'Fluxo Ótimo'!H20)+('Cenário Ref'!E19*'Fluxo Ótimo'!H21)+('Cenário Ref'!E20*'Fluxo Ótimo'!H22)+('Cenário Ref'!E21*'Fluxo Ótimo'!H23)+('Cenário Ref'!E22*'Fluxo Ótimo'!H24)+IF('Cenário Ref'!E23&gt;0,'Cenário Ref'!E23*'Fluxo Ótimo'!H25,0)+('Cenário Ref'!E24*'Fluxo Ótimo'!H26)+('Cenário Ref'!E25*'Fluxo Ótimo'!H27)+('Cenário Ref'!E26*'Fluxo Ótimo'!H28)+('Cenário Ref'!E27*'Fluxo Ótimo'!H29)+('Cenário Ref'!E28*'Fluxo Ótimo'!H30)</f>
        <v>4112.7746963597956</v>
      </c>
      <c r="F56" s="435">
        <f>('Cenário Ref'!F18*'Fluxo Ótimo'!J20)+('Cenário Ref'!F19*'Fluxo Ótimo'!J21)+('Cenário Ref'!F20*'Fluxo Ótimo'!J22)+('Cenário Ref'!F21*'Fluxo Ótimo'!J23)+('Cenário Ref'!F22*'Fluxo Ótimo'!J24)+IF('Cenário Ref'!F23&gt;0,'Cenário Ref'!F23*'Fluxo Ótimo'!J25,0)+('Cenário Ref'!F24*'Fluxo Ótimo'!J26)+('Cenário Ref'!F25*'Fluxo Ótimo'!J27)+('Cenário Ref'!F26*'Fluxo Ótimo'!J28)+('Cenário Ref'!F27*'Fluxo Ótimo'!J29)+('Cenário Ref'!F28*'Fluxo Ótimo'!J30)</f>
        <v>4262.0049160588933</v>
      </c>
      <c r="G56" s="435">
        <f>('Cenário Ref'!G18*'Fluxo Ótimo'!L20)+('Cenário Ref'!G19*'Fluxo Ótimo'!L21)+('Cenário Ref'!G20*'Fluxo Ótimo'!L22)+('Cenário Ref'!G21*'Fluxo Ótimo'!L23)+('Cenário Ref'!G22*'Fluxo Ótimo'!L24)+IF('Cenário Ref'!G23&gt;0,'Cenário Ref'!G23*'Fluxo Ótimo'!L25,0)+('Cenário Ref'!G24*'Fluxo Ótimo'!L26)+('Cenário Ref'!G25*'Fluxo Ótimo'!L27)+('Cenário Ref'!G26*'Fluxo Ótimo'!L28)+('Cenário Ref'!G27*'Fluxo Ótimo'!L29)+('Cenário Ref'!G28*'Fluxo Ótimo'!L30)</f>
        <v>4357.9736732756883</v>
      </c>
      <c r="H56" s="436">
        <f t="shared" si="7"/>
        <v>12732.753285694378</v>
      </c>
      <c r="I56" s="437">
        <f t="shared" si="8"/>
        <v>0.77183663594390994</v>
      </c>
      <c r="J56" s="279">
        <f t="shared" si="9"/>
        <v>2546.5506571388755</v>
      </c>
    </row>
    <row r="57" spans="2:10" hidden="1" x14ac:dyDescent="0.2">
      <c r="B57" s="259" t="s">
        <v>251</v>
      </c>
      <c r="C57" s="435">
        <f>('Cenário Ref'!C29*'Fluxo Ótimo'!D31)+('Cenário Ref'!C30*'Fluxo Ótimo'!D32)+('Cenário Ref'!C31*'Fluxo Ótimo'!D33)+('Cenário Ref'!C32*'Fluxo Ótimo'!D34)</f>
        <v>0</v>
      </c>
      <c r="D57" s="435">
        <f>('Cenário Ref'!D29*'Fluxo Ótimo'!F31)+('Cenário Ref'!D30*'Fluxo Ótimo'!F32)+('Cenário Ref'!D31*'Fluxo Ótimo'!F33)+('Cenário Ref'!D32*'Fluxo Ótimo'!F34)</f>
        <v>0</v>
      </c>
      <c r="E57" s="435">
        <f>('Cenário Ref'!E29*'Fluxo Ótimo'!H31)+('Cenário Ref'!E30*'Fluxo Ótimo'!H32)+('Cenário Ref'!E31*'Fluxo Ótimo'!H33)+('Cenário Ref'!E32*'Fluxo Ótimo'!H34)</f>
        <v>3.8000000000000002E-4</v>
      </c>
      <c r="F57" s="435">
        <f>('Cenário Ref'!F29*'Fluxo Ótimo'!J31)+('Cenário Ref'!F30*'Fluxo Ótimo'!J32)+('Cenário Ref'!F31*'Fluxo Ótimo'!J33)+('Cenário Ref'!F32*'Fluxo Ótimo'!J34)</f>
        <v>4.0000000000000002E-4</v>
      </c>
      <c r="G57" s="435">
        <f>('Cenário Ref'!G29*'Fluxo Ótimo'!L31)+('Cenário Ref'!G30*'Fluxo Ótimo'!L32)+('Cenário Ref'!G31*'Fluxo Ótimo'!L33)+('Cenário Ref'!G32*'Fluxo Ótimo'!L34)</f>
        <v>4.0999999999999999E-4</v>
      </c>
      <c r="H57" s="436">
        <f t="shared" si="7"/>
        <v>1.1900000000000001E-3</v>
      </c>
      <c r="I57" s="437">
        <f t="shared" si="8"/>
        <v>7.2135662740375124E-8</v>
      </c>
      <c r="J57" s="279">
        <f t="shared" si="9"/>
        <v>2.3800000000000001E-4</v>
      </c>
    </row>
    <row r="58" spans="2:10" hidden="1" x14ac:dyDescent="0.2">
      <c r="B58" s="259" t="s">
        <v>252</v>
      </c>
      <c r="C58" s="435">
        <f>('Cenário Ref'!C33*'Fluxo Ótimo'!D35)+('Cenário Ref'!C34*'Fluxo Ótimo'!D36)+('Cenário Ref'!C35*'Fluxo Ótimo'!D37)+('Cenário Ref'!C36*'Fluxo Ótimo'!D38)</f>
        <v>0</v>
      </c>
      <c r="D58" s="435">
        <f>('Cenário Ref'!D33*'Fluxo Ótimo'!F35)+('Cenário Ref'!D34*'Fluxo Ótimo'!F36)+('Cenário Ref'!D35*'Fluxo Ótimo'!F37)+('Cenário Ref'!D36*'Fluxo Ótimo'!F38)</f>
        <v>0</v>
      </c>
      <c r="E58" s="435">
        <f>('Cenário Ref'!E33*'Fluxo Ótimo'!H35)+('Cenário Ref'!E34*'Fluxo Ótimo'!H36)+('Cenário Ref'!E35*'Fluxo Ótimo'!H37)+('Cenário Ref'!E36*'Fluxo Ótimo'!H38)</f>
        <v>482.08538505743536</v>
      </c>
      <c r="F58" s="435">
        <f>('Cenário Ref'!F33*'Fluxo Ótimo'!J35)+('Cenário Ref'!F34*'Fluxo Ótimo'!J36)+('Cenário Ref'!F35*'Fluxo Ótimo'!J37)+('Cenário Ref'!F36*'Fluxo Ótimo'!J38)</f>
        <v>526.77148261604793</v>
      </c>
      <c r="G58" s="435">
        <f>('Cenário Ref'!G33*'Fluxo Ótimo'!L35)+('Cenário Ref'!G34*'Fluxo Ótimo'!L36)+('Cenário Ref'!G35*'Fluxo Ótimo'!L37)+('Cenário Ref'!G36*'Fluxo Ótimo'!L38)</f>
        <v>541.20000000000016</v>
      </c>
      <c r="H58" s="436">
        <f t="shared" si="7"/>
        <v>1550.0568676734833</v>
      </c>
      <c r="I58" s="437">
        <f t="shared" si="8"/>
        <v>9.3961663390669456E-2</v>
      </c>
      <c r="J58" s="279">
        <f t="shared" si="9"/>
        <v>310.01137353469665</v>
      </c>
    </row>
    <row r="59" spans="2:10" hidden="1" x14ac:dyDescent="0.2">
      <c r="B59" s="259" t="s">
        <v>253</v>
      </c>
      <c r="C59" s="435">
        <f>('Cenário Ref'!C37*'Fluxo Ótimo'!D39)+('Cenário Ref'!C38*'Fluxo Ótimo'!D40)+('Cenário Ref'!C39*'Fluxo Ótimo'!D41)+('Cenário Ref'!C40*'Fluxo Ótimo'!D42)</f>
        <v>0</v>
      </c>
      <c r="D59" s="435">
        <f>('Cenário Ref'!D37*'Fluxo Ótimo'!F39)+('Cenário Ref'!D38*'Fluxo Ótimo'!F40)+('Cenário Ref'!D39*'Fluxo Ótimo'!F41)+('Cenário Ref'!D40*'Fluxo Ótimo'!F42)</f>
        <v>0</v>
      </c>
      <c r="E59" s="435">
        <f>('Cenário Ref'!E37*'Fluxo Ótimo'!H39)+('Cenário Ref'!E38*'Fluxo Ótimo'!H40)+('Cenário Ref'!E39*'Fluxo Ótimo'!H41)+('Cenário Ref'!E40*'Fluxo Ótimo'!H42)</f>
        <v>3.8000000000000002E-4</v>
      </c>
      <c r="F59" s="435">
        <f>('Cenário Ref'!F37*'Fluxo Ótimo'!J39)+('Cenário Ref'!F38*'Fluxo Ótimo'!J40)+('Cenário Ref'!F39*'Fluxo Ótimo'!J41)+('Cenário Ref'!F40*'Fluxo Ótimo'!J42)</f>
        <v>4.0000000000000002E-4</v>
      </c>
      <c r="G59" s="435">
        <f>('Cenário Ref'!G37*'Fluxo Ótimo'!L39)+('Cenário Ref'!G38*'Fluxo Ótimo'!L40)+('Cenário Ref'!G39*'Fluxo Ótimo'!L41)+('Cenário Ref'!G40*'Fluxo Ótimo'!L42)</f>
        <v>4.0999999999999999E-4</v>
      </c>
      <c r="H59" s="436">
        <f t="shared" si="7"/>
        <v>1.1900000000000001E-3</v>
      </c>
      <c r="I59" s="437">
        <f t="shared" si="8"/>
        <v>7.2135662740375124E-8</v>
      </c>
      <c r="J59" s="279">
        <f t="shared" si="9"/>
        <v>2.3800000000000001E-4</v>
      </c>
    </row>
    <row r="60" spans="2:10" hidden="1" x14ac:dyDescent="0.2">
      <c r="B60" s="259" t="s">
        <v>254</v>
      </c>
      <c r="C60" s="435">
        <f>('Cenário Ref'!C41*'Fluxo Ótimo'!D43)+('Cenário Ref'!C42*'Fluxo Ótimo'!D44)+('Cenário Ref'!C43*'Fluxo Ótimo'!D45)+('Cenário Ref'!C44*'Fluxo Ótimo'!D46)+('Cenário Ref'!C45*'Fluxo Ótimo'!D47)</f>
        <v>0</v>
      </c>
      <c r="D60" s="435">
        <f>('Cenário Ref'!D41*'Fluxo Ótimo'!F43)+('Cenário Ref'!D42*'Fluxo Ótimo'!F44)+('Cenário Ref'!D43*'Fluxo Ótimo'!F45)+('Cenário Ref'!D44*'Fluxo Ótimo'!F46)+('Cenário Ref'!D45*'Fluxo Ótimo'!F47)</f>
        <v>0</v>
      </c>
      <c r="E60" s="435">
        <f>('Cenário Ref'!E41*'Fluxo Ótimo'!H43)+('Cenário Ref'!E42*'Fluxo Ótimo'!H44)+('Cenário Ref'!E43*'Fluxo Ótimo'!H45)+('Cenário Ref'!E44*'Fluxo Ótimo'!H46)+('Cenário Ref'!E45*'Fluxo Ótimo'!H47)</f>
        <v>431.81377830442494</v>
      </c>
      <c r="F60" s="435">
        <f>('Cenário Ref'!F41*'Fluxo Ótimo'!J43)+('Cenário Ref'!F42*'Fluxo Ótimo'!J44)+('Cenário Ref'!F43*'Fluxo Ótimo'!J45)+('Cenário Ref'!F44*'Fluxo Ótimo'!J46)+('Cenário Ref'!F45*'Fluxo Ótimo'!J47)</f>
        <v>472.99811301695581</v>
      </c>
      <c r="G60" s="435">
        <f>('Cenário Ref'!G41*'Fluxo Ótimo'!L43)+('Cenário Ref'!G42*'Fluxo Ótimo'!L44)+('Cenário Ref'!G43*'Fluxo Ótimo'!L45)+('Cenário Ref'!G44*'Fluxo Ótimo'!L46)+('Cenário Ref'!G45*'Fluxo Ótimo'!L47)</f>
        <v>504.51001308388146</v>
      </c>
      <c r="H60" s="436">
        <f t="shared" si="7"/>
        <v>1409.3219044052621</v>
      </c>
      <c r="I60" s="437">
        <f t="shared" si="8"/>
        <v>8.5430562679664854E-2</v>
      </c>
      <c r="J60" s="279">
        <f t="shared" si="9"/>
        <v>281.8643808810524</v>
      </c>
    </row>
    <row r="61" spans="2:10" hidden="1" x14ac:dyDescent="0.2">
      <c r="B61" s="259" t="s">
        <v>255</v>
      </c>
      <c r="C61" s="435">
        <f>('Cenário Ref'!C46*'Fluxo Ótimo'!D48)+('Cenário Ref'!C47*'Fluxo Ótimo'!D49)+('Cenário Ref'!C48*'Fluxo Ótimo'!D50)+('Cenário Ref'!C49*'Fluxo Ótimo'!D51)</f>
        <v>0</v>
      </c>
      <c r="D61" s="435">
        <f>('Cenário Ref'!D46*'Fluxo Ótimo'!F48)+('Cenário Ref'!D47*'Fluxo Ótimo'!F49)+('Cenário Ref'!D48*'Fluxo Ótimo'!F50)+('Cenário Ref'!D49*'Fluxo Ótimo'!F51)</f>
        <v>0</v>
      </c>
      <c r="E61" s="435">
        <f>('Cenário Ref'!E46*'Fluxo Ótimo'!H48)+('Cenário Ref'!E47*'Fluxo Ótimo'!H49)+('Cenário Ref'!E48*'Fluxo Ótimo'!H50)+('Cenário Ref'!E49*'Fluxo Ótimo'!H51)</f>
        <v>256.91800000000001</v>
      </c>
      <c r="F61" s="435">
        <f>('Cenário Ref'!F46*'Fluxo Ótimo'!J48)+('Cenário Ref'!F47*'Fluxo Ótimo'!J49)+('Cenário Ref'!F48*'Fluxo Ótimo'!J50)+('Cenário Ref'!F49*'Fluxo Ótimo'!J51)</f>
        <v>270.44000000000005</v>
      </c>
      <c r="G61" s="435">
        <f>('Cenário Ref'!G46*'Fluxo Ótimo'!L48)+('Cenário Ref'!G47*'Fluxo Ótimo'!L49)+('Cenário Ref'!G48*'Fluxo Ótimo'!L50)+('Cenário Ref'!G49*'Fluxo Ótimo'!L51)</f>
        <v>277.20100000000002</v>
      </c>
      <c r="H61" s="436">
        <f t="shared" si="7"/>
        <v>804.55900000000008</v>
      </c>
      <c r="I61" s="437">
        <f t="shared" si="8"/>
        <v>4.8770921578767626E-2</v>
      </c>
      <c r="J61" s="279">
        <f t="shared" si="9"/>
        <v>160.91180000000003</v>
      </c>
    </row>
    <row r="62" spans="2:10" hidden="1" x14ac:dyDescent="0.2">
      <c r="B62" s="259" t="s">
        <v>256</v>
      </c>
      <c r="C62" s="435">
        <f>('Cenário Ref'!C50*'Fluxo Ótimo'!D52)+('Cenário Ref'!C51*'Fluxo Ótimo'!D53)+('Cenário Ref'!C52*'Fluxo Ótimo'!D54)+('Cenário Ref'!C53*'Fluxo Ótimo'!D55)+('Cenário Ref'!C54*'Fluxo Ótimo'!D56)+('Cenário Ref'!C55*'Fluxo Ótimo'!D57)+('Cenário Ref'!C56*'Fluxo Ótimo'!D58)</f>
        <v>0</v>
      </c>
      <c r="D62" s="435">
        <f>('Cenário Ref'!D50*'Fluxo Ótimo'!F52)+('Cenário Ref'!D51*'Fluxo Ótimo'!F53)+('Cenário Ref'!D52*'Fluxo Ótimo'!F54)+('Cenário Ref'!D53*'Fluxo Ótimo'!F55)+('Cenário Ref'!D54*'Fluxo Ótimo'!F56)+('Cenário Ref'!D55*'Fluxo Ótimo'!F57)+('Cenário Ref'!D56*'Fluxo Ótimo'!F58)</f>
        <v>0</v>
      </c>
      <c r="E62" s="435">
        <f>('Cenário Ref'!E50*'Fluxo Ótimo'!H52)+('Cenário Ref'!E51*'Fluxo Ótimo'!H53)+('Cenário Ref'!E52*'Fluxo Ótimo'!H54)+('Cenário Ref'!E53*'Fluxo Ótimo'!H55)+('Cenário Ref'!E54*'Fluxo Ótimo'!H56)+('Cenário Ref'!E55*'Fluxo Ótimo'!H57)+('Cenário Ref'!E56*'Fluxo Ótimo'!H58)</f>
        <v>3.8000000000000002E-4</v>
      </c>
      <c r="F62" s="435">
        <f>('Cenário Ref'!F50*'Fluxo Ótimo'!J52)+('Cenário Ref'!F51*'Fluxo Ótimo'!J53)+('Cenário Ref'!F52*'Fluxo Ótimo'!J54)+('Cenário Ref'!F53*'Fluxo Ótimo'!J55)+('Cenário Ref'!F54*'Fluxo Ótimo'!J56)+('Cenário Ref'!F55*'Fluxo Ótimo'!J57)+('Cenário Ref'!F56*'Fluxo Ótimo'!J58)</f>
        <v>4.0000000000000002E-4</v>
      </c>
      <c r="G62" s="435">
        <f>('Cenário Ref'!G50*'Fluxo Ótimo'!L52)+('Cenário Ref'!G51*'Fluxo Ótimo'!L53)+('Cenário Ref'!G52*'Fluxo Ótimo'!L54)+('Cenário Ref'!G53*'Fluxo Ótimo'!L55)+('Cenário Ref'!G54*'Fluxo Ótimo'!L56)+('Cenário Ref'!G55*'Fluxo Ótimo'!L57)+('Cenário Ref'!G56*'Fluxo Ótimo'!L58)</f>
        <v>4.0999999999999999E-4</v>
      </c>
      <c r="H62" s="436">
        <f t="shared" si="7"/>
        <v>1.1900000000000001E-3</v>
      </c>
      <c r="I62" s="437">
        <f t="shared" si="8"/>
        <v>7.2135662740375124E-8</v>
      </c>
      <c r="J62" s="279">
        <f t="shared" si="9"/>
        <v>2.3800000000000001E-4</v>
      </c>
    </row>
    <row r="63" spans="2:10" hidden="1" x14ac:dyDescent="0.2">
      <c r="C63" s="239"/>
      <c r="D63" s="239"/>
      <c r="E63" s="239"/>
      <c r="F63" s="239"/>
      <c r="G63" s="239"/>
    </row>
    <row r="64" spans="2:10" hidden="1" x14ac:dyDescent="0.2">
      <c r="B64" s="94" t="s">
        <v>266</v>
      </c>
    </row>
    <row r="65" spans="2:10" hidden="1" x14ac:dyDescent="0.2">
      <c r="B65" s="433"/>
      <c r="C65" s="261">
        <v>2020</v>
      </c>
      <c r="D65" s="261">
        <v>2021</v>
      </c>
      <c r="E65" s="261">
        <v>2022</v>
      </c>
      <c r="F65" s="261">
        <v>2023</v>
      </c>
      <c r="G65" s="262">
        <v>2024</v>
      </c>
      <c r="H65" s="203" t="s">
        <v>41</v>
      </c>
      <c r="I65" s="203" t="s">
        <v>3</v>
      </c>
      <c r="J65" s="203" t="s">
        <v>238</v>
      </c>
    </row>
    <row r="66" spans="2:10" hidden="1" x14ac:dyDescent="0.2">
      <c r="B66" s="258" t="s">
        <v>259</v>
      </c>
      <c r="C66" s="434">
        <f>SUM(C67:C75)</f>
        <v>13975.101000000001</v>
      </c>
      <c r="D66" s="434">
        <f>SUM(D67:D75)</f>
        <v>13975.101000000001</v>
      </c>
      <c r="E66" s="434">
        <f>SUM(E67:E75)</f>
        <v>16715.140590752693</v>
      </c>
      <c r="F66" s="434">
        <f>SUM(F67:F75)</f>
        <v>17057.907736746052</v>
      </c>
      <c r="G66" s="434">
        <f>SUM(G67:G75)</f>
        <v>17358.234666598215</v>
      </c>
      <c r="H66" s="436">
        <f t="shared" ref="H66:H75" si="10">SUM(C66:G66)</f>
        <v>79081.484994096973</v>
      </c>
      <c r="I66" s="437">
        <f t="shared" ref="I66:I75" si="11">+H66/$H$66</f>
        <v>1</v>
      </c>
      <c r="J66" s="279">
        <f t="shared" ref="J66:J75" si="12">AVERAGE(C66:G66)</f>
        <v>15816.296998819395</v>
      </c>
    </row>
    <row r="67" spans="2:10" hidden="1" x14ac:dyDescent="0.2">
      <c r="B67" s="260" t="s">
        <v>248</v>
      </c>
      <c r="C67" s="435">
        <f t="shared" ref="C67:G75" si="13">C41+C54</f>
        <v>95.104404000000002</v>
      </c>
      <c r="D67" s="435">
        <f t="shared" si="13"/>
        <v>105.84199800000002</v>
      </c>
      <c r="E67" s="435">
        <f t="shared" si="13"/>
        <v>2212.2003639999971</v>
      </c>
      <c r="F67" s="435">
        <f t="shared" si="13"/>
        <v>2216.520467422366</v>
      </c>
      <c r="G67" s="435">
        <f t="shared" si="13"/>
        <v>2220.8561877422935</v>
      </c>
      <c r="H67" s="436">
        <f t="shared" si="10"/>
        <v>6850.5234211646566</v>
      </c>
      <c r="I67" s="437">
        <f t="shared" si="11"/>
        <v>8.6626135329603546E-2</v>
      </c>
      <c r="J67" s="279">
        <f t="shared" si="12"/>
        <v>1370.1046842329313</v>
      </c>
    </row>
    <row r="68" spans="2:10" hidden="1" x14ac:dyDescent="0.2">
      <c r="B68" s="259" t="s">
        <v>249</v>
      </c>
      <c r="C68" s="435">
        <f t="shared" si="13"/>
        <v>800.28191281405316</v>
      </c>
      <c r="D68" s="435">
        <f t="shared" si="13"/>
        <v>832.77847137061849</v>
      </c>
      <c r="E68" s="435">
        <f t="shared" si="13"/>
        <v>865.52474011730442</v>
      </c>
      <c r="F68" s="435">
        <f t="shared" si="13"/>
        <v>898.46545132504957</v>
      </c>
      <c r="G68" s="435">
        <f t="shared" si="13"/>
        <v>931.5252410969249</v>
      </c>
      <c r="H68" s="436">
        <f t="shared" si="10"/>
        <v>4328.575816723951</v>
      </c>
      <c r="I68" s="437">
        <f t="shared" si="11"/>
        <v>5.473564156068967E-2</v>
      </c>
      <c r="J68" s="279">
        <f t="shared" si="12"/>
        <v>865.7151633447902</v>
      </c>
    </row>
    <row r="69" spans="2:10" hidden="1" x14ac:dyDescent="0.2">
      <c r="B69" s="259" t="s">
        <v>250</v>
      </c>
      <c r="C69" s="435">
        <f t="shared" si="13"/>
        <v>10181.198722586178</v>
      </c>
      <c r="D69" s="435">
        <f t="shared" si="13"/>
        <v>10047.720323911184</v>
      </c>
      <c r="E69" s="435">
        <f t="shared" si="13"/>
        <v>10556.314688314709</v>
      </c>
      <c r="F69" s="435">
        <f t="shared" si="13"/>
        <v>10767.394828916125</v>
      </c>
      <c r="G69" s="435">
        <f t="shared" si="13"/>
        <v>10979.238010725139</v>
      </c>
      <c r="H69" s="436">
        <f t="shared" si="10"/>
        <v>52531.866574453335</v>
      </c>
      <c r="I69" s="437">
        <f t="shared" si="11"/>
        <v>0.66427516603127235</v>
      </c>
      <c r="J69" s="279">
        <f t="shared" si="12"/>
        <v>10506.373314890667</v>
      </c>
    </row>
    <row r="70" spans="2:10" hidden="1" x14ac:dyDescent="0.2">
      <c r="B70" s="259" t="s">
        <v>251</v>
      </c>
      <c r="C70" s="435">
        <f t="shared" si="13"/>
        <v>1E-3</v>
      </c>
      <c r="D70" s="435">
        <f t="shared" si="13"/>
        <v>1E-3</v>
      </c>
      <c r="E70" s="435">
        <f t="shared" si="13"/>
        <v>1E-3</v>
      </c>
      <c r="F70" s="435">
        <f t="shared" si="13"/>
        <v>1E-3</v>
      </c>
      <c r="G70" s="435">
        <f t="shared" si="13"/>
        <v>1E-3</v>
      </c>
      <c r="H70" s="436">
        <f t="shared" si="10"/>
        <v>5.0000000000000001E-3</v>
      </c>
      <c r="I70" s="437">
        <f t="shared" si="11"/>
        <v>6.3225924505252071E-8</v>
      </c>
      <c r="J70" s="279">
        <f t="shared" si="12"/>
        <v>1E-3</v>
      </c>
    </row>
    <row r="71" spans="2:10" hidden="1" x14ac:dyDescent="0.2">
      <c r="B71" s="259" t="s">
        <v>252</v>
      </c>
      <c r="C71" s="435">
        <f t="shared" si="13"/>
        <v>1173.0158602708207</v>
      </c>
      <c r="D71" s="435">
        <f t="shared" si="13"/>
        <v>1220.6477984424976</v>
      </c>
      <c r="E71" s="435">
        <f t="shared" si="13"/>
        <v>1268.6457501511456</v>
      </c>
      <c r="F71" s="435">
        <f t="shared" si="13"/>
        <v>1316.9287065401199</v>
      </c>
      <c r="G71" s="435">
        <f t="shared" si="13"/>
        <v>1320.0000000000002</v>
      </c>
      <c r="H71" s="436">
        <f t="shared" si="10"/>
        <v>6299.2381154045834</v>
      </c>
      <c r="I71" s="437">
        <f t="shared" si="11"/>
        <v>7.965503070503531E-2</v>
      </c>
      <c r="J71" s="279">
        <f t="shared" si="12"/>
        <v>1259.8476230809167</v>
      </c>
    </row>
    <row r="72" spans="2:10" hidden="1" x14ac:dyDescent="0.2">
      <c r="B72" s="259" t="s">
        <v>253</v>
      </c>
      <c r="C72" s="435">
        <f t="shared" si="13"/>
        <v>1E-3</v>
      </c>
      <c r="D72" s="435">
        <f t="shared" si="13"/>
        <v>1E-3</v>
      </c>
      <c r="E72" s="435">
        <f t="shared" si="13"/>
        <v>1E-3</v>
      </c>
      <c r="F72" s="435">
        <f t="shared" si="13"/>
        <v>1E-3</v>
      </c>
      <c r="G72" s="435">
        <f t="shared" si="13"/>
        <v>1E-3</v>
      </c>
      <c r="H72" s="436">
        <f t="shared" si="10"/>
        <v>5.0000000000000001E-3</v>
      </c>
      <c r="I72" s="437">
        <f t="shared" si="11"/>
        <v>6.3225924505252071E-8</v>
      </c>
      <c r="J72" s="279">
        <f t="shared" si="12"/>
        <v>1E-3</v>
      </c>
    </row>
    <row r="73" spans="2:10" hidden="1" x14ac:dyDescent="0.2">
      <c r="B73" s="259" t="s">
        <v>254</v>
      </c>
      <c r="C73" s="435">
        <f t="shared" si="13"/>
        <v>1049.3971003289471</v>
      </c>
      <c r="D73" s="435">
        <f t="shared" si="13"/>
        <v>1092.009408275698</v>
      </c>
      <c r="E73" s="435">
        <f t="shared" si="13"/>
        <v>1136.3520481695393</v>
      </c>
      <c r="F73" s="435">
        <f t="shared" si="13"/>
        <v>1182.4952825423895</v>
      </c>
      <c r="G73" s="435">
        <f t="shared" si="13"/>
        <v>1230.5122270338572</v>
      </c>
      <c r="H73" s="436">
        <f t="shared" si="10"/>
        <v>5690.7660663504312</v>
      </c>
      <c r="I73" s="437">
        <f t="shared" si="11"/>
        <v>7.1960789137624534E-2</v>
      </c>
      <c r="J73" s="279">
        <f t="shared" si="12"/>
        <v>1138.1532132700863</v>
      </c>
    </row>
    <row r="74" spans="2:10" hidden="1" x14ac:dyDescent="0.2">
      <c r="B74" s="259" t="s">
        <v>255</v>
      </c>
      <c r="C74" s="435">
        <f t="shared" si="13"/>
        <v>676.1</v>
      </c>
      <c r="D74" s="435">
        <f t="shared" si="13"/>
        <v>676.1</v>
      </c>
      <c r="E74" s="435">
        <f t="shared" si="13"/>
        <v>676.1</v>
      </c>
      <c r="F74" s="435">
        <f t="shared" si="13"/>
        <v>676.1</v>
      </c>
      <c r="G74" s="435">
        <f t="shared" si="13"/>
        <v>676.1</v>
      </c>
      <c r="H74" s="436">
        <f t="shared" si="10"/>
        <v>3380.5</v>
      </c>
      <c r="I74" s="437">
        <f t="shared" si="11"/>
        <v>4.2747047558000927E-2</v>
      </c>
      <c r="J74" s="279">
        <f t="shared" si="12"/>
        <v>676.1</v>
      </c>
    </row>
    <row r="75" spans="2:10" hidden="1" x14ac:dyDescent="0.2">
      <c r="B75" s="259" t="s">
        <v>256</v>
      </c>
      <c r="C75" s="435">
        <f t="shared" si="13"/>
        <v>1E-3</v>
      </c>
      <c r="D75" s="435">
        <f t="shared" si="13"/>
        <v>1E-3</v>
      </c>
      <c r="E75" s="435">
        <f t="shared" si="13"/>
        <v>1E-3</v>
      </c>
      <c r="F75" s="435">
        <f t="shared" si="13"/>
        <v>1E-3</v>
      </c>
      <c r="G75" s="435">
        <f t="shared" si="13"/>
        <v>1E-3</v>
      </c>
      <c r="H75" s="436">
        <f t="shared" si="10"/>
        <v>5.0000000000000001E-3</v>
      </c>
      <c r="I75" s="437">
        <f t="shared" si="11"/>
        <v>6.3225924505252071E-8</v>
      </c>
      <c r="J75" s="279">
        <f t="shared" si="12"/>
        <v>1E-3</v>
      </c>
    </row>
    <row r="76" spans="2:10" x14ac:dyDescent="0.2">
      <c r="C76" s="239"/>
      <c r="D76" s="239"/>
      <c r="E76" s="239"/>
      <c r="F76" s="239"/>
      <c r="G76" s="239"/>
    </row>
    <row r="77" spans="2:10" x14ac:dyDescent="0.2">
      <c r="B77" s="94" t="s">
        <v>312</v>
      </c>
    </row>
    <row r="78" spans="2:10" ht="14.25" x14ac:dyDescent="0.25">
      <c r="B78" s="132" t="s">
        <v>313</v>
      </c>
    </row>
    <row r="79" spans="2:10" x14ac:dyDescent="0.2">
      <c r="B79" s="433"/>
      <c r="C79" s="261">
        <v>2020</v>
      </c>
      <c r="D79" s="261">
        <v>2021</v>
      </c>
      <c r="E79" s="261">
        <v>2022</v>
      </c>
      <c r="F79" s="261">
        <v>2023</v>
      </c>
      <c r="G79" s="262">
        <v>2024</v>
      </c>
      <c r="H79" s="203" t="s">
        <v>41</v>
      </c>
      <c r="I79" s="203" t="s">
        <v>3</v>
      </c>
      <c r="J79" s="203" t="s">
        <v>238</v>
      </c>
    </row>
    <row r="80" spans="2:10" x14ac:dyDescent="0.2">
      <c r="B80" s="258" t="s">
        <v>275</v>
      </c>
      <c r="C80" s="434">
        <f>SUM(C81:C82)</f>
        <v>5114886.966</v>
      </c>
      <c r="D80" s="434">
        <f>SUM(D81:D82)</f>
        <v>5100911.8650000002</v>
      </c>
      <c r="E80" s="434">
        <f>SUM(E81:E82)</f>
        <v>6101026.3156247335</v>
      </c>
      <c r="F80" s="434">
        <f>SUM(F81:F82)</f>
        <v>6226136.3239123281</v>
      </c>
      <c r="G80" s="434">
        <f>SUM(G81:G82)</f>
        <v>6353113.8879749468</v>
      </c>
      <c r="H80" s="436">
        <f>SUM(C80:G80)</f>
        <v>28896075.358512007</v>
      </c>
      <c r="I80" s="437">
        <f>H80/H80</f>
        <v>1</v>
      </c>
      <c r="J80" s="279">
        <f>AVERAGE(C80:G80)</f>
        <v>5779215.0717024012</v>
      </c>
    </row>
    <row r="81" spans="2:13" x14ac:dyDescent="0.2">
      <c r="B81" s="259" t="s">
        <v>260</v>
      </c>
      <c r="C81" s="435">
        <f>'C. Demanda'!C6*C$119</f>
        <v>5114886.966</v>
      </c>
      <c r="D81" s="435">
        <f>'C. Demanda'!D6*D$119</f>
        <v>5100911.8650000002</v>
      </c>
      <c r="E81" s="435">
        <f>'C. Demanda'!E6*E$119</f>
        <v>5006026.3156247335</v>
      </c>
      <c r="F81" s="435">
        <f>'C. Demanda'!F6*F$119</f>
        <v>5131136.3239123281</v>
      </c>
      <c r="G81" s="435">
        <f>'C. Demanda'!G6*G$119</f>
        <v>5255113.8879749468</v>
      </c>
      <c r="H81" s="436">
        <f>SUM(C81:G81)</f>
        <v>25608075.358512007</v>
      </c>
      <c r="I81" s="437">
        <f>H81/H80</f>
        <v>0.88621292133253504</v>
      </c>
      <c r="J81" s="279">
        <f>AVERAGE(C81:G81)</f>
        <v>5121615.0717024012</v>
      </c>
      <c r="K81" s="177"/>
    </row>
    <row r="82" spans="2:13" x14ac:dyDescent="0.2">
      <c r="B82" s="259" t="s">
        <v>185</v>
      </c>
      <c r="C82" s="435">
        <f>'C. Demanda'!C7*C$119</f>
        <v>0</v>
      </c>
      <c r="D82" s="435">
        <f>'C. Demanda'!D7*D$119</f>
        <v>0</v>
      </c>
      <c r="E82" s="435">
        <f>'C. Demanda'!E7*E$119</f>
        <v>1095000</v>
      </c>
      <c r="F82" s="435">
        <f>'C. Demanda'!F7*F$119</f>
        <v>1095000</v>
      </c>
      <c r="G82" s="435">
        <f>'C. Demanda'!G7*G$119</f>
        <v>1098000</v>
      </c>
      <c r="H82" s="436">
        <f>SUM(C82:G82)</f>
        <v>3288000</v>
      </c>
      <c r="I82" s="437">
        <f>H82/H80</f>
        <v>0.11378707866746492</v>
      </c>
      <c r="J82" s="279">
        <f>AVERAGE(C82:G82)</f>
        <v>657600</v>
      </c>
      <c r="K82" s="177"/>
    </row>
    <row r="83" spans="2:13" x14ac:dyDescent="0.2">
      <c r="B83" s="132"/>
      <c r="C83" s="132"/>
      <c r="D83" s="132"/>
      <c r="E83" s="132"/>
      <c r="F83" s="132"/>
      <c r="G83" s="132"/>
      <c r="H83" s="132"/>
      <c r="I83" s="132"/>
      <c r="J83" s="132"/>
    </row>
    <row r="84" spans="2:13" ht="14.25" x14ac:dyDescent="0.25">
      <c r="B84" s="132" t="s">
        <v>314</v>
      </c>
      <c r="C84" s="132"/>
      <c r="D84" s="132"/>
      <c r="E84" s="132"/>
      <c r="F84" s="132"/>
      <c r="G84" s="132"/>
      <c r="H84" s="132"/>
      <c r="I84" s="132"/>
      <c r="J84" s="132"/>
    </row>
    <row r="85" spans="2:13" x14ac:dyDescent="0.2">
      <c r="B85" s="433"/>
      <c r="C85" s="261">
        <v>2020</v>
      </c>
      <c r="D85" s="261">
        <v>2021</v>
      </c>
      <c r="E85" s="261">
        <v>2022</v>
      </c>
      <c r="F85" s="261">
        <v>2023</v>
      </c>
      <c r="G85" s="262">
        <v>2024</v>
      </c>
      <c r="H85" s="203" t="s">
        <v>41</v>
      </c>
      <c r="I85" s="203" t="s">
        <v>3</v>
      </c>
      <c r="J85" s="203" t="s">
        <v>238</v>
      </c>
    </row>
    <row r="86" spans="2:13" x14ac:dyDescent="0.2">
      <c r="B86" s="258" t="s">
        <v>276</v>
      </c>
      <c r="C86" s="434">
        <f>SUM(C87:C95)</f>
        <v>5114886.9659999991</v>
      </c>
      <c r="D86" s="434">
        <f>SUM(D87:D95)</f>
        <v>5100911.8650000002</v>
      </c>
      <c r="E86" s="434">
        <f>SUM(E87:E95)</f>
        <v>6101026.3156247344</v>
      </c>
      <c r="F86" s="434">
        <f>SUM(F87:F95)</f>
        <v>6226136.3239123086</v>
      </c>
      <c r="G86" s="434">
        <f>SUM(G87:G95)</f>
        <v>6353113.8879749486</v>
      </c>
      <c r="H86" s="436">
        <f t="shared" ref="H86:H95" si="14">SUM(C86:G86)</f>
        <v>28896075.358511992</v>
      </c>
      <c r="I86" s="437">
        <f t="shared" ref="I86:I95" si="15">+H86/$H$86</f>
        <v>1</v>
      </c>
      <c r="J86" s="279">
        <f t="shared" ref="J86:J95" si="16">AVERAGE(C86:G86)</f>
        <v>5779215.0717023984</v>
      </c>
    </row>
    <row r="87" spans="2:13" x14ac:dyDescent="0.2">
      <c r="B87" s="260" t="s">
        <v>248</v>
      </c>
      <c r="C87" s="435">
        <f>'C. Demanda'!C12*C$119</f>
        <v>34808.211864000004</v>
      </c>
      <c r="D87" s="435">
        <f>'C. Demanda'!D12*D$119</f>
        <v>38632.329270000009</v>
      </c>
      <c r="E87" s="435">
        <f>'C. Demanda'!E12*E$119</f>
        <v>807453.13285999896</v>
      </c>
      <c r="F87" s="435">
        <f>'C. Demanda'!F12*F$119</f>
        <v>809029.97060916363</v>
      </c>
      <c r="G87" s="435">
        <f>'C. Demanda'!G12*G$119</f>
        <v>812833.36471367942</v>
      </c>
      <c r="H87" s="436">
        <f t="shared" si="14"/>
        <v>2502757.0093168421</v>
      </c>
      <c r="I87" s="437">
        <f t="shared" si="15"/>
        <v>8.6612350579283723E-2</v>
      </c>
      <c r="J87" s="279">
        <f t="shared" si="16"/>
        <v>500551.4018633684</v>
      </c>
    </row>
    <row r="88" spans="2:13" x14ac:dyDescent="0.2">
      <c r="B88" s="259" t="s">
        <v>249</v>
      </c>
      <c r="C88" s="435">
        <f>'C. Demanda'!C13*C$119</f>
        <v>292903.18008994346</v>
      </c>
      <c r="D88" s="435">
        <f>'C. Demanda'!D13*D$119</f>
        <v>303964.14205027575</v>
      </c>
      <c r="E88" s="435">
        <f>'C. Demanda'!E13*E$119</f>
        <v>315916.53014281613</v>
      </c>
      <c r="F88" s="435">
        <f>'C. Demanda'!F13*F$119</f>
        <v>327939.8897336431</v>
      </c>
      <c r="G88" s="435">
        <f>'C. Demanda'!G13*G$119</f>
        <v>340938.23824147449</v>
      </c>
      <c r="H88" s="436">
        <f t="shared" si="14"/>
        <v>1581661.9802581528</v>
      </c>
      <c r="I88" s="437">
        <f t="shared" si="15"/>
        <v>5.4736221463799528E-2</v>
      </c>
      <c r="J88" s="279">
        <f t="shared" si="16"/>
        <v>316332.39605163055</v>
      </c>
    </row>
    <row r="89" spans="2:13" x14ac:dyDescent="0.2">
      <c r="B89" s="259" t="s">
        <v>250</v>
      </c>
      <c r="C89" s="435">
        <f>'C. Demanda'!C14*C$119</f>
        <v>3726318.7324665412</v>
      </c>
      <c r="D89" s="435">
        <f>'C. Demanda'!D14*D$119</f>
        <v>3667417.9182275822</v>
      </c>
      <c r="E89" s="435">
        <f>'C. Demanda'!E14*E$119</f>
        <v>3853054.8612348689</v>
      </c>
      <c r="F89" s="435">
        <f>'C. Demanda'!F14*F$119</f>
        <v>3930099.1125543858</v>
      </c>
      <c r="G89" s="435">
        <f>'C. Demanda'!G14*G$119</f>
        <v>4018401.1119254017</v>
      </c>
      <c r="H89" s="436">
        <f t="shared" si="14"/>
        <v>19195291.736408781</v>
      </c>
      <c r="I89" s="437">
        <f t="shared" si="15"/>
        <v>0.66428715658627924</v>
      </c>
      <c r="J89" s="279">
        <f t="shared" si="16"/>
        <v>3839058.3472817563</v>
      </c>
    </row>
    <row r="90" spans="2:13" ht="13.5" thickBot="1" x14ac:dyDescent="0.25">
      <c r="B90" s="259" t="s">
        <v>251</v>
      </c>
      <c r="C90" s="435">
        <f>'C. Demanda'!C15*C$119</f>
        <v>0.36599999999999999</v>
      </c>
      <c r="D90" s="435">
        <f>'C. Demanda'!D15*D$119</f>
        <v>0.36499999999999999</v>
      </c>
      <c r="E90" s="435">
        <f>'C. Demanda'!E15*E$119</f>
        <v>0.36499999999999999</v>
      </c>
      <c r="F90" s="435">
        <f>'C. Demanda'!F15*F$119</f>
        <v>0.36499999999999999</v>
      </c>
      <c r="G90" s="435">
        <f>'C. Demanda'!G15*G$119</f>
        <v>0.36599999999999999</v>
      </c>
      <c r="H90" s="436">
        <f t="shared" si="14"/>
        <v>1.827</v>
      </c>
      <c r="I90" s="437">
        <f t="shared" si="15"/>
        <v>6.3226579296064017E-8</v>
      </c>
      <c r="J90" s="279">
        <f t="shared" si="16"/>
        <v>0.3654</v>
      </c>
    </row>
    <row r="91" spans="2:13" x14ac:dyDescent="0.2">
      <c r="B91" s="259" t="s">
        <v>252</v>
      </c>
      <c r="C91" s="435">
        <f>'C. Demanda'!C16*C$119</f>
        <v>429323.80485912034</v>
      </c>
      <c r="D91" s="435">
        <f>'C. Demanda'!D16*D$119</f>
        <v>445536.44643151161</v>
      </c>
      <c r="E91" s="435">
        <f>'C. Demanda'!E16*E$119</f>
        <v>463055.69880516815</v>
      </c>
      <c r="F91" s="435">
        <f>'C. Demanda'!F16*F$119</f>
        <v>480678.97788714367</v>
      </c>
      <c r="G91" s="435">
        <f>'C. Demanda'!G16*G$119</f>
        <v>483120.00000000017</v>
      </c>
      <c r="H91" s="436">
        <f t="shared" si="14"/>
        <v>2301714.9279829441</v>
      </c>
      <c r="I91" s="437">
        <f t="shared" si="15"/>
        <v>7.9654932354158672E-2</v>
      </c>
      <c r="J91" s="279">
        <f t="shared" si="16"/>
        <v>460342.98559658881</v>
      </c>
      <c r="L91" s="232" t="s">
        <v>301</v>
      </c>
      <c r="M91" s="233"/>
    </row>
    <row r="92" spans="2:13" x14ac:dyDescent="0.2">
      <c r="B92" s="259" t="s">
        <v>253</v>
      </c>
      <c r="C92" s="435">
        <f>'C. Demanda'!C17*C$119</f>
        <v>0.36599999999999999</v>
      </c>
      <c r="D92" s="435">
        <f>'C. Demanda'!D17*D$119</f>
        <v>0.36499999999999999</v>
      </c>
      <c r="E92" s="435">
        <f>'C. Demanda'!E17*E$119</f>
        <v>0.36499999999999999</v>
      </c>
      <c r="F92" s="435">
        <f>'C. Demanda'!F17*F$119</f>
        <v>0.36499999999999999</v>
      </c>
      <c r="G92" s="435">
        <f>'C. Demanda'!G17*G$119</f>
        <v>0.36599999999999999</v>
      </c>
      <c r="H92" s="436">
        <f t="shared" si="14"/>
        <v>1.827</v>
      </c>
      <c r="I92" s="437">
        <f t="shared" si="15"/>
        <v>6.3226579296064017E-8</v>
      </c>
      <c r="J92" s="279">
        <f t="shared" si="16"/>
        <v>0.3654</v>
      </c>
      <c r="L92" s="234" t="s">
        <v>302</v>
      </c>
      <c r="M92" s="235"/>
    </row>
    <row r="93" spans="2:13" x14ac:dyDescent="0.2">
      <c r="B93" s="259" t="s">
        <v>254</v>
      </c>
      <c r="C93" s="435">
        <f>'C. Demanda'!C18*C$119</f>
        <v>384079.33872039465</v>
      </c>
      <c r="D93" s="435">
        <f>'C. Demanda'!D18*D$119</f>
        <v>398583.43402062973</v>
      </c>
      <c r="E93" s="435">
        <f>'C. Demanda'!E18*E$119</f>
        <v>414768.49758188194</v>
      </c>
      <c r="F93" s="435">
        <f>'C. Demanda'!F18*F$119</f>
        <v>431610.77812797215</v>
      </c>
      <c r="G93" s="435">
        <f>'C. Demanda'!G18*G$119</f>
        <v>450367.47509439173</v>
      </c>
      <c r="H93" s="436">
        <f t="shared" si="14"/>
        <v>2079409.5235452701</v>
      </c>
      <c r="I93" s="437">
        <f t="shared" si="15"/>
        <v>7.1961659074671988E-2</v>
      </c>
      <c r="J93" s="279">
        <f t="shared" si="16"/>
        <v>415881.90470905404</v>
      </c>
      <c r="L93" s="234" t="s">
        <v>303</v>
      </c>
      <c r="M93" s="235">
        <f>1/26.8</f>
        <v>3.7313432835820892E-2</v>
      </c>
    </row>
    <row r="94" spans="2:13" x14ac:dyDescent="0.2">
      <c r="B94" s="259" t="s">
        <v>255</v>
      </c>
      <c r="C94" s="435">
        <f>'C. Demanda'!C19*C$119</f>
        <v>247452.6</v>
      </c>
      <c r="D94" s="435">
        <f>'C. Demanda'!D19*D$119</f>
        <v>246776.5</v>
      </c>
      <c r="E94" s="435">
        <f>'C. Demanda'!E19*E$119</f>
        <v>246776.5</v>
      </c>
      <c r="F94" s="435">
        <f>'C. Demanda'!F19*F$119</f>
        <v>246776.5</v>
      </c>
      <c r="G94" s="435">
        <f>'C. Demanda'!G19*G$119</f>
        <v>247452.6</v>
      </c>
      <c r="H94" s="436">
        <f t="shared" si="14"/>
        <v>1235234.7</v>
      </c>
      <c r="I94" s="437">
        <f t="shared" si="15"/>
        <v>4.274749026206888E-2</v>
      </c>
      <c r="J94" s="279">
        <f t="shared" si="16"/>
        <v>247046.94</v>
      </c>
      <c r="L94" s="277" t="s">
        <v>304</v>
      </c>
      <c r="M94" s="278">
        <f>Premissas!B57*1000</f>
        <v>36.479944126097237</v>
      </c>
    </row>
    <row r="95" spans="2:13" ht="13.5" thickBot="1" x14ac:dyDescent="0.25">
      <c r="B95" s="259" t="s">
        <v>256</v>
      </c>
      <c r="C95" s="435">
        <f>'C. Demanda'!C20*C$119</f>
        <v>0.36599999999999999</v>
      </c>
      <c r="D95" s="435">
        <f>'C. Demanda'!D20*D$119</f>
        <v>0.36499999999999999</v>
      </c>
      <c r="E95" s="435">
        <f>'C. Demanda'!E20*E$119</f>
        <v>0.36499999999999999</v>
      </c>
      <c r="F95" s="435">
        <f>'C. Demanda'!F20*F$119</f>
        <v>0.36499999999999999</v>
      </c>
      <c r="G95" s="435">
        <f>'C. Demanda'!G20*G$119</f>
        <v>0.36599999999999999</v>
      </c>
      <c r="H95" s="436">
        <f t="shared" si="14"/>
        <v>1.827</v>
      </c>
      <c r="I95" s="437">
        <f t="shared" si="15"/>
        <v>6.3226579296064017E-8</v>
      </c>
      <c r="J95" s="279">
        <f t="shared" si="16"/>
        <v>0.3654</v>
      </c>
      <c r="L95" s="236" t="s">
        <v>305</v>
      </c>
      <c r="M95" s="237">
        <f>+M94*1000</f>
        <v>36479.944126097238</v>
      </c>
    </row>
    <row r="96" spans="2:13" x14ac:dyDescent="0.2">
      <c r="C96" s="165">
        <f>(C80-C86)/'Cálculo Tarifa CWD'!C5</f>
        <v>2.5445971984029468E-12</v>
      </c>
      <c r="D96" s="165">
        <f>(D80-D86)/'Cálculo Tarifa CWD'!D5</f>
        <v>0</v>
      </c>
      <c r="E96" s="165">
        <f>(E80-E86)/'Cálculo Tarifa CWD'!E5</f>
        <v>-2.5515686975766535E-12</v>
      </c>
      <c r="F96" s="165">
        <f>(F80-F86)/'Cálculo Tarifa CWD'!F5</f>
        <v>5.3582942649109722E-11</v>
      </c>
      <c r="G96" s="165">
        <f>(G80-G86)/'Cálculo Tarifa CWD'!G5</f>
        <v>-5.0891943968058935E-12</v>
      </c>
    </row>
    <row r="97" spans="2:13" x14ac:dyDescent="0.2">
      <c r="B97" s="94" t="s">
        <v>312</v>
      </c>
    </row>
    <row r="98" spans="2:13" ht="14.25" x14ac:dyDescent="0.25">
      <c r="B98" s="132" t="s">
        <v>313</v>
      </c>
    </row>
    <row r="99" spans="2:13" x14ac:dyDescent="0.2">
      <c r="B99" s="433"/>
      <c r="C99" s="261">
        <v>2020</v>
      </c>
      <c r="D99" s="261">
        <v>2021</v>
      </c>
      <c r="E99" s="261">
        <v>2022</v>
      </c>
      <c r="F99" s="261">
        <v>2023</v>
      </c>
      <c r="G99" s="262">
        <v>2024</v>
      </c>
      <c r="H99" s="203" t="s">
        <v>41</v>
      </c>
      <c r="I99" s="203" t="s">
        <v>3</v>
      </c>
      <c r="J99" s="203" t="s">
        <v>238</v>
      </c>
    </row>
    <row r="100" spans="2:13" x14ac:dyDescent="0.2">
      <c r="B100" s="258" t="s">
        <v>306</v>
      </c>
      <c r="C100" s="434">
        <f>SUM(C101:C102)</f>
        <v>186590790.73098302</v>
      </c>
      <c r="D100" s="434">
        <f>SUM(D101:D102)</f>
        <v>186080979.82734647</v>
      </c>
      <c r="E100" s="434">
        <f>SUM(E101:E102)</f>
        <v>222565099.10583919</v>
      </c>
      <c r="F100" s="434">
        <f>SUM(F101:F102)</f>
        <v>227129105.21778619</v>
      </c>
      <c r="G100" s="434">
        <f>SUM(G101:G102)</f>
        <v>231761239.66005844</v>
      </c>
      <c r="H100" s="436">
        <f>SUM(C100:G100)</f>
        <v>1054127214.5420132</v>
      </c>
      <c r="I100" s="437">
        <f>H100/H100</f>
        <v>1</v>
      </c>
      <c r="J100" s="279">
        <f>AVERAGE(C100:G100)</f>
        <v>210825442.90840262</v>
      </c>
    </row>
    <row r="101" spans="2:13" x14ac:dyDescent="0.2">
      <c r="B101" s="259" t="s">
        <v>260</v>
      </c>
      <c r="C101" s="435">
        <f t="shared" ref="C101:G102" si="17">+C81*$M$94</f>
        <v>186590790.73098302</v>
      </c>
      <c r="D101" s="435">
        <f t="shared" si="17"/>
        <v>186080979.82734647</v>
      </c>
      <c r="E101" s="435">
        <f t="shared" si="17"/>
        <v>182619560.2877627</v>
      </c>
      <c r="F101" s="435">
        <f t="shared" si="17"/>
        <v>187183566.3997097</v>
      </c>
      <c r="G101" s="435">
        <f t="shared" si="17"/>
        <v>191706261.00960368</v>
      </c>
      <c r="H101" s="436">
        <f>SUM(C101:G101)</f>
        <v>934181158.25540566</v>
      </c>
      <c r="I101" s="437">
        <f>H101/H100</f>
        <v>0.88621292133253526</v>
      </c>
      <c r="J101" s="279">
        <f>AVERAGE(C101:G101)</f>
        <v>186836231.65108114</v>
      </c>
      <c r="K101" s="177"/>
    </row>
    <row r="102" spans="2:13" x14ac:dyDescent="0.2">
      <c r="B102" s="259" t="s">
        <v>185</v>
      </c>
      <c r="C102" s="435">
        <f t="shared" si="17"/>
        <v>0</v>
      </c>
      <c r="D102" s="435">
        <f t="shared" si="17"/>
        <v>0</v>
      </c>
      <c r="E102" s="435">
        <f t="shared" si="17"/>
        <v>39945538.818076476</v>
      </c>
      <c r="F102" s="435">
        <f t="shared" si="17"/>
        <v>39945538.818076476</v>
      </c>
      <c r="G102" s="435">
        <f t="shared" si="17"/>
        <v>40054978.650454767</v>
      </c>
      <c r="H102" s="436">
        <f>SUM(C102:G102)</f>
        <v>119946056.28660771</v>
      </c>
      <c r="I102" s="437">
        <f>H102/H100</f>
        <v>0.1137870786674649</v>
      </c>
      <c r="J102" s="279">
        <f>AVERAGE(C102:G102)</f>
        <v>23989211.257321544</v>
      </c>
      <c r="K102" s="177"/>
    </row>
    <row r="103" spans="2:13" x14ac:dyDescent="0.2">
      <c r="B103" s="132"/>
      <c r="C103" s="132"/>
      <c r="D103" s="132"/>
      <c r="E103" s="132"/>
      <c r="F103" s="132"/>
      <c r="G103" s="132"/>
      <c r="H103" s="132"/>
      <c r="I103" s="132"/>
      <c r="J103" s="132"/>
    </row>
    <row r="104" spans="2:13" ht="14.25" x14ac:dyDescent="0.25">
      <c r="B104" s="132" t="s">
        <v>314</v>
      </c>
      <c r="C104" s="132"/>
      <c r="D104" s="132"/>
      <c r="E104" s="132"/>
      <c r="F104" s="132"/>
      <c r="G104" s="132"/>
      <c r="H104" s="132"/>
      <c r="I104" s="132"/>
      <c r="J104" s="132"/>
    </row>
    <row r="105" spans="2:13" x14ac:dyDescent="0.2">
      <c r="B105" s="433"/>
      <c r="C105" s="261">
        <v>2020</v>
      </c>
      <c r="D105" s="261">
        <v>2021</v>
      </c>
      <c r="E105" s="261">
        <v>2022</v>
      </c>
      <c r="F105" s="261">
        <v>2023</v>
      </c>
      <c r="G105" s="262">
        <v>2024</v>
      </c>
      <c r="H105" s="203" t="s">
        <v>41</v>
      </c>
      <c r="I105" s="203" t="s">
        <v>3</v>
      </c>
      <c r="J105" s="203" t="s">
        <v>238</v>
      </c>
      <c r="L105" s="123"/>
      <c r="M105" s="125"/>
    </row>
    <row r="106" spans="2:13" x14ac:dyDescent="0.2">
      <c r="B106" s="258" t="s">
        <v>307</v>
      </c>
      <c r="C106" s="434">
        <f>SUM(C107:C115)</f>
        <v>186590790.73098299</v>
      </c>
      <c r="D106" s="434">
        <f>SUM(D107:D115)</f>
        <v>186080979.82734647</v>
      </c>
      <c r="E106" s="434">
        <f>SUM(E107:E115)</f>
        <v>222565099.10583922</v>
      </c>
      <c r="F106" s="434">
        <f>SUM(F107:F115)</f>
        <v>227129105.21778551</v>
      </c>
      <c r="G106" s="434">
        <f>SUM(G107:G115)</f>
        <v>231761239.66005844</v>
      </c>
      <c r="H106" s="436">
        <f t="shared" ref="H106:H115" si="18">SUM(C106:G106)</f>
        <v>1054127214.5420127</v>
      </c>
      <c r="I106" s="437">
        <f t="shared" ref="I106:I115" si="19">+H106/$H$106</f>
        <v>1</v>
      </c>
      <c r="J106" s="279">
        <f t="shared" ref="J106:J115" si="20">AVERAGE(C106:G106)</f>
        <v>210825442.90840253</v>
      </c>
      <c r="L106" s="123"/>
      <c r="M106" s="125"/>
    </row>
    <row r="107" spans="2:13" x14ac:dyDescent="0.2">
      <c r="B107" s="260" t="s">
        <v>248</v>
      </c>
      <c r="C107" s="435">
        <f t="shared" ref="C107:G115" si="21">+C87*$M$94</f>
        <v>1269801.6239280752</v>
      </c>
      <c r="D107" s="435">
        <f t="shared" si="21"/>
        <v>1409305.2132305913</v>
      </c>
      <c r="E107" s="435">
        <f t="shared" si="21"/>
        <v>29455845.171174932</v>
      </c>
      <c r="F107" s="435">
        <f t="shared" si="21"/>
        <v>29513368.124160379</v>
      </c>
      <c r="G107" s="435">
        <f t="shared" si="21"/>
        <v>29652115.728582643</v>
      </c>
      <c r="H107" s="436">
        <f t="shared" si="18"/>
        <v>91300435.861076623</v>
      </c>
      <c r="I107" s="437">
        <f t="shared" si="19"/>
        <v>8.6612350579283723E-2</v>
      </c>
      <c r="J107" s="279">
        <f t="shared" si="20"/>
        <v>18260087.172215324</v>
      </c>
      <c r="L107" s="123"/>
      <c r="M107" s="125"/>
    </row>
    <row r="108" spans="2:13" x14ac:dyDescent="0.2">
      <c r="B108" s="259" t="s">
        <v>249</v>
      </c>
      <c r="C108" s="435">
        <f t="shared" si="21"/>
        <v>10685091.644037334</v>
      </c>
      <c r="D108" s="435">
        <f t="shared" si="21"/>
        <v>11088594.918331143</v>
      </c>
      <c r="E108" s="435">
        <f t="shared" si="21"/>
        <v>11524617.368120447</v>
      </c>
      <c r="F108" s="435">
        <f t="shared" si="21"/>
        <v>11963228.85420179</v>
      </c>
      <c r="G108" s="435">
        <f t="shared" si="21"/>
        <v>12437407.881499019</v>
      </c>
      <c r="H108" s="436">
        <f t="shared" si="18"/>
        <v>57698940.66618973</v>
      </c>
      <c r="I108" s="437">
        <f t="shared" si="19"/>
        <v>5.4736221463799535E-2</v>
      </c>
      <c r="J108" s="279">
        <f t="shared" si="20"/>
        <v>11539788.133237947</v>
      </c>
      <c r="L108" s="123"/>
      <c r="M108" s="125"/>
    </row>
    <row r="109" spans="2:13" x14ac:dyDescent="0.2">
      <c r="B109" s="259" t="s">
        <v>250</v>
      </c>
      <c r="C109" s="435">
        <f t="shared" si="21"/>
        <v>135935899.15640891</v>
      </c>
      <c r="D109" s="435">
        <f t="shared" si="21"/>
        <v>133787200.74399005</v>
      </c>
      <c r="E109" s="435">
        <f t="shared" si="21"/>
        <v>140559226.05263537</v>
      </c>
      <c r="F109" s="435">
        <f t="shared" si="21"/>
        <v>143369796.03600833</v>
      </c>
      <c r="G109" s="435">
        <f t="shared" si="21"/>
        <v>146591048.03928566</v>
      </c>
      <c r="H109" s="436">
        <f t="shared" si="18"/>
        <v>700243170.0283283</v>
      </c>
      <c r="I109" s="437">
        <f t="shared" si="19"/>
        <v>0.66428715658627924</v>
      </c>
      <c r="J109" s="279">
        <f t="shared" si="20"/>
        <v>140048634.00566566</v>
      </c>
      <c r="L109" s="123"/>
      <c r="M109" s="125"/>
    </row>
    <row r="110" spans="2:13" x14ac:dyDescent="0.2">
      <c r="B110" s="259" t="s">
        <v>251</v>
      </c>
      <c r="C110" s="435">
        <f t="shared" si="21"/>
        <v>13.351659550151588</v>
      </c>
      <c r="D110" s="435">
        <f t="shared" si="21"/>
        <v>13.315179606025492</v>
      </c>
      <c r="E110" s="435">
        <f t="shared" si="21"/>
        <v>13.315179606025492</v>
      </c>
      <c r="F110" s="435">
        <f t="shared" si="21"/>
        <v>13.315179606025492</v>
      </c>
      <c r="G110" s="435">
        <f t="shared" si="21"/>
        <v>13.351659550151588</v>
      </c>
      <c r="H110" s="436">
        <f t="shared" si="18"/>
        <v>66.648857918379662</v>
      </c>
      <c r="I110" s="437">
        <f t="shared" si="19"/>
        <v>6.3226579296064031E-8</v>
      </c>
      <c r="J110" s="279">
        <f t="shared" si="20"/>
        <v>13.329771583675932</v>
      </c>
      <c r="L110" s="123"/>
      <c r="M110" s="125"/>
    </row>
    <row r="111" spans="2:13" x14ac:dyDescent="0.2">
      <c r="B111" s="259" t="s">
        <v>252</v>
      </c>
      <c r="C111" s="435">
        <f t="shared" si="21"/>
        <v>15661708.413264183</v>
      </c>
      <c r="D111" s="435">
        <f t="shared" si="21"/>
        <v>16253144.671961458</v>
      </c>
      <c r="E111" s="435">
        <f t="shared" si="21"/>
        <v>16892246.019683447</v>
      </c>
      <c r="F111" s="435">
        <f t="shared" si="21"/>
        <v>17535142.255912531</v>
      </c>
      <c r="G111" s="435">
        <f t="shared" si="21"/>
        <v>17624190.606200103</v>
      </c>
      <c r="H111" s="436">
        <f t="shared" si="18"/>
        <v>83966431.967021719</v>
      </c>
      <c r="I111" s="437">
        <f t="shared" si="19"/>
        <v>7.9654932354158658E-2</v>
      </c>
      <c r="J111" s="279">
        <f t="shared" si="20"/>
        <v>16793286.393404342</v>
      </c>
      <c r="L111" s="123"/>
      <c r="M111" s="125"/>
    </row>
    <row r="112" spans="2:13" x14ac:dyDescent="0.2">
      <c r="B112" s="259" t="s">
        <v>253</v>
      </c>
      <c r="C112" s="435">
        <f t="shared" si="21"/>
        <v>13.351659550151588</v>
      </c>
      <c r="D112" s="435">
        <f t="shared" si="21"/>
        <v>13.315179606025492</v>
      </c>
      <c r="E112" s="435">
        <f t="shared" si="21"/>
        <v>13.315179606025492</v>
      </c>
      <c r="F112" s="435">
        <f t="shared" si="21"/>
        <v>13.315179606025492</v>
      </c>
      <c r="G112" s="435">
        <f t="shared" si="21"/>
        <v>13.351659550151588</v>
      </c>
      <c r="H112" s="436">
        <f t="shared" si="18"/>
        <v>66.648857918379662</v>
      </c>
      <c r="I112" s="437">
        <f t="shared" si="19"/>
        <v>6.3226579296064031E-8</v>
      </c>
      <c r="J112" s="279">
        <f t="shared" si="20"/>
        <v>13.329771583675932</v>
      </c>
    </row>
    <row r="113" spans="2:10" x14ac:dyDescent="0.2">
      <c r="B113" s="259" t="s">
        <v>254</v>
      </c>
      <c r="C113" s="435">
        <f t="shared" si="21"/>
        <v>14011192.816508371</v>
      </c>
      <c r="D113" s="435">
        <f t="shared" si="21"/>
        <v>14540301.402660538</v>
      </c>
      <c r="E113" s="435">
        <f t="shared" si="21"/>
        <v>15130731.61705235</v>
      </c>
      <c r="F113" s="435">
        <f t="shared" si="21"/>
        <v>15745137.070329776</v>
      </c>
      <c r="G113" s="435">
        <f t="shared" si="21"/>
        <v>16429380.3276549</v>
      </c>
      <c r="H113" s="436">
        <f t="shared" si="18"/>
        <v>75856743.234205946</v>
      </c>
      <c r="I113" s="437">
        <f t="shared" si="19"/>
        <v>7.1961659074672002E-2</v>
      </c>
      <c r="J113" s="279">
        <f t="shared" si="20"/>
        <v>15171348.646841189</v>
      </c>
    </row>
    <row r="114" spans="2:10" x14ac:dyDescent="0.2">
      <c r="B114" s="259" t="s">
        <v>255</v>
      </c>
      <c r="C114" s="435">
        <f t="shared" si="21"/>
        <v>9027057.0218574889</v>
      </c>
      <c r="D114" s="435">
        <f t="shared" si="21"/>
        <v>9002392.9316338357</v>
      </c>
      <c r="E114" s="435">
        <f t="shared" si="21"/>
        <v>9002392.9316338357</v>
      </c>
      <c r="F114" s="435">
        <f t="shared" si="21"/>
        <v>9002392.9316338357</v>
      </c>
      <c r="G114" s="435">
        <f t="shared" si="21"/>
        <v>9027057.0218574889</v>
      </c>
      <c r="H114" s="436">
        <f t="shared" si="18"/>
        <v>45061292.83861649</v>
      </c>
      <c r="I114" s="437">
        <f t="shared" si="19"/>
        <v>4.2747490262068887E-2</v>
      </c>
      <c r="J114" s="279">
        <f t="shared" si="20"/>
        <v>9012258.5677232984</v>
      </c>
    </row>
    <row r="115" spans="2:10" x14ac:dyDescent="0.2">
      <c r="B115" s="259" t="s">
        <v>256</v>
      </c>
      <c r="C115" s="435">
        <f t="shared" si="21"/>
        <v>13.351659550151588</v>
      </c>
      <c r="D115" s="435">
        <f t="shared" si="21"/>
        <v>13.315179606025492</v>
      </c>
      <c r="E115" s="435">
        <f t="shared" si="21"/>
        <v>13.315179606025492</v>
      </c>
      <c r="F115" s="435">
        <f t="shared" si="21"/>
        <v>13.315179606025492</v>
      </c>
      <c r="G115" s="435">
        <f t="shared" si="21"/>
        <v>13.351659550151588</v>
      </c>
      <c r="H115" s="436">
        <f t="shared" si="18"/>
        <v>66.648857918379662</v>
      </c>
      <c r="I115" s="437">
        <f t="shared" si="19"/>
        <v>6.3226579296064031E-8</v>
      </c>
      <c r="J115" s="279">
        <f t="shared" si="20"/>
        <v>13.329771583675932</v>
      </c>
    </row>
    <row r="116" spans="2:10" x14ac:dyDescent="0.2">
      <c r="C116" s="165"/>
      <c r="D116" s="165"/>
      <c r="E116" s="165"/>
      <c r="F116" s="165"/>
      <c r="G116" s="165"/>
    </row>
    <row r="117" spans="2:10" x14ac:dyDescent="0.2">
      <c r="B117" s="94" t="s">
        <v>271</v>
      </c>
      <c r="C117" s="165"/>
      <c r="D117" s="165"/>
      <c r="E117" s="165"/>
      <c r="F117" s="165"/>
      <c r="G117" s="165"/>
    </row>
    <row r="118" spans="2:10" x14ac:dyDescent="0.2">
      <c r="B118" s="204"/>
      <c r="C118" s="261">
        <v>2020</v>
      </c>
      <c r="D118" s="261">
        <v>2021</v>
      </c>
      <c r="E118" s="261">
        <v>2022</v>
      </c>
      <c r="F118" s="261">
        <v>2023</v>
      </c>
      <c r="G118" s="262">
        <v>2024</v>
      </c>
      <c r="H118" s="203" t="s">
        <v>41</v>
      </c>
      <c r="I118" s="203" t="s">
        <v>3</v>
      </c>
      <c r="J118" s="203" t="s">
        <v>238</v>
      </c>
    </row>
    <row r="119" spans="2:10" x14ac:dyDescent="0.2">
      <c r="B119" s="64" t="s">
        <v>272</v>
      </c>
      <c r="C119" s="96">
        <v>366</v>
      </c>
      <c r="D119" s="96">
        <v>365</v>
      </c>
      <c r="E119" s="96">
        <v>365</v>
      </c>
      <c r="F119" s="96">
        <v>365</v>
      </c>
      <c r="G119" s="97">
        <v>366</v>
      </c>
      <c r="H119" s="241">
        <f>SUM(C119:G119)</f>
        <v>1827</v>
      </c>
      <c r="I119" s="225"/>
      <c r="J119" s="256">
        <f>AVERAGE(C119:G119)</f>
        <v>365.4</v>
      </c>
    </row>
    <row r="120" spans="2:10" x14ac:dyDescent="0.2">
      <c r="C120" s="165"/>
      <c r="D120" s="165"/>
      <c r="E120" s="165"/>
      <c r="F120" s="165"/>
      <c r="G120" s="165"/>
    </row>
    <row r="121" spans="2:10" x14ac:dyDescent="0.2">
      <c r="B121" s="102" t="s">
        <v>281</v>
      </c>
      <c r="C121" s="104">
        <f>'Cenário Ref'!C68</f>
        <v>0</v>
      </c>
      <c r="D121" s="104">
        <f>'Cenário Ref'!D68</f>
        <v>0</v>
      </c>
      <c r="E121" s="104">
        <f>'Cenário Ref'!E68</f>
        <v>0</v>
      </c>
      <c r="F121" s="104">
        <f>'Cenário Ref'!F68</f>
        <v>5.0931703299283981E-11</v>
      </c>
      <c r="G121" s="104">
        <f>'Cenário Ref'!G68</f>
        <v>0</v>
      </c>
      <c r="H121" s="122" t="s">
        <v>282</v>
      </c>
    </row>
    <row r="122" spans="2:10" x14ac:dyDescent="0.2">
      <c r="C122" s="239"/>
    </row>
  </sheetData>
  <mergeCells count="5">
    <mergeCell ref="C24:D24"/>
    <mergeCell ref="E24:F24"/>
    <mergeCell ref="G24:H24"/>
    <mergeCell ref="I24:J24"/>
    <mergeCell ref="K24:L24"/>
  </mergeCells>
  <conditionalFormatting sqref="C26:L36">
    <cfRule type="colorScale" priority="1">
      <colorScale>
        <cfvo type="min"/>
        <cfvo type="max"/>
        <color rgb="FF0070C0"/>
        <color theme="4" tint="0.79998168889431442"/>
      </colorScale>
    </cfRule>
  </conditionalFormatting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8"/>
  <dimension ref="C2:K54"/>
  <sheetViews>
    <sheetView workbookViewId="0">
      <selection activeCell="I9" sqref="I9"/>
    </sheetView>
  </sheetViews>
  <sheetFormatPr defaultRowHeight="12.75" x14ac:dyDescent="0.2"/>
  <cols>
    <col min="1" max="1" width="9.140625" style="1"/>
    <col min="2" max="2" width="3.85546875" style="1" customWidth="1"/>
    <col min="3" max="3" width="20.7109375" style="1" bestFit="1" customWidth="1"/>
    <col min="4" max="4" width="10.42578125" style="1" bestFit="1" customWidth="1"/>
    <col min="5" max="5" width="20.42578125" style="1" bestFit="1" customWidth="1"/>
    <col min="6" max="6" width="20.28515625" style="1" bestFit="1" customWidth="1"/>
    <col min="7" max="7" width="19.7109375" style="1" bestFit="1" customWidth="1"/>
    <col min="8" max="8" width="15" style="1" bestFit="1" customWidth="1"/>
    <col min="9" max="9" width="21.5703125" style="1" customWidth="1"/>
    <col min="10" max="16384" width="9.140625" style="1"/>
  </cols>
  <sheetData>
    <row r="2" spans="3:11" ht="12.75" customHeight="1" x14ac:dyDescent="0.2"/>
    <row r="3" spans="3:11" ht="21.75" customHeight="1" x14ac:dyDescent="0.2">
      <c r="C3" s="491" t="s">
        <v>202</v>
      </c>
      <c r="D3" s="491" t="s">
        <v>203</v>
      </c>
      <c r="E3" s="491" t="s">
        <v>204</v>
      </c>
      <c r="F3" s="491" t="s">
        <v>183</v>
      </c>
      <c r="G3" s="491" t="s">
        <v>220</v>
      </c>
      <c r="H3" s="491" t="s">
        <v>221</v>
      </c>
      <c r="I3" s="14" t="s">
        <v>224</v>
      </c>
    </row>
    <row r="4" spans="3:11" x14ac:dyDescent="0.2">
      <c r="C4" s="492" t="s">
        <v>205</v>
      </c>
      <c r="D4" s="492" t="s">
        <v>206</v>
      </c>
      <c r="E4" s="492" t="s">
        <v>200</v>
      </c>
      <c r="F4" s="493"/>
      <c r="G4" s="494">
        <v>0</v>
      </c>
      <c r="H4" s="500"/>
      <c r="I4" s="2"/>
    </row>
    <row r="5" spans="3:11" x14ac:dyDescent="0.2">
      <c r="C5" s="492" t="s">
        <v>205</v>
      </c>
      <c r="D5" s="492" t="s">
        <v>207</v>
      </c>
      <c r="E5" s="502" t="s">
        <v>129</v>
      </c>
      <c r="F5" s="494" t="s">
        <v>176</v>
      </c>
      <c r="G5" s="499">
        <v>27.7</v>
      </c>
      <c r="H5" s="16">
        <f>$G$21-G5</f>
        <v>1236.7</v>
      </c>
      <c r="I5" s="61">
        <v>0</v>
      </c>
    </row>
    <row r="6" spans="3:11" x14ac:dyDescent="0.2">
      <c r="C6" s="492" t="s">
        <v>205</v>
      </c>
      <c r="D6" s="492" t="s">
        <v>207</v>
      </c>
      <c r="E6" s="496" t="s">
        <v>130</v>
      </c>
      <c r="F6" s="495" t="s">
        <v>176</v>
      </c>
      <c r="G6" s="499">
        <v>394.7</v>
      </c>
      <c r="H6" s="16">
        <f>$G$21-G6</f>
        <v>869.7</v>
      </c>
      <c r="I6" s="15">
        <f>G6-$G$5</f>
        <v>367</v>
      </c>
      <c r="J6" s="5"/>
      <c r="K6" s="5"/>
    </row>
    <row r="7" spans="3:11" x14ac:dyDescent="0.2">
      <c r="C7" s="492" t="s">
        <v>205</v>
      </c>
      <c r="D7" s="492" t="s">
        <v>208</v>
      </c>
      <c r="E7" s="496" t="s">
        <v>160</v>
      </c>
      <c r="F7" s="495" t="s">
        <v>176</v>
      </c>
      <c r="G7" s="499">
        <v>703.8</v>
      </c>
      <c r="H7" s="16">
        <f t="shared" ref="H7:H20" si="0">$G$21-G7</f>
        <v>560.60000000000014</v>
      </c>
      <c r="I7" s="15">
        <f t="shared" ref="I7:I8" si="1">G7-$G$5</f>
        <v>676.09999999999991</v>
      </c>
      <c r="J7" s="5"/>
      <c r="K7" s="5"/>
    </row>
    <row r="8" spans="3:11" x14ac:dyDescent="0.2">
      <c r="C8" s="492" t="s">
        <v>205</v>
      </c>
      <c r="D8" s="492" t="s">
        <v>209</v>
      </c>
      <c r="E8" s="496" t="s">
        <v>161</v>
      </c>
      <c r="F8" s="495" t="s">
        <v>176</v>
      </c>
      <c r="G8" s="499">
        <v>703.8</v>
      </c>
      <c r="H8" s="16">
        <f t="shared" si="0"/>
        <v>560.60000000000014</v>
      </c>
      <c r="I8" s="15">
        <f t="shared" si="1"/>
        <v>676.09999999999991</v>
      </c>
      <c r="J8" s="5"/>
      <c r="K8" s="5"/>
    </row>
    <row r="9" spans="3:11" x14ac:dyDescent="0.2">
      <c r="C9" s="492" t="s">
        <v>210</v>
      </c>
      <c r="D9" s="492" t="s">
        <v>207</v>
      </c>
      <c r="E9" s="496" t="s">
        <v>162</v>
      </c>
      <c r="F9" s="495" t="s">
        <v>177</v>
      </c>
      <c r="G9" s="499">
        <v>810.2</v>
      </c>
      <c r="H9" s="16">
        <f t="shared" si="0"/>
        <v>454.20000000000005</v>
      </c>
      <c r="I9" s="13">
        <v>0</v>
      </c>
      <c r="J9" s="5"/>
      <c r="K9" s="5"/>
    </row>
    <row r="10" spans="3:11" x14ac:dyDescent="0.2">
      <c r="C10" s="492" t="s">
        <v>210</v>
      </c>
      <c r="D10" s="492" t="s">
        <v>207</v>
      </c>
      <c r="E10" s="496" t="s">
        <v>131</v>
      </c>
      <c r="F10" s="495" t="s">
        <v>177</v>
      </c>
      <c r="G10" s="499">
        <v>857.7</v>
      </c>
      <c r="H10" s="16">
        <f t="shared" si="0"/>
        <v>406.70000000000005</v>
      </c>
      <c r="I10" s="13">
        <f>G10-$G$9</f>
        <v>47.5</v>
      </c>
      <c r="J10" s="5"/>
      <c r="K10" s="5"/>
    </row>
    <row r="11" spans="3:11" x14ac:dyDescent="0.2">
      <c r="C11" s="492" t="s">
        <v>210</v>
      </c>
      <c r="D11" s="492" t="s">
        <v>207</v>
      </c>
      <c r="E11" s="496" t="s">
        <v>132</v>
      </c>
      <c r="F11" s="495" t="s">
        <v>177</v>
      </c>
      <c r="G11" s="499">
        <v>933</v>
      </c>
      <c r="H11" s="16">
        <f t="shared" si="0"/>
        <v>331.40000000000009</v>
      </c>
      <c r="I11" s="13">
        <f t="shared" ref="I11:I14" si="2">G11-$G$9</f>
        <v>122.79999999999995</v>
      </c>
      <c r="J11" s="5"/>
      <c r="K11" s="5"/>
    </row>
    <row r="12" spans="3:11" x14ac:dyDescent="0.2">
      <c r="C12" s="492" t="s">
        <v>210</v>
      </c>
      <c r="D12" s="492" t="s">
        <v>207</v>
      </c>
      <c r="E12" s="496" t="s">
        <v>133</v>
      </c>
      <c r="F12" s="495" t="s">
        <v>177</v>
      </c>
      <c r="G12" s="499">
        <v>1018.7</v>
      </c>
      <c r="H12" s="16">
        <f t="shared" si="0"/>
        <v>245.70000000000005</v>
      </c>
      <c r="I12" s="13">
        <f t="shared" si="2"/>
        <v>208.5</v>
      </c>
      <c r="J12" s="5"/>
      <c r="K12" s="5"/>
    </row>
    <row r="13" spans="3:11" x14ac:dyDescent="0.2">
      <c r="C13" s="492" t="s">
        <v>210</v>
      </c>
      <c r="D13" s="492" t="s">
        <v>207</v>
      </c>
      <c r="E13" s="496" t="s">
        <v>134</v>
      </c>
      <c r="F13" s="495" t="s">
        <v>177</v>
      </c>
      <c r="G13" s="499">
        <v>1039.5</v>
      </c>
      <c r="H13" s="16">
        <f t="shared" si="0"/>
        <v>224.90000000000009</v>
      </c>
      <c r="I13" s="13">
        <f t="shared" si="2"/>
        <v>229.29999999999995</v>
      </c>
    </row>
    <row r="14" spans="3:11" x14ac:dyDescent="0.2">
      <c r="C14" s="492" t="s">
        <v>210</v>
      </c>
      <c r="D14" s="492" t="s">
        <v>207</v>
      </c>
      <c r="E14" s="496" t="s">
        <v>135</v>
      </c>
      <c r="F14" s="495" t="s">
        <v>177</v>
      </c>
      <c r="G14" s="499">
        <v>1096.0999999999999</v>
      </c>
      <c r="H14" s="16">
        <f t="shared" si="0"/>
        <v>168.30000000000018</v>
      </c>
      <c r="I14" s="13">
        <f t="shared" si="2"/>
        <v>285.89999999999986</v>
      </c>
    </row>
    <row r="15" spans="3:11" x14ac:dyDescent="0.2">
      <c r="C15" s="492" t="s">
        <v>210</v>
      </c>
      <c r="D15" s="492" t="s">
        <v>207</v>
      </c>
      <c r="E15" s="496" t="s">
        <v>136</v>
      </c>
      <c r="F15" s="495" t="s">
        <v>177</v>
      </c>
      <c r="G15" s="499">
        <v>1150.8</v>
      </c>
      <c r="H15" s="16">
        <f t="shared" si="0"/>
        <v>113.60000000000014</v>
      </c>
      <c r="I15" s="13">
        <f>G15-$G$9</f>
        <v>340.59999999999991</v>
      </c>
    </row>
    <row r="16" spans="3:11" x14ac:dyDescent="0.2">
      <c r="C16" s="492" t="s">
        <v>210</v>
      </c>
      <c r="D16" s="492" t="s">
        <v>207</v>
      </c>
      <c r="E16" s="496" t="s">
        <v>163</v>
      </c>
      <c r="F16" s="496" t="s">
        <v>178</v>
      </c>
      <c r="G16" s="499">
        <v>1204.8</v>
      </c>
      <c r="H16" s="16">
        <f>$G$21-G16</f>
        <v>59.600000000000136</v>
      </c>
      <c r="I16" s="15">
        <v>0</v>
      </c>
    </row>
    <row r="17" spans="3:9" x14ac:dyDescent="0.2">
      <c r="C17" s="492" t="s">
        <v>210</v>
      </c>
      <c r="D17" s="492" t="s">
        <v>207</v>
      </c>
      <c r="E17" s="496" t="s">
        <v>137</v>
      </c>
      <c r="F17" s="496" t="s">
        <v>178</v>
      </c>
      <c r="G17" s="499">
        <v>1223.7</v>
      </c>
      <c r="H17" s="16">
        <f>$G$21-G17</f>
        <v>40.700000000000045</v>
      </c>
      <c r="I17" s="15">
        <f>G17-$G$16</f>
        <v>18.900000000000091</v>
      </c>
    </row>
    <row r="18" spans="3:9" x14ac:dyDescent="0.2">
      <c r="C18" s="492" t="s">
        <v>210</v>
      </c>
      <c r="D18" s="492" t="s">
        <v>207</v>
      </c>
      <c r="E18" s="496" t="s">
        <v>138</v>
      </c>
      <c r="F18" s="496" t="s">
        <v>178</v>
      </c>
      <c r="G18" s="499">
        <v>1245.9000000000001</v>
      </c>
      <c r="H18" s="16">
        <f>$G$21-G18</f>
        <v>18.5</v>
      </c>
      <c r="I18" s="15">
        <f>G18-$G$16</f>
        <v>41.100000000000136</v>
      </c>
    </row>
    <row r="19" spans="3:9" x14ac:dyDescent="0.2">
      <c r="C19" s="492" t="s">
        <v>210</v>
      </c>
      <c r="D19" s="492" t="s">
        <v>207</v>
      </c>
      <c r="E19" s="496" t="s">
        <v>139</v>
      </c>
      <c r="F19" s="496" t="s">
        <v>178</v>
      </c>
      <c r="G19" s="499">
        <v>1264.4000000000001</v>
      </c>
      <c r="H19" s="16">
        <f t="shared" si="0"/>
        <v>0</v>
      </c>
      <c r="I19" s="15">
        <f t="shared" ref="I19:I29" si="3">G19-$G$16</f>
        <v>59.600000000000136</v>
      </c>
    </row>
    <row r="20" spans="3:9" x14ac:dyDescent="0.2">
      <c r="C20" s="492" t="s">
        <v>210</v>
      </c>
      <c r="D20" s="492" t="s">
        <v>211</v>
      </c>
      <c r="E20" s="496" t="s">
        <v>164</v>
      </c>
      <c r="F20" s="496" t="s">
        <v>178</v>
      </c>
      <c r="G20" s="499">
        <v>1264.4000000000001</v>
      </c>
      <c r="H20" s="16">
        <f t="shared" si="0"/>
        <v>0</v>
      </c>
      <c r="I20" s="15">
        <f>G20-$G$16</f>
        <v>59.600000000000136</v>
      </c>
    </row>
    <row r="21" spans="3:9" x14ac:dyDescent="0.2">
      <c r="C21" s="492" t="s">
        <v>212</v>
      </c>
      <c r="D21" s="492"/>
      <c r="E21" s="497" t="s">
        <v>213</v>
      </c>
      <c r="F21" s="492"/>
      <c r="G21" s="501">
        <f>G20</f>
        <v>1264.4000000000001</v>
      </c>
      <c r="H21" s="494">
        <v>0</v>
      </c>
      <c r="I21" s="15"/>
    </row>
    <row r="22" spans="3:9" x14ac:dyDescent="0.2">
      <c r="C22" s="492" t="s">
        <v>199</v>
      </c>
      <c r="D22" s="492"/>
      <c r="E22" s="497" t="s">
        <v>214</v>
      </c>
      <c r="F22" s="492"/>
      <c r="G22" s="501">
        <f>G21</f>
        <v>1264.4000000000001</v>
      </c>
      <c r="H22" s="16">
        <v>0</v>
      </c>
      <c r="I22" s="15"/>
    </row>
    <row r="23" spans="3:9" x14ac:dyDescent="0.2">
      <c r="C23" s="492" t="s">
        <v>210</v>
      </c>
      <c r="D23" s="492" t="s">
        <v>207</v>
      </c>
      <c r="E23" s="496" t="s">
        <v>165</v>
      </c>
      <c r="F23" s="496" t="s">
        <v>178</v>
      </c>
      <c r="G23" s="499">
        <v>1270.7</v>
      </c>
      <c r="H23" s="16">
        <f>G23-$G$21</f>
        <v>6.2999999999999545</v>
      </c>
      <c r="I23" s="15">
        <f t="shared" si="3"/>
        <v>65.900000000000091</v>
      </c>
    </row>
    <row r="24" spans="3:9" x14ac:dyDescent="0.2">
      <c r="C24" s="492" t="s">
        <v>210</v>
      </c>
      <c r="D24" s="492" t="s">
        <v>207</v>
      </c>
      <c r="E24" s="496" t="s">
        <v>140</v>
      </c>
      <c r="F24" s="496" t="s">
        <v>178</v>
      </c>
      <c r="G24" s="499">
        <v>1310.7</v>
      </c>
      <c r="H24" s="16">
        <f t="shared" ref="H24:H54" si="4">G24-$G$21</f>
        <v>46.299999999999955</v>
      </c>
      <c r="I24" s="15">
        <f t="shared" si="3"/>
        <v>105.90000000000009</v>
      </c>
    </row>
    <row r="25" spans="3:9" x14ac:dyDescent="0.2">
      <c r="C25" s="492" t="s">
        <v>210</v>
      </c>
      <c r="D25" s="492" t="s">
        <v>207</v>
      </c>
      <c r="E25" s="496" t="s">
        <v>166</v>
      </c>
      <c r="F25" s="496" t="s">
        <v>178</v>
      </c>
      <c r="G25" s="499">
        <v>1400.9</v>
      </c>
      <c r="H25" s="16">
        <f t="shared" si="4"/>
        <v>136.5</v>
      </c>
      <c r="I25" s="15">
        <f>G25-$G$16</f>
        <v>196.10000000000014</v>
      </c>
    </row>
    <row r="26" spans="3:9" x14ac:dyDescent="0.2">
      <c r="C26" s="492" t="s">
        <v>199</v>
      </c>
      <c r="D26" s="492" t="s">
        <v>215</v>
      </c>
      <c r="E26" s="497" t="s">
        <v>216</v>
      </c>
      <c r="F26" s="492"/>
      <c r="G26" s="501">
        <f>G25</f>
        <v>1400.9</v>
      </c>
      <c r="H26" s="16">
        <f t="shared" si="4"/>
        <v>136.5</v>
      </c>
      <c r="I26" s="15"/>
    </row>
    <row r="27" spans="3:9" x14ac:dyDescent="0.2">
      <c r="C27" s="492" t="s">
        <v>210</v>
      </c>
      <c r="D27" s="492" t="s">
        <v>207</v>
      </c>
      <c r="E27" s="496" t="s">
        <v>167</v>
      </c>
      <c r="F27" s="496" t="s">
        <v>178</v>
      </c>
      <c r="G27" s="499">
        <v>1266.4000000000001</v>
      </c>
      <c r="H27" s="16">
        <f t="shared" si="4"/>
        <v>2</v>
      </c>
      <c r="I27" s="15">
        <f>G27-$G$16</f>
        <v>61.600000000000136</v>
      </c>
    </row>
    <row r="28" spans="3:9" x14ac:dyDescent="0.2">
      <c r="C28" s="492" t="s">
        <v>210</v>
      </c>
      <c r="D28" s="492" t="s">
        <v>207</v>
      </c>
      <c r="E28" s="496" t="s">
        <v>141</v>
      </c>
      <c r="F28" s="496" t="s">
        <v>178</v>
      </c>
      <c r="G28" s="499">
        <v>1280.4000000000001</v>
      </c>
      <c r="H28" s="16">
        <f t="shared" si="4"/>
        <v>16</v>
      </c>
      <c r="I28" s="15">
        <f t="shared" si="3"/>
        <v>75.600000000000136</v>
      </c>
    </row>
    <row r="29" spans="3:9" x14ac:dyDescent="0.2">
      <c r="C29" s="492" t="s">
        <v>210</v>
      </c>
      <c r="D29" s="492" t="s">
        <v>207</v>
      </c>
      <c r="E29" s="496" t="s">
        <v>142</v>
      </c>
      <c r="F29" s="496" t="s">
        <v>178</v>
      </c>
      <c r="G29" s="499">
        <v>1293.1000000000001</v>
      </c>
      <c r="H29" s="16">
        <f t="shared" si="4"/>
        <v>28.700000000000045</v>
      </c>
      <c r="I29" s="15">
        <f t="shared" si="3"/>
        <v>88.300000000000182</v>
      </c>
    </row>
    <row r="30" spans="3:9" x14ac:dyDescent="0.2">
      <c r="C30" s="492" t="s">
        <v>210</v>
      </c>
      <c r="D30" s="492" t="s">
        <v>207</v>
      </c>
      <c r="E30" s="496" t="s">
        <v>143</v>
      </c>
      <c r="F30" s="496" t="s">
        <v>178</v>
      </c>
      <c r="G30" s="499">
        <v>1314.3000000000002</v>
      </c>
      <c r="H30" s="16">
        <f t="shared" si="4"/>
        <v>49.900000000000091</v>
      </c>
      <c r="I30" s="15">
        <f>G30-$G$16</f>
        <v>109.50000000000023</v>
      </c>
    </row>
    <row r="31" spans="3:9" x14ac:dyDescent="0.2">
      <c r="C31" s="492" t="s">
        <v>210</v>
      </c>
      <c r="D31" s="492" t="s">
        <v>207</v>
      </c>
      <c r="E31" s="496" t="s">
        <v>168</v>
      </c>
      <c r="F31" s="496" t="s">
        <v>179</v>
      </c>
      <c r="G31" s="499">
        <v>1333.2</v>
      </c>
      <c r="H31" s="16">
        <f t="shared" si="4"/>
        <v>68.799999999999955</v>
      </c>
      <c r="I31" s="13">
        <v>0</v>
      </c>
    </row>
    <row r="32" spans="3:9" x14ac:dyDescent="0.2">
      <c r="C32" s="492" t="s">
        <v>210</v>
      </c>
      <c r="D32" s="492" t="s">
        <v>207</v>
      </c>
      <c r="E32" s="496" t="s">
        <v>144</v>
      </c>
      <c r="F32" s="496" t="s">
        <v>179</v>
      </c>
      <c r="G32" s="499">
        <v>1349.4</v>
      </c>
      <c r="H32" s="16">
        <f t="shared" si="4"/>
        <v>85</v>
      </c>
      <c r="I32" s="13">
        <f>G32-$G$31</f>
        <v>16.200000000000045</v>
      </c>
    </row>
    <row r="33" spans="3:10" x14ac:dyDescent="0.2">
      <c r="C33" s="492" t="s">
        <v>210</v>
      </c>
      <c r="D33" s="492" t="s">
        <v>207</v>
      </c>
      <c r="E33" s="496" t="s">
        <v>145</v>
      </c>
      <c r="F33" s="496" t="s">
        <v>179</v>
      </c>
      <c r="G33" s="499">
        <v>1374.6000000000001</v>
      </c>
      <c r="H33" s="16">
        <f t="shared" si="4"/>
        <v>110.20000000000005</v>
      </c>
      <c r="I33" s="13">
        <f t="shared" ref="I33" si="5">G33-$G$31</f>
        <v>41.400000000000091</v>
      </c>
    </row>
    <row r="34" spans="3:10" x14ac:dyDescent="0.2">
      <c r="C34" s="492" t="s">
        <v>210</v>
      </c>
      <c r="D34" s="492" t="s">
        <v>207</v>
      </c>
      <c r="E34" s="496" t="s">
        <v>169</v>
      </c>
      <c r="F34" s="496" t="s">
        <v>179</v>
      </c>
      <c r="G34" s="499">
        <v>1374.6000000000001</v>
      </c>
      <c r="H34" s="16">
        <f t="shared" si="4"/>
        <v>110.20000000000005</v>
      </c>
      <c r="I34" s="13">
        <f>G34-$G$31</f>
        <v>41.400000000000091</v>
      </c>
    </row>
    <row r="35" spans="3:10" x14ac:dyDescent="0.2">
      <c r="C35" s="492" t="s">
        <v>217</v>
      </c>
      <c r="D35" s="492" t="s">
        <v>207</v>
      </c>
      <c r="E35" s="496" t="s">
        <v>146</v>
      </c>
      <c r="F35" s="496" t="s">
        <v>180</v>
      </c>
      <c r="G35" s="499">
        <v>1721.6000000000001</v>
      </c>
      <c r="H35" s="16">
        <f t="shared" si="4"/>
        <v>457.20000000000005</v>
      </c>
      <c r="I35" s="15">
        <v>0</v>
      </c>
    </row>
    <row r="36" spans="3:10" x14ac:dyDescent="0.2">
      <c r="C36" s="492" t="s">
        <v>217</v>
      </c>
      <c r="D36" s="492" t="s">
        <v>207</v>
      </c>
      <c r="E36" s="496" t="s">
        <v>170</v>
      </c>
      <c r="F36" s="496" t="s">
        <v>180</v>
      </c>
      <c r="G36" s="499">
        <v>1740.8000000000002</v>
      </c>
      <c r="H36" s="16">
        <f t="shared" si="4"/>
        <v>476.40000000000009</v>
      </c>
      <c r="I36" s="15">
        <f>G36-$G$35</f>
        <v>19.200000000000045</v>
      </c>
      <c r="J36" s="11"/>
    </row>
    <row r="37" spans="3:10" x14ac:dyDescent="0.2">
      <c r="C37" s="492" t="s">
        <v>217</v>
      </c>
      <c r="D37" s="492" t="s">
        <v>207</v>
      </c>
      <c r="E37" s="496" t="s">
        <v>147</v>
      </c>
      <c r="F37" s="496" t="s">
        <v>180</v>
      </c>
      <c r="G37" s="499">
        <v>1742.9</v>
      </c>
      <c r="H37" s="16">
        <f t="shared" si="4"/>
        <v>478.5</v>
      </c>
      <c r="I37" s="15">
        <f t="shared" ref="I37" si="6">G37-$G$35</f>
        <v>21.299999999999955</v>
      </c>
    </row>
    <row r="38" spans="3:10" x14ac:dyDescent="0.2">
      <c r="C38" s="492" t="s">
        <v>217</v>
      </c>
      <c r="D38" s="498" t="s">
        <v>209</v>
      </c>
      <c r="E38" s="496" t="s">
        <v>174</v>
      </c>
      <c r="F38" s="496" t="s">
        <v>180</v>
      </c>
      <c r="G38" s="499">
        <v>1742.9</v>
      </c>
      <c r="H38" s="16">
        <f t="shared" si="4"/>
        <v>478.5</v>
      </c>
      <c r="I38" s="15">
        <f>G38-$G$35</f>
        <v>21.299999999999955</v>
      </c>
    </row>
    <row r="39" spans="3:10" x14ac:dyDescent="0.2">
      <c r="C39" s="492" t="s">
        <v>218</v>
      </c>
      <c r="D39" s="492" t="s">
        <v>207</v>
      </c>
      <c r="E39" s="496" t="s">
        <v>171</v>
      </c>
      <c r="F39" s="496" t="s">
        <v>181</v>
      </c>
      <c r="G39" s="499">
        <v>1848.3000000000002</v>
      </c>
      <c r="H39" s="16">
        <f t="shared" si="4"/>
        <v>583.90000000000009</v>
      </c>
      <c r="I39" s="13">
        <v>0</v>
      </c>
    </row>
    <row r="40" spans="3:10" x14ac:dyDescent="0.2">
      <c r="C40" s="492" t="s">
        <v>218</v>
      </c>
      <c r="D40" s="492" t="s">
        <v>207</v>
      </c>
      <c r="E40" s="496" t="s">
        <v>172</v>
      </c>
      <c r="F40" s="496" t="s">
        <v>181</v>
      </c>
      <c r="G40" s="499">
        <v>1878.9</v>
      </c>
      <c r="H40" s="16">
        <f t="shared" si="4"/>
        <v>614.5</v>
      </c>
      <c r="I40" s="13">
        <f>G40-$G$39</f>
        <v>30.599999999999909</v>
      </c>
    </row>
    <row r="41" spans="3:10" x14ac:dyDescent="0.2">
      <c r="C41" s="492" t="s">
        <v>218</v>
      </c>
      <c r="D41" s="492" t="s">
        <v>207</v>
      </c>
      <c r="E41" s="496" t="s">
        <v>173</v>
      </c>
      <c r="F41" s="496" t="s">
        <v>181</v>
      </c>
      <c r="G41" s="499">
        <v>1934.5</v>
      </c>
      <c r="H41" s="16">
        <f t="shared" si="4"/>
        <v>670.09999999999991</v>
      </c>
      <c r="I41" s="13">
        <f t="shared" ref="I41:I46" si="7">G41-$G$39</f>
        <v>86.199999999999818</v>
      </c>
    </row>
    <row r="42" spans="3:10" x14ac:dyDescent="0.2">
      <c r="C42" s="492" t="s">
        <v>218</v>
      </c>
      <c r="D42" s="492" t="s">
        <v>207</v>
      </c>
      <c r="E42" s="496" t="s">
        <v>148</v>
      </c>
      <c r="F42" s="496" t="s">
        <v>181</v>
      </c>
      <c r="G42" s="499">
        <v>1957.4</v>
      </c>
      <c r="H42" s="16">
        <f t="shared" si="4"/>
        <v>693</v>
      </c>
      <c r="I42" s="13">
        <f t="shared" si="7"/>
        <v>109.09999999999991</v>
      </c>
    </row>
    <row r="43" spans="3:10" x14ac:dyDescent="0.2">
      <c r="C43" s="492" t="s">
        <v>218</v>
      </c>
      <c r="D43" s="492" t="s">
        <v>207</v>
      </c>
      <c r="E43" s="496" t="s">
        <v>149</v>
      </c>
      <c r="F43" s="496" t="s">
        <v>181</v>
      </c>
      <c r="G43" s="499">
        <v>1992.8000000000002</v>
      </c>
      <c r="H43" s="16">
        <f t="shared" si="4"/>
        <v>728.40000000000009</v>
      </c>
      <c r="I43" s="13">
        <f t="shared" si="7"/>
        <v>144.5</v>
      </c>
    </row>
    <row r="44" spans="3:10" x14ac:dyDescent="0.2">
      <c r="C44" s="492" t="s">
        <v>218</v>
      </c>
      <c r="D44" s="492" t="s">
        <v>207</v>
      </c>
      <c r="E44" s="496" t="s">
        <v>150</v>
      </c>
      <c r="F44" s="496" t="s">
        <v>181</v>
      </c>
      <c r="G44" s="499">
        <v>2032.5</v>
      </c>
      <c r="H44" s="16">
        <f t="shared" si="4"/>
        <v>768.09999999999991</v>
      </c>
      <c r="I44" s="13">
        <f t="shared" si="7"/>
        <v>184.19999999999982</v>
      </c>
    </row>
    <row r="45" spans="3:10" x14ac:dyDescent="0.2">
      <c r="C45" s="492" t="s">
        <v>218</v>
      </c>
      <c r="D45" s="492" t="s">
        <v>207</v>
      </c>
      <c r="E45" s="496" t="s">
        <v>151</v>
      </c>
      <c r="F45" s="496" t="s">
        <v>181</v>
      </c>
      <c r="G45" s="499">
        <v>2159.5</v>
      </c>
      <c r="H45" s="16">
        <f t="shared" si="4"/>
        <v>895.09999999999991</v>
      </c>
      <c r="I45" s="13">
        <f t="shared" si="7"/>
        <v>311.19999999999982</v>
      </c>
    </row>
    <row r="46" spans="3:10" x14ac:dyDescent="0.2">
      <c r="C46" s="492" t="s">
        <v>218</v>
      </c>
      <c r="D46" s="492" t="s">
        <v>207</v>
      </c>
      <c r="E46" s="496" t="s">
        <v>152</v>
      </c>
      <c r="F46" s="496" t="s">
        <v>181</v>
      </c>
      <c r="G46" s="499">
        <v>2190.1999999999998</v>
      </c>
      <c r="H46" s="16">
        <f t="shared" si="4"/>
        <v>925.79999999999973</v>
      </c>
      <c r="I46" s="13">
        <f t="shared" si="7"/>
        <v>341.89999999999964</v>
      </c>
    </row>
    <row r="47" spans="3:10" x14ac:dyDescent="0.2">
      <c r="C47" s="492" t="s">
        <v>218</v>
      </c>
      <c r="D47" s="492" t="s">
        <v>207</v>
      </c>
      <c r="E47" s="496" t="s">
        <v>153</v>
      </c>
      <c r="F47" s="496" t="s">
        <v>181</v>
      </c>
      <c r="G47" s="499">
        <v>2212.5</v>
      </c>
      <c r="H47" s="16">
        <f t="shared" si="4"/>
        <v>948.09999999999991</v>
      </c>
      <c r="I47" s="13">
        <f>G47-$G$39</f>
        <v>364.19999999999982</v>
      </c>
    </row>
    <row r="48" spans="3:10" x14ac:dyDescent="0.2">
      <c r="C48" s="492" t="s">
        <v>219</v>
      </c>
      <c r="D48" s="492" t="s">
        <v>207</v>
      </c>
      <c r="E48" s="496" t="s">
        <v>154</v>
      </c>
      <c r="F48" s="496" t="s">
        <v>182</v>
      </c>
      <c r="G48" s="499">
        <v>2342.6000000000004</v>
      </c>
      <c r="H48" s="16">
        <f t="shared" si="4"/>
        <v>1078.2000000000003</v>
      </c>
      <c r="I48" s="15">
        <v>0</v>
      </c>
    </row>
    <row r="49" spans="3:9" x14ac:dyDescent="0.2">
      <c r="C49" s="492" t="s">
        <v>219</v>
      </c>
      <c r="D49" s="492" t="s">
        <v>207</v>
      </c>
      <c r="E49" s="496" t="s">
        <v>155</v>
      </c>
      <c r="F49" s="496" t="s">
        <v>182</v>
      </c>
      <c r="G49" s="499">
        <v>2403</v>
      </c>
      <c r="H49" s="16">
        <f t="shared" si="4"/>
        <v>1138.5999999999999</v>
      </c>
      <c r="I49" s="15">
        <f>G49-$G$48</f>
        <v>60.399999999999636</v>
      </c>
    </row>
    <row r="50" spans="3:9" x14ac:dyDescent="0.2">
      <c r="C50" s="492" t="s">
        <v>219</v>
      </c>
      <c r="D50" s="492" t="s">
        <v>207</v>
      </c>
      <c r="E50" s="496" t="s">
        <v>156</v>
      </c>
      <c r="F50" s="496" t="s">
        <v>182</v>
      </c>
      <c r="G50" s="499">
        <v>2419.9</v>
      </c>
      <c r="H50" s="16">
        <f t="shared" si="4"/>
        <v>1155.5</v>
      </c>
      <c r="I50" s="15">
        <f t="shared" ref="I50:I53" si="8">G50-$G$48</f>
        <v>77.299999999999727</v>
      </c>
    </row>
    <row r="51" spans="3:9" x14ac:dyDescent="0.2">
      <c r="C51" s="492" t="s">
        <v>219</v>
      </c>
      <c r="D51" s="492" t="s">
        <v>207</v>
      </c>
      <c r="E51" s="496" t="s">
        <v>157</v>
      </c>
      <c r="F51" s="496" t="s">
        <v>182</v>
      </c>
      <c r="G51" s="499">
        <v>2448.6999999999998</v>
      </c>
      <c r="H51" s="16">
        <f t="shared" si="4"/>
        <v>1184.2999999999997</v>
      </c>
      <c r="I51" s="15">
        <f t="shared" si="8"/>
        <v>106.09999999999945</v>
      </c>
    </row>
    <row r="52" spans="3:9" x14ac:dyDescent="0.2">
      <c r="C52" s="492" t="s">
        <v>219</v>
      </c>
      <c r="D52" s="492" t="s">
        <v>209</v>
      </c>
      <c r="E52" s="496" t="s">
        <v>175</v>
      </c>
      <c r="F52" s="496" t="s">
        <v>182</v>
      </c>
      <c r="G52" s="499">
        <v>2454.1999999999998</v>
      </c>
      <c r="H52" s="16">
        <f t="shared" si="4"/>
        <v>1189.7999999999997</v>
      </c>
      <c r="I52" s="15">
        <f t="shared" si="8"/>
        <v>111.59999999999945</v>
      </c>
    </row>
    <row r="53" spans="3:9" x14ac:dyDescent="0.2">
      <c r="C53" s="492" t="s">
        <v>219</v>
      </c>
      <c r="D53" s="492" t="s">
        <v>207</v>
      </c>
      <c r="E53" s="496" t="s">
        <v>159</v>
      </c>
      <c r="F53" s="496" t="s">
        <v>182</v>
      </c>
      <c r="G53" s="499">
        <v>2454.1999999999998</v>
      </c>
      <c r="H53" s="16">
        <f t="shared" si="4"/>
        <v>1189.7999999999997</v>
      </c>
      <c r="I53" s="15">
        <f t="shared" si="8"/>
        <v>111.59999999999945</v>
      </c>
    </row>
    <row r="54" spans="3:9" x14ac:dyDescent="0.2">
      <c r="C54" s="492" t="s">
        <v>219</v>
      </c>
      <c r="D54" s="492" t="s">
        <v>207</v>
      </c>
      <c r="E54" s="496" t="s">
        <v>158</v>
      </c>
      <c r="F54" s="496" t="s">
        <v>182</v>
      </c>
      <c r="G54" s="499">
        <v>2454.1999999999998</v>
      </c>
      <c r="H54" s="16">
        <f t="shared" si="4"/>
        <v>1189.7999999999997</v>
      </c>
      <c r="I54" s="15">
        <f>G54-$G$48</f>
        <v>111.59999999999945</v>
      </c>
    </row>
  </sheetData>
  <pageMargins left="0.511811024" right="0.511811024" top="0.78740157499999996" bottom="0.78740157499999996" header="0.31496062000000002" footer="0.31496062000000002"/>
  <pageSetup paperSize="9" scale="6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G218"/>
  <sheetViews>
    <sheetView showGridLines="0" zoomScale="140" zoomScaleNormal="140" workbookViewId="0"/>
  </sheetViews>
  <sheetFormatPr defaultRowHeight="12.75" x14ac:dyDescent="0.2"/>
  <cols>
    <col min="1" max="1" width="20.28515625" style="122" bestFit="1" customWidth="1"/>
    <col min="2" max="2" width="28.7109375" style="122" customWidth="1"/>
    <col min="3" max="7" width="10.7109375" style="122" customWidth="1"/>
    <col min="8" max="16384" width="9.140625" style="122"/>
  </cols>
  <sheetData>
    <row r="4" spans="1:7" ht="13.5" thickBot="1" x14ac:dyDescent="0.25"/>
    <row r="5" spans="1:7" ht="13.5" thickBot="1" x14ac:dyDescent="0.25">
      <c r="A5" s="660" t="s">
        <v>201</v>
      </c>
      <c r="B5" s="289" t="s">
        <v>192</v>
      </c>
      <c r="C5" s="290">
        <v>2020</v>
      </c>
      <c r="D5" s="291">
        <v>2021</v>
      </c>
      <c r="E5" s="291">
        <v>2022</v>
      </c>
      <c r="F5" s="291">
        <v>2023</v>
      </c>
      <c r="G5" s="291">
        <v>2024</v>
      </c>
    </row>
    <row r="6" spans="1:7" ht="13.5" thickBot="1" x14ac:dyDescent="0.25">
      <c r="A6" s="661"/>
      <c r="B6" s="159" t="s">
        <v>186</v>
      </c>
      <c r="C6" s="503">
        <f>-26958.12347896+24.899</f>
        <v>-26933.224478959997</v>
      </c>
      <c r="D6" s="504">
        <f>-26957.87020066+24.899</f>
        <v>-26932.971200659998</v>
      </c>
      <c r="E6" s="504">
        <f>-19460.0761633+24.899</f>
        <v>-19435.177163299999</v>
      </c>
      <c r="F6" s="504">
        <f>-19460.93718082+24.899</f>
        <v>-19436.03818082</v>
      </c>
      <c r="G6" s="505">
        <f>-19463.12308168+24.899+45.3862027282651</f>
        <v>-19392.837878951734</v>
      </c>
    </row>
    <row r="7" spans="1:7" x14ac:dyDescent="0.2">
      <c r="A7" s="292" t="s">
        <v>176</v>
      </c>
      <c r="B7" s="293" t="s">
        <v>129</v>
      </c>
      <c r="C7" s="17"/>
      <c r="D7" s="18">
        <v>10.226280000000001</v>
      </c>
      <c r="E7" s="18">
        <v>16.362048000000001</v>
      </c>
      <c r="F7" s="18">
        <v>16.984765610431584</v>
      </c>
      <c r="G7" s="19">
        <v>17.609734305195893</v>
      </c>
    </row>
    <row r="8" spans="1:7" x14ac:dyDescent="0.2">
      <c r="A8" s="294" t="s">
        <v>176</v>
      </c>
      <c r="B8" s="295" t="s">
        <v>130</v>
      </c>
      <c r="C8" s="20">
        <v>95.104404000000002</v>
      </c>
      <c r="D8" s="39">
        <v>95.615718000000015</v>
      </c>
      <c r="E8" s="39">
        <v>97.149660000000011</v>
      </c>
      <c r="F8" s="39">
        <v>100.84704581193753</v>
      </c>
      <c r="G8" s="40">
        <v>104.55779743710062</v>
      </c>
    </row>
    <row r="9" spans="1:7" x14ac:dyDescent="0.2">
      <c r="A9" s="294" t="s">
        <v>176</v>
      </c>
      <c r="B9" s="295" t="s">
        <v>160</v>
      </c>
      <c r="C9" s="65">
        <v>0</v>
      </c>
      <c r="D9" s="66">
        <v>0</v>
      </c>
      <c r="E9" s="75">
        <v>2098.6886559999971</v>
      </c>
      <c r="F9" s="75">
        <v>2098.6886559999971</v>
      </c>
      <c r="G9" s="76">
        <v>2098.6886559999971</v>
      </c>
    </row>
    <row r="10" spans="1:7" x14ac:dyDescent="0.2">
      <c r="A10" s="294" t="s">
        <v>176</v>
      </c>
      <c r="B10" s="295" t="s">
        <v>161</v>
      </c>
      <c r="C10" s="23"/>
      <c r="D10" s="24"/>
      <c r="E10" s="24"/>
      <c r="F10" s="24"/>
      <c r="G10" s="73"/>
    </row>
    <row r="11" spans="1:7" x14ac:dyDescent="0.2">
      <c r="A11" s="294" t="s">
        <v>177</v>
      </c>
      <c r="B11" s="295" t="s">
        <v>162</v>
      </c>
      <c r="C11" s="20">
        <v>21.979219213811522</v>
      </c>
      <c r="D11" s="21">
        <v>22.871715936244836</v>
      </c>
      <c r="E11" s="21">
        <v>23.771070785696526</v>
      </c>
      <c r="F11" s="21">
        <v>24.675765870142492</v>
      </c>
      <c r="G11" s="22">
        <v>25.58373136945448</v>
      </c>
    </row>
    <row r="12" spans="1:7" x14ac:dyDescent="0.2">
      <c r="A12" s="294" t="s">
        <v>177</v>
      </c>
      <c r="B12" s="295" t="s">
        <v>131</v>
      </c>
      <c r="C12" s="20">
        <v>55.656574731718287</v>
      </c>
      <c r="D12" s="21">
        <v>57.916587248391735</v>
      </c>
      <c r="E12" s="21">
        <v>60.193966162624839</v>
      </c>
      <c r="F12" s="21">
        <v>62.484867813273297</v>
      </c>
      <c r="G12" s="22">
        <v>64.784050926862903</v>
      </c>
    </row>
    <row r="13" spans="1:7" x14ac:dyDescent="0.2">
      <c r="A13" s="294" t="s">
        <v>177</v>
      </c>
      <c r="B13" s="295" t="s">
        <v>132</v>
      </c>
      <c r="C13" s="20">
        <v>61.052101771477311</v>
      </c>
      <c r="D13" s="21">
        <v>63.531207157280484</v>
      </c>
      <c r="E13" s="21">
        <v>66.029362494977534</v>
      </c>
      <c r="F13" s="21">
        <v>68.542351506572729</v>
      </c>
      <c r="G13" s="22">
        <v>71.064424812714194</v>
      </c>
    </row>
    <row r="14" spans="1:7" x14ac:dyDescent="0.2">
      <c r="A14" s="294" t="s">
        <v>177</v>
      </c>
      <c r="B14" s="295" t="s">
        <v>133</v>
      </c>
      <c r="C14" s="20">
        <v>138.73741754252399</v>
      </c>
      <c r="D14" s="21">
        <v>144.37104306993839</v>
      </c>
      <c r="E14" s="21">
        <v>150.04795852601001</v>
      </c>
      <c r="F14" s="21">
        <v>155.75858265958144</v>
      </c>
      <c r="G14" s="22">
        <v>161.48985033414453</v>
      </c>
    </row>
    <row r="15" spans="1:7" x14ac:dyDescent="0.2">
      <c r="A15" s="294" t="s">
        <v>177</v>
      </c>
      <c r="B15" s="295" t="s">
        <v>134</v>
      </c>
      <c r="C15" s="20">
        <v>38.712186200327494</v>
      </c>
      <c r="D15" s="21">
        <v>40.284148287147644</v>
      </c>
      <c r="E15" s="21">
        <v>41.86818965155895</v>
      </c>
      <c r="F15" s="21">
        <v>43.461636817397562</v>
      </c>
      <c r="G15" s="22">
        <v>45.060844192823865</v>
      </c>
    </row>
    <row r="16" spans="1:7" x14ac:dyDescent="0.2">
      <c r="A16" s="294" t="s">
        <v>177</v>
      </c>
      <c r="B16" s="295" t="s">
        <v>135</v>
      </c>
      <c r="C16" s="20">
        <v>186.5835848765839</v>
      </c>
      <c r="D16" s="21">
        <v>194.16007048065703</v>
      </c>
      <c r="E16" s="21">
        <v>201.79477534685125</v>
      </c>
      <c r="F16" s="21">
        <v>209.4748139521389</v>
      </c>
      <c r="G16" s="22">
        <v>217.18261540576981</v>
      </c>
    </row>
    <row r="17" spans="1:7" x14ac:dyDescent="0.2">
      <c r="A17" s="294" t="s">
        <v>177</v>
      </c>
      <c r="B17" s="295" t="s">
        <v>136</v>
      </c>
      <c r="C17" s="25">
        <v>297.56082847761076</v>
      </c>
      <c r="D17" s="26">
        <v>309.64369919095833</v>
      </c>
      <c r="E17" s="26">
        <v>321.81941714958526</v>
      </c>
      <c r="F17" s="26">
        <v>334.06743270594319</v>
      </c>
      <c r="G17" s="27">
        <f>346.359724055155</f>
        <v>346.35972405515503</v>
      </c>
    </row>
    <row r="18" spans="1:7" x14ac:dyDescent="0.2">
      <c r="A18" s="294" t="s">
        <v>178</v>
      </c>
      <c r="B18" s="295" t="s">
        <v>163</v>
      </c>
      <c r="C18" s="28">
        <v>0.56023223148966206</v>
      </c>
      <c r="D18" s="29">
        <v>0.58298123933848622</v>
      </c>
      <c r="E18" s="29">
        <v>0.60590505520783056</v>
      </c>
      <c r="F18" s="29">
        <v>0.62896498927766331</v>
      </c>
      <c r="G18" s="30">
        <v>0.6521082835342461</v>
      </c>
    </row>
    <row r="19" spans="1:7" x14ac:dyDescent="0.2">
      <c r="A19" s="294" t="s">
        <v>178</v>
      </c>
      <c r="B19" s="295" t="s">
        <v>137</v>
      </c>
      <c r="C19" s="20">
        <v>1225.1586813489607</v>
      </c>
      <c r="D19" s="21">
        <v>1274.9079511900638</v>
      </c>
      <c r="E19" s="21">
        <v>1325.0395045769394</v>
      </c>
      <c r="F19" s="21">
        <v>1375.4687316527672</v>
      </c>
      <c r="G19" s="22">
        <v>1426.0802571590241</v>
      </c>
    </row>
    <row r="20" spans="1:7" x14ac:dyDescent="0.2">
      <c r="A20" s="294" t="s">
        <v>178</v>
      </c>
      <c r="B20" s="295" t="s">
        <v>138</v>
      </c>
      <c r="C20" s="20">
        <v>1147.0412578613514</v>
      </c>
      <c r="D20" s="21">
        <v>1193.6184612268714</v>
      </c>
      <c r="E20" s="21">
        <v>1240.5535733317881</v>
      </c>
      <c r="F20" s="21">
        <v>1287.7673791339428</v>
      </c>
      <c r="G20" s="22">
        <v>1335.1518598242794</v>
      </c>
    </row>
    <row r="21" spans="1:7" x14ac:dyDescent="0.2">
      <c r="A21" s="294" t="s">
        <v>178</v>
      </c>
      <c r="B21" s="295" t="s">
        <v>139</v>
      </c>
      <c r="C21" s="25">
        <v>413.04583500532192</v>
      </c>
      <c r="D21" s="26">
        <v>429.8181348022743</v>
      </c>
      <c r="E21" s="26">
        <v>446.71931637493128</v>
      </c>
      <c r="F21" s="26">
        <v>463.72085464365091</v>
      </c>
      <c r="G21" s="27">
        <v>480.78385238579449</v>
      </c>
    </row>
    <row r="22" spans="1:7" ht="13.5" thickBot="1" x14ac:dyDescent="0.25">
      <c r="A22" s="294" t="s">
        <v>178</v>
      </c>
      <c r="B22" s="296" t="s">
        <v>164</v>
      </c>
      <c r="C22" s="31">
        <v>1708.1999999999971</v>
      </c>
      <c r="D22" s="31">
        <v>1708.1999999999971</v>
      </c>
      <c r="E22" s="31">
        <v>1708.1999999999971</v>
      </c>
      <c r="F22" s="31">
        <v>1708.1999999999971</v>
      </c>
      <c r="G22" s="31">
        <v>1708.1999999999971</v>
      </c>
    </row>
    <row r="23" spans="1:7" ht="13.5" thickBot="1" x14ac:dyDescent="0.25">
      <c r="A23" s="297"/>
      <c r="B23" s="298" t="s">
        <v>187</v>
      </c>
      <c r="C23" s="67">
        <v>344.88786874882499</v>
      </c>
      <c r="D23" s="67">
        <v>3.1754065795103101</v>
      </c>
      <c r="E23" s="67">
        <v>-9740.0395907527</v>
      </c>
      <c r="F23" s="67">
        <v>-10082.806736746101</v>
      </c>
      <c r="G23" s="114">
        <v>-10428.519869326499</v>
      </c>
    </row>
    <row r="24" spans="1:7" x14ac:dyDescent="0.2">
      <c r="A24" s="294" t="s">
        <v>178</v>
      </c>
      <c r="B24" s="299" t="s">
        <v>197</v>
      </c>
      <c r="C24" s="34">
        <v>0</v>
      </c>
      <c r="D24" s="35">
        <v>0</v>
      </c>
      <c r="E24" s="36">
        <v>301.93559443383452</v>
      </c>
      <c r="F24" s="36">
        <v>301.93559443383452</v>
      </c>
      <c r="G24" s="37">
        <v>301.93559443383452</v>
      </c>
    </row>
    <row r="25" spans="1:7" x14ac:dyDescent="0.2">
      <c r="A25" s="294" t="s">
        <v>178</v>
      </c>
      <c r="B25" s="300" t="s">
        <v>165</v>
      </c>
      <c r="C25" s="28">
        <v>1331.1906054618207</v>
      </c>
      <c r="D25" s="29">
        <v>1385.2454488459737</v>
      </c>
      <c r="E25" s="29">
        <v>1439.7156606819954</v>
      </c>
      <c r="F25" s="29">
        <v>1494.509308513906</v>
      </c>
      <c r="G25" s="30">
        <v>1549.5010318781306</v>
      </c>
    </row>
    <row r="26" spans="1:7" x14ac:dyDescent="0.2">
      <c r="A26" s="294" t="s">
        <v>178</v>
      </c>
      <c r="B26" s="293" t="s">
        <v>140</v>
      </c>
      <c r="C26" s="20">
        <v>487.38542575890432</v>
      </c>
      <c r="D26" s="21">
        <v>507.17638788635992</v>
      </c>
      <c r="E26" s="21">
        <v>527.11942780712764</v>
      </c>
      <c r="F26" s="21">
        <v>547.18088652526114</v>
      </c>
      <c r="G26" s="22">
        <v>567.31486613353081</v>
      </c>
    </row>
    <row r="27" spans="1:7" x14ac:dyDescent="0.2">
      <c r="A27" s="294" t="s">
        <v>178</v>
      </c>
      <c r="B27" s="301" t="s">
        <v>166</v>
      </c>
      <c r="C27" s="25">
        <v>523.72881616950804</v>
      </c>
      <c r="D27" s="26">
        <v>544.99555214079498</v>
      </c>
      <c r="E27" s="26">
        <v>566.42570605288915</v>
      </c>
      <c r="F27" s="26">
        <v>587.98310902348794</v>
      </c>
      <c r="G27" s="27">
        <v>609.61844062701493</v>
      </c>
    </row>
    <row r="28" spans="1:7" x14ac:dyDescent="0.2">
      <c r="A28" s="294" t="s">
        <v>178</v>
      </c>
      <c r="B28" s="302" t="s">
        <v>225</v>
      </c>
      <c r="C28" s="34">
        <v>3000</v>
      </c>
      <c r="D28" s="35">
        <v>3000</v>
      </c>
      <c r="E28" s="35">
        <v>3000</v>
      </c>
      <c r="F28" s="35">
        <v>3000</v>
      </c>
      <c r="G28" s="115">
        <v>3000</v>
      </c>
    </row>
    <row r="29" spans="1:7" x14ac:dyDescent="0.2">
      <c r="A29" s="294" t="s">
        <v>178</v>
      </c>
      <c r="B29" s="295" t="s">
        <v>167</v>
      </c>
      <c r="C29" s="89">
        <v>1E-3</v>
      </c>
      <c r="D29" s="90">
        <v>1E-3</v>
      </c>
      <c r="E29" s="90">
        <v>1E-3</v>
      </c>
      <c r="F29" s="90">
        <v>1E-3</v>
      </c>
      <c r="G29" s="116">
        <v>1E-3</v>
      </c>
    </row>
    <row r="30" spans="1:7" x14ac:dyDescent="0.2">
      <c r="A30" s="294" t="s">
        <v>178</v>
      </c>
      <c r="B30" s="295" t="s">
        <v>141</v>
      </c>
      <c r="C30" s="54"/>
      <c r="D30" s="55"/>
      <c r="E30" s="55"/>
      <c r="F30" s="55"/>
      <c r="G30" s="56"/>
    </row>
    <row r="31" spans="1:7" x14ac:dyDescent="0.2">
      <c r="A31" s="294" t="s">
        <v>178</v>
      </c>
      <c r="B31" s="295" t="s">
        <v>142</v>
      </c>
      <c r="C31" s="31"/>
      <c r="D31" s="32"/>
      <c r="E31" s="32"/>
      <c r="F31" s="32"/>
      <c r="G31" s="33"/>
    </row>
    <row r="32" spans="1:7" x14ac:dyDescent="0.2">
      <c r="A32" s="294" t="s">
        <v>178</v>
      </c>
      <c r="B32" s="295" t="s">
        <v>143</v>
      </c>
      <c r="C32" s="57"/>
      <c r="D32" s="58"/>
      <c r="E32" s="58"/>
      <c r="F32" s="58"/>
      <c r="G32" s="59"/>
    </row>
    <row r="33" spans="1:7" x14ac:dyDescent="0.2">
      <c r="A33" s="294" t="s">
        <v>179</v>
      </c>
      <c r="B33" s="295" t="s">
        <v>168</v>
      </c>
      <c r="C33" s="28">
        <v>497.9529639571922</v>
      </c>
      <c r="D33" s="29">
        <v>518.17303565011571</v>
      </c>
      <c r="E33" s="29">
        <v>538.54848250185501</v>
      </c>
      <c r="F33" s="29">
        <v>559.04491571884034</v>
      </c>
      <c r="G33" s="38">
        <f>579.615442230955-45.3862027282651</f>
        <v>534.22923950268989</v>
      </c>
    </row>
    <row r="34" spans="1:7" x14ac:dyDescent="0.2">
      <c r="A34" s="294" t="s">
        <v>179</v>
      </c>
      <c r="B34" s="295" t="s">
        <v>144</v>
      </c>
      <c r="C34" s="20">
        <v>502.71307488429875</v>
      </c>
      <c r="D34" s="21">
        <v>523.12643749258791</v>
      </c>
      <c r="E34" s="21">
        <v>543.69666054654704</v>
      </c>
      <c r="F34" s="21">
        <v>564.38902651779813</v>
      </c>
      <c r="G34" s="22">
        <v>585.15619406855262</v>
      </c>
    </row>
    <row r="35" spans="1:7" x14ac:dyDescent="0.2">
      <c r="A35" s="294" t="s">
        <v>179</v>
      </c>
      <c r="B35" s="295" t="s">
        <v>145</v>
      </c>
      <c r="C35" s="20">
        <v>169.23581259795205</v>
      </c>
      <c r="D35" s="21">
        <v>176.10786781486792</v>
      </c>
      <c r="E35" s="21">
        <v>183.03272930700061</v>
      </c>
      <c r="F35" s="21">
        <v>189.99870959411544</v>
      </c>
      <c r="G35" s="22">
        <v>196.98987145442445</v>
      </c>
    </row>
    <row r="36" spans="1:7" x14ac:dyDescent="0.2">
      <c r="A36" s="294" t="s">
        <v>179</v>
      </c>
      <c r="B36" s="295" t="s">
        <v>169</v>
      </c>
      <c r="C36" s="25">
        <v>3.1140088313776779</v>
      </c>
      <c r="D36" s="26">
        <v>3.2404574849261412</v>
      </c>
      <c r="E36" s="26">
        <v>3.3678777957429626</v>
      </c>
      <c r="F36" s="26">
        <v>3.4960547093659176</v>
      </c>
      <c r="G36" s="27">
        <v>3.6246949743334316</v>
      </c>
    </row>
    <row r="37" spans="1:7" x14ac:dyDescent="0.2">
      <c r="A37" s="294" t="s">
        <v>180</v>
      </c>
      <c r="B37" s="295" t="s">
        <v>146</v>
      </c>
      <c r="C37" s="54"/>
      <c r="D37" s="55"/>
      <c r="E37" s="55"/>
      <c r="F37" s="55"/>
      <c r="G37" s="56"/>
    </row>
    <row r="38" spans="1:7" x14ac:dyDescent="0.2">
      <c r="A38" s="294" t="s">
        <v>180</v>
      </c>
      <c r="B38" s="295" t="s">
        <v>170</v>
      </c>
      <c r="C38" s="57"/>
      <c r="D38" s="58"/>
      <c r="E38" s="58"/>
      <c r="F38" s="58"/>
      <c r="G38" s="59"/>
    </row>
    <row r="39" spans="1:7" x14ac:dyDescent="0.2">
      <c r="A39" s="294" t="s">
        <v>180</v>
      </c>
      <c r="B39" s="295" t="s">
        <v>147</v>
      </c>
      <c r="C39" s="89">
        <v>1E-3</v>
      </c>
      <c r="D39" s="91">
        <v>1E-3</v>
      </c>
      <c r="E39" s="91">
        <v>1E-3</v>
      </c>
      <c r="F39" s="91">
        <v>1E-3</v>
      </c>
      <c r="G39" s="117">
        <v>1E-3</v>
      </c>
    </row>
    <row r="40" spans="1:7" x14ac:dyDescent="0.2">
      <c r="A40" s="294" t="s">
        <v>180</v>
      </c>
      <c r="B40" s="295" t="s">
        <v>174</v>
      </c>
      <c r="C40" s="51"/>
      <c r="D40" s="52"/>
      <c r="E40" s="52"/>
      <c r="F40" s="52"/>
      <c r="G40" s="60"/>
    </row>
    <row r="41" spans="1:7" x14ac:dyDescent="0.2">
      <c r="A41" s="294" t="s">
        <v>181</v>
      </c>
      <c r="B41" s="295" t="s">
        <v>171</v>
      </c>
      <c r="C41" s="85">
        <f>102.823451315789-0.002</f>
        <v>102.82145131578901</v>
      </c>
      <c r="D41" s="86">
        <f>106.998740364773-0.002</f>
        <v>106.996740364773</v>
      </c>
      <c r="E41" s="86">
        <f>111.343572824519-0.002</f>
        <v>111.34157282451901</v>
      </c>
      <c r="F41" s="86">
        <f>115.864833240697-0.002</f>
        <v>115.862833240697</v>
      </c>
      <c r="G41" s="118">
        <f>120.569685715512-0.002</f>
        <v>120.567685715512</v>
      </c>
    </row>
    <row r="42" spans="1:7" x14ac:dyDescent="0.2">
      <c r="A42" s="294" t="s">
        <v>181</v>
      </c>
      <c r="B42" s="295" t="s">
        <v>172</v>
      </c>
      <c r="C42" s="20">
        <v>437.36409144736848</v>
      </c>
      <c r="D42" s="21">
        <v>455.12386782202304</v>
      </c>
      <c r="E42" s="21">
        <v>473.60480458237356</v>
      </c>
      <c r="F42" s="21">
        <v>492.8361854474785</v>
      </c>
      <c r="G42" s="40">
        <v>512.84848324248003</v>
      </c>
    </row>
    <row r="43" spans="1:7" x14ac:dyDescent="0.2">
      <c r="A43" s="294" t="s">
        <v>181</v>
      </c>
      <c r="B43" s="295" t="s">
        <v>173</v>
      </c>
      <c r="C43" s="20">
        <v>192.47159671052634</v>
      </c>
      <c r="D43" s="21">
        <v>200.28717321279387</v>
      </c>
      <c r="E43" s="21">
        <v>208.42011205374803</v>
      </c>
      <c r="F43" s="21">
        <v>216.88330017192587</v>
      </c>
      <c r="G43" s="40">
        <v>225.69014779790203</v>
      </c>
    </row>
    <row r="44" spans="1:7" x14ac:dyDescent="0.2">
      <c r="A44" s="294" t="s">
        <v>181</v>
      </c>
      <c r="B44" s="295" t="s">
        <v>148</v>
      </c>
      <c r="C44" s="20">
        <v>21.360815131578949</v>
      </c>
      <c r="D44" s="21">
        <v>22.228200697370948</v>
      </c>
      <c r="E44" s="21">
        <v>23.130807658746868</v>
      </c>
      <c r="F44" s="21">
        <v>24.070066229392296</v>
      </c>
      <c r="G44" s="40">
        <v>25.047464698805907</v>
      </c>
    </row>
    <row r="45" spans="1:7" x14ac:dyDescent="0.2">
      <c r="A45" s="294" t="s">
        <v>181</v>
      </c>
      <c r="B45" s="295" t="s">
        <v>149</v>
      </c>
      <c r="C45" s="20">
        <v>295.37914572368425</v>
      </c>
      <c r="D45" s="21">
        <v>307.37342617873713</v>
      </c>
      <c r="E45" s="21">
        <v>319.85475105015189</v>
      </c>
      <c r="F45" s="21">
        <v>332.84289745289584</v>
      </c>
      <c r="G45" s="40">
        <v>346.35844557915726</v>
      </c>
    </row>
    <row r="46" spans="1:7" x14ac:dyDescent="0.2">
      <c r="A46" s="294" t="s">
        <v>181</v>
      </c>
      <c r="B46" s="295" t="s">
        <v>150</v>
      </c>
      <c r="C46" s="41">
        <v>70.885084553229333</v>
      </c>
      <c r="D46" s="42">
        <v>70.885084553229333</v>
      </c>
      <c r="E46" s="42">
        <v>70.885084553229333</v>
      </c>
      <c r="F46" s="42">
        <v>70.885084553229333</v>
      </c>
      <c r="G46" s="43">
        <v>70.885084553229333</v>
      </c>
    </row>
    <row r="47" spans="1:7" x14ac:dyDescent="0.2">
      <c r="A47" s="294" t="s">
        <v>181</v>
      </c>
      <c r="B47" s="295" t="s">
        <v>151</v>
      </c>
      <c r="C47" s="44">
        <v>121.10056555315172</v>
      </c>
      <c r="D47" s="45">
        <v>121.10056555315172</v>
      </c>
      <c r="E47" s="45">
        <v>121.10056555315172</v>
      </c>
      <c r="F47" s="45">
        <v>121.10056555315172</v>
      </c>
      <c r="G47" s="46">
        <v>121.10056555315172</v>
      </c>
    </row>
    <row r="48" spans="1:7" x14ac:dyDescent="0.2">
      <c r="A48" s="294" t="s">
        <v>181</v>
      </c>
      <c r="B48" s="295" t="s">
        <v>152</v>
      </c>
      <c r="C48" s="44">
        <v>258.014349893619</v>
      </c>
      <c r="D48" s="45">
        <v>258.014349893619</v>
      </c>
      <c r="E48" s="45">
        <v>258.014349893619</v>
      </c>
      <c r="F48" s="45">
        <v>258.014349893619</v>
      </c>
      <c r="G48" s="46">
        <v>258.014349893619</v>
      </c>
    </row>
    <row r="49" spans="1:7" x14ac:dyDescent="0.2">
      <c r="A49" s="294" t="s">
        <v>181</v>
      </c>
      <c r="B49" s="295" t="s">
        <v>153</v>
      </c>
      <c r="C49" s="87">
        <f>251-0.001-24.899</f>
        <v>226.1</v>
      </c>
      <c r="D49" s="88">
        <f t="shared" ref="D49:G49" si="0">251-0.001-24.899</f>
        <v>226.1</v>
      </c>
      <c r="E49" s="88">
        <f t="shared" si="0"/>
        <v>226.1</v>
      </c>
      <c r="F49" s="88">
        <f t="shared" si="0"/>
        <v>226.1</v>
      </c>
      <c r="G49" s="119">
        <f t="shared" si="0"/>
        <v>226.1</v>
      </c>
    </row>
    <row r="50" spans="1:7" x14ac:dyDescent="0.2">
      <c r="A50" s="294" t="s">
        <v>182</v>
      </c>
      <c r="B50" s="295" t="s">
        <v>154</v>
      </c>
      <c r="C50" s="49"/>
      <c r="D50" s="50"/>
      <c r="E50" s="50"/>
      <c r="F50" s="50"/>
      <c r="G50" s="72"/>
    </row>
    <row r="51" spans="1:7" x14ac:dyDescent="0.2">
      <c r="A51" s="294" t="s">
        <v>182</v>
      </c>
      <c r="B51" s="295" t="s">
        <v>155</v>
      </c>
      <c r="C51" s="51"/>
      <c r="D51" s="52"/>
      <c r="E51" s="52"/>
      <c r="F51" s="52"/>
      <c r="G51" s="60"/>
    </row>
    <row r="52" spans="1:7" x14ac:dyDescent="0.2">
      <c r="A52" s="294" t="s">
        <v>182</v>
      </c>
      <c r="B52" s="295" t="s">
        <v>156</v>
      </c>
      <c r="C52" s="51"/>
      <c r="D52" s="52"/>
      <c r="E52" s="52"/>
      <c r="F52" s="52"/>
      <c r="G52" s="60"/>
    </row>
    <row r="53" spans="1:7" x14ac:dyDescent="0.2">
      <c r="A53" s="294" t="s">
        <v>182</v>
      </c>
      <c r="B53" s="295" t="s">
        <v>157</v>
      </c>
      <c r="C53" s="51"/>
      <c r="D53" s="52"/>
      <c r="E53" s="52"/>
      <c r="F53" s="52"/>
      <c r="G53" s="60"/>
    </row>
    <row r="54" spans="1:7" x14ac:dyDescent="0.2">
      <c r="A54" s="294" t="s">
        <v>182</v>
      </c>
      <c r="B54" s="303" t="s">
        <v>159</v>
      </c>
      <c r="C54" s="53"/>
      <c r="D54" s="47"/>
      <c r="E54" s="47"/>
      <c r="F54" s="47"/>
      <c r="G54" s="48"/>
    </row>
    <row r="55" spans="1:7" x14ac:dyDescent="0.2">
      <c r="A55" s="294" t="s">
        <v>182</v>
      </c>
      <c r="B55" s="295" t="s">
        <v>175</v>
      </c>
      <c r="C55" s="51"/>
      <c r="D55" s="52"/>
      <c r="E55" s="52"/>
      <c r="F55" s="52"/>
      <c r="G55" s="60"/>
    </row>
    <row r="56" spans="1:7" ht="13.5" thickBot="1" x14ac:dyDescent="0.25">
      <c r="A56" s="304" t="s">
        <v>182</v>
      </c>
      <c r="B56" s="305" t="s">
        <v>158</v>
      </c>
      <c r="C56" s="92">
        <v>1E-3</v>
      </c>
      <c r="D56" s="93">
        <v>1E-3</v>
      </c>
      <c r="E56" s="93">
        <v>1E-3</v>
      </c>
      <c r="F56" s="93">
        <v>1E-3</v>
      </c>
      <c r="G56" s="120">
        <v>1E-3</v>
      </c>
    </row>
    <row r="57" spans="1:7" x14ac:dyDescent="0.2">
      <c r="A57" s="160"/>
      <c r="B57" s="161" t="s">
        <v>188</v>
      </c>
      <c r="C57" s="162">
        <f t="shared" ref="C57:G57" si="1">IF(C23&gt;0,SUM(C7:C56),SUM(C7:C22)+SUM(C24:C56))</f>
        <v>13975.101000000001</v>
      </c>
      <c r="D57" s="163">
        <f t="shared" si="1"/>
        <v>13975.101000000001</v>
      </c>
      <c r="E57" s="163">
        <f t="shared" si="1"/>
        <v>16715.140590752697</v>
      </c>
      <c r="F57" s="163">
        <f t="shared" si="1"/>
        <v>17057.907736746049</v>
      </c>
      <c r="G57" s="164">
        <f t="shared" si="1"/>
        <v>17358.234666598219</v>
      </c>
    </row>
    <row r="58" spans="1:7" x14ac:dyDescent="0.2">
      <c r="A58" s="160"/>
      <c r="B58" s="166" t="s">
        <v>189</v>
      </c>
      <c r="C58" s="167">
        <v>958.12347895999994</v>
      </c>
      <c r="D58" s="168">
        <v>957.87020066000002</v>
      </c>
      <c r="E58" s="168">
        <v>460.07616329999991</v>
      </c>
      <c r="F58" s="168">
        <v>460.93718082000004</v>
      </c>
      <c r="G58" s="169">
        <v>463.12308167999998</v>
      </c>
    </row>
    <row r="59" spans="1:7" x14ac:dyDescent="0.2">
      <c r="A59" s="160"/>
      <c r="B59" s="166" t="s">
        <v>190</v>
      </c>
      <c r="C59" s="167">
        <f t="shared" ref="C59:G59" si="2">IF(C23&gt;0,C6,C6+C23)</f>
        <v>-26933.224478959997</v>
      </c>
      <c r="D59" s="168">
        <f t="shared" si="2"/>
        <v>-26932.971200659998</v>
      </c>
      <c r="E59" s="168">
        <f t="shared" si="2"/>
        <v>-29175.216754052701</v>
      </c>
      <c r="F59" s="168">
        <f t="shared" si="2"/>
        <v>-29518.844917566101</v>
      </c>
      <c r="G59" s="169">
        <f t="shared" si="2"/>
        <v>-29821.357748278235</v>
      </c>
    </row>
    <row r="60" spans="1:7" ht="13.5" thickBot="1" x14ac:dyDescent="0.25">
      <c r="A60" s="160"/>
      <c r="B60" s="170" t="s">
        <v>191</v>
      </c>
      <c r="C60" s="171">
        <f>C59+C58+C57</f>
        <v>-11999.999999999998</v>
      </c>
      <c r="D60" s="172">
        <f t="shared" ref="D60:G60" si="3">D59+D58+D57</f>
        <v>-11999.999999999998</v>
      </c>
      <c r="E60" s="172">
        <f t="shared" si="3"/>
        <v>-12000.000000000004</v>
      </c>
      <c r="F60" s="172">
        <f t="shared" si="3"/>
        <v>-12000.000000000051</v>
      </c>
      <c r="G60" s="173">
        <f t="shared" si="3"/>
        <v>-12000.000000000015</v>
      </c>
    </row>
    <row r="61" spans="1:7" x14ac:dyDescent="0.2">
      <c r="C61" s="471">
        <f>-C59-C58</f>
        <v>25975.100999999999</v>
      </c>
      <c r="D61" s="471">
        <f t="shared" ref="D61:G61" si="4">-D59-D58</f>
        <v>25975.100999999999</v>
      </c>
      <c r="E61" s="471">
        <f t="shared" si="4"/>
        <v>28715.140590752701</v>
      </c>
      <c r="F61" s="471">
        <f t="shared" si="4"/>
        <v>29057.9077367461</v>
      </c>
      <c r="G61" s="471">
        <f t="shared" si="4"/>
        <v>29358.234666598233</v>
      </c>
    </row>
    <row r="63" spans="1:7" x14ac:dyDescent="0.2">
      <c r="A63" s="160"/>
      <c r="B63" s="393"/>
      <c r="C63" s="398" t="s">
        <v>343</v>
      </c>
      <c r="D63" s="399" t="s">
        <v>344</v>
      </c>
      <c r="E63" s="399" t="s">
        <v>345</v>
      </c>
      <c r="F63" s="399" t="s">
        <v>346</v>
      </c>
      <c r="G63" s="399" t="s">
        <v>347</v>
      </c>
    </row>
    <row r="64" spans="1:7" x14ac:dyDescent="0.2">
      <c r="A64" s="160"/>
      <c r="B64" s="350" t="s">
        <v>228</v>
      </c>
      <c r="C64" s="400">
        <v>12000</v>
      </c>
      <c r="D64" s="400">
        <f t="shared" ref="D64:G64" si="5">+C64</f>
        <v>12000</v>
      </c>
      <c r="E64" s="400">
        <f t="shared" si="5"/>
        <v>12000</v>
      </c>
      <c r="F64" s="400">
        <f t="shared" si="5"/>
        <v>12000</v>
      </c>
      <c r="G64" s="400">
        <f t="shared" si="5"/>
        <v>12000</v>
      </c>
    </row>
    <row r="65" spans="1:7" x14ac:dyDescent="0.2">
      <c r="A65" s="160"/>
      <c r="B65" s="391" t="s">
        <v>229</v>
      </c>
      <c r="C65" s="287">
        <f>-C60</f>
        <v>11999.999999999998</v>
      </c>
      <c r="D65" s="287">
        <f t="shared" ref="D65:G65" si="6">-D60</f>
        <v>11999.999999999998</v>
      </c>
      <c r="E65" s="287">
        <f t="shared" si="6"/>
        <v>12000.000000000004</v>
      </c>
      <c r="F65" s="287">
        <f t="shared" si="6"/>
        <v>12000.000000000051</v>
      </c>
      <c r="G65" s="287">
        <f t="shared" si="6"/>
        <v>12000.000000000015</v>
      </c>
    </row>
    <row r="66" spans="1:7" x14ac:dyDescent="0.2">
      <c r="A66" s="160"/>
      <c r="B66" s="392" t="s">
        <v>230</v>
      </c>
      <c r="C66" s="288">
        <f>-'Cenário Ref'!C59-'Cenário Ref'!C58-C64</f>
        <v>13975.100999999999</v>
      </c>
      <c r="D66" s="288">
        <f>-'Cenário Ref'!D59-'Cenário Ref'!D58-D64</f>
        <v>13975.100999999999</v>
      </c>
      <c r="E66" s="288">
        <f>-'Cenário Ref'!E59-'Cenário Ref'!E58-E64</f>
        <v>16715.140590752701</v>
      </c>
      <c r="F66" s="288">
        <f>-'Cenário Ref'!F59-'Cenário Ref'!F58-F64</f>
        <v>17057.9077367461</v>
      </c>
      <c r="G66" s="288">
        <f>-'Cenário Ref'!G59-'Cenário Ref'!G58-G64</f>
        <v>17358.234666598233</v>
      </c>
    </row>
    <row r="67" spans="1:7" x14ac:dyDescent="0.2">
      <c r="A67" s="160"/>
      <c r="B67" s="401" t="s">
        <v>231</v>
      </c>
      <c r="C67" s="402">
        <f>-'Cenário Ref'!C59-C58-C65</f>
        <v>13975.101000000001</v>
      </c>
      <c r="D67" s="402">
        <f>-'Cenário Ref'!D59-D58-D65</f>
        <v>13975.101000000001</v>
      </c>
      <c r="E67" s="402">
        <f>-'Cenário Ref'!E59-E58-E65</f>
        <v>16715.140590752697</v>
      </c>
      <c r="F67" s="402">
        <f>-'Cenário Ref'!F59-F58-F65</f>
        <v>17057.907736746049</v>
      </c>
      <c r="G67" s="402">
        <f>-'Cenário Ref'!G59-G58-G65</f>
        <v>17358.234666598219</v>
      </c>
    </row>
    <row r="68" spans="1:7" x14ac:dyDescent="0.2">
      <c r="A68" s="176"/>
      <c r="B68" s="68"/>
      <c r="C68" s="69">
        <f>C66-C67</f>
        <v>0</v>
      </c>
      <c r="D68" s="69">
        <f>D66-D67</f>
        <v>0</v>
      </c>
      <c r="E68" s="69">
        <f>E66-E67</f>
        <v>0</v>
      </c>
      <c r="F68" s="69">
        <f>F66-F67</f>
        <v>5.0931703299283981E-11</v>
      </c>
      <c r="G68" s="69">
        <f>G66-G67</f>
        <v>0</v>
      </c>
    </row>
    <row r="69" spans="1:7" ht="13.5" thickBot="1" x14ac:dyDescent="0.25">
      <c r="A69" s="160"/>
      <c r="B69" s="393" t="s">
        <v>232</v>
      </c>
      <c r="C69" s="387" t="s">
        <v>343</v>
      </c>
      <c r="D69" s="388" t="s">
        <v>344</v>
      </c>
      <c r="E69" s="388" t="s">
        <v>345</v>
      </c>
      <c r="F69" s="388" t="s">
        <v>346</v>
      </c>
      <c r="G69" s="388" t="s">
        <v>347</v>
      </c>
    </row>
    <row r="70" spans="1:7" ht="13.5" thickTop="1" x14ac:dyDescent="0.2">
      <c r="A70" s="160"/>
      <c r="B70" s="394" t="s">
        <v>41</v>
      </c>
      <c r="C70" s="395">
        <v>30080</v>
      </c>
      <c r="D70" s="395">
        <f>+C70</f>
        <v>30080</v>
      </c>
      <c r="E70" s="395">
        <f>+D70</f>
        <v>30080</v>
      </c>
      <c r="F70" s="395">
        <f>+E70</f>
        <v>30080</v>
      </c>
      <c r="G70" s="395">
        <f>+F70</f>
        <v>30080</v>
      </c>
    </row>
    <row r="71" spans="1:7" x14ac:dyDescent="0.2">
      <c r="A71" s="160"/>
      <c r="B71" s="391" t="s">
        <v>233</v>
      </c>
      <c r="C71" s="287">
        <f>+C70-C64</f>
        <v>18080</v>
      </c>
      <c r="D71" s="287">
        <f t="shared" ref="D71:G71" si="7">+D70-D64</f>
        <v>18080</v>
      </c>
      <c r="E71" s="287">
        <f t="shared" si="7"/>
        <v>18080</v>
      </c>
      <c r="F71" s="287">
        <f t="shared" si="7"/>
        <v>18080</v>
      </c>
      <c r="G71" s="287">
        <f t="shared" si="7"/>
        <v>18080</v>
      </c>
    </row>
    <row r="72" spans="1:7" x14ac:dyDescent="0.2">
      <c r="A72" s="160"/>
      <c r="B72" s="396" t="s">
        <v>234</v>
      </c>
      <c r="C72" s="397">
        <f>C70-C65</f>
        <v>18080</v>
      </c>
      <c r="D72" s="397">
        <f t="shared" ref="D72:G72" si="8">D70-D65</f>
        <v>18080</v>
      </c>
      <c r="E72" s="397">
        <f t="shared" si="8"/>
        <v>18079.999999999996</v>
      </c>
      <c r="F72" s="397">
        <f t="shared" si="8"/>
        <v>18079.999999999949</v>
      </c>
      <c r="G72" s="397">
        <f t="shared" si="8"/>
        <v>18079.999999999985</v>
      </c>
    </row>
    <row r="73" spans="1:7" x14ac:dyDescent="0.2">
      <c r="A73" s="160"/>
      <c r="B73" s="132"/>
      <c r="C73" s="132"/>
      <c r="D73" s="132"/>
      <c r="E73" s="132"/>
      <c r="F73" s="132"/>
      <c r="G73" s="132"/>
    </row>
    <row r="74" spans="1:7" ht="13.5" thickBot="1" x14ac:dyDescent="0.25">
      <c r="A74" s="160"/>
      <c r="B74" s="386" t="s">
        <v>230</v>
      </c>
      <c r="C74" s="387" t="s">
        <v>343</v>
      </c>
      <c r="D74" s="388" t="s">
        <v>344</v>
      </c>
      <c r="E74" s="388" t="s">
        <v>345</v>
      </c>
      <c r="F74" s="388" t="s">
        <v>346</v>
      </c>
      <c r="G74" s="388" t="s">
        <v>347</v>
      </c>
    </row>
    <row r="75" spans="1:7" ht="13.5" thickTop="1" x14ac:dyDescent="0.2">
      <c r="A75" s="160"/>
      <c r="B75" s="389" t="s">
        <v>41</v>
      </c>
      <c r="C75" s="390">
        <f>SUM(C76:C77)</f>
        <v>13975.101000000001</v>
      </c>
      <c r="D75" s="390">
        <f t="shared" ref="D75:G75" si="9">SUM(D76:D77)</f>
        <v>13975.101000000001</v>
      </c>
      <c r="E75" s="390">
        <f t="shared" si="9"/>
        <v>16715.140590752693</v>
      </c>
      <c r="F75" s="390">
        <f t="shared" si="9"/>
        <v>17057.907736746103</v>
      </c>
      <c r="G75" s="390">
        <f t="shared" si="9"/>
        <v>17358.234666598215</v>
      </c>
    </row>
    <row r="76" spans="1:7" x14ac:dyDescent="0.2">
      <c r="A76" s="160"/>
      <c r="B76" s="391" t="s">
        <v>260</v>
      </c>
      <c r="C76" s="287">
        <v>13975.101000000001</v>
      </c>
      <c r="D76" s="287">
        <v>13975.101000000001</v>
      </c>
      <c r="E76" s="287">
        <v>13715.140590752693</v>
      </c>
      <c r="F76" s="287">
        <v>14057.907736746103</v>
      </c>
      <c r="G76" s="287">
        <v>14358.234666598215</v>
      </c>
    </row>
    <row r="77" spans="1:7" x14ac:dyDescent="0.2">
      <c r="A77" s="160"/>
      <c r="B77" s="392" t="s">
        <v>185</v>
      </c>
      <c r="C77" s="288">
        <v>0</v>
      </c>
      <c r="D77" s="288">
        <v>0</v>
      </c>
      <c r="E77" s="288">
        <v>3000</v>
      </c>
      <c r="F77" s="288">
        <v>3000</v>
      </c>
      <c r="G77" s="288">
        <v>3000</v>
      </c>
    </row>
    <row r="78" spans="1:7" x14ac:dyDescent="0.2">
      <c r="A78" s="160"/>
      <c r="B78" s="132"/>
      <c r="C78" s="132"/>
      <c r="D78" s="132"/>
      <c r="E78" s="132"/>
      <c r="F78" s="132"/>
      <c r="G78" s="132"/>
    </row>
    <row r="79" spans="1:7" ht="13.5" thickBot="1" x14ac:dyDescent="0.25">
      <c r="A79" s="160"/>
      <c r="B79" s="386" t="s">
        <v>231</v>
      </c>
      <c r="C79" s="387" t="s">
        <v>343</v>
      </c>
      <c r="D79" s="388" t="s">
        <v>344</v>
      </c>
      <c r="E79" s="388" t="s">
        <v>345</v>
      </c>
      <c r="F79" s="388" t="s">
        <v>346</v>
      </c>
      <c r="G79" s="388" t="s">
        <v>347</v>
      </c>
    </row>
    <row r="80" spans="1:7" ht="13.5" thickTop="1" x14ac:dyDescent="0.2">
      <c r="B80" s="389" t="s">
        <v>41</v>
      </c>
      <c r="C80" s="390">
        <f t="shared" ref="C80:G80" si="10">+C67</f>
        <v>13975.101000000001</v>
      </c>
      <c r="D80" s="390">
        <f t="shared" si="10"/>
        <v>13975.101000000001</v>
      </c>
      <c r="E80" s="390">
        <f t="shared" si="10"/>
        <v>16715.140590752697</v>
      </c>
      <c r="F80" s="390">
        <f t="shared" si="10"/>
        <v>17057.907736746049</v>
      </c>
      <c r="G80" s="390">
        <f t="shared" si="10"/>
        <v>17358.234666598219</v>
      </c>
    </row>
    <row r="81" spans="2:7" x14ac:dyDescent="0.2">
      <c r="B81" s="391" t="s">
        <v>176</v>
      </c>
      <c r="C81" s="287">
        <f t="shared" ref="C81:G81" si="11">+C7+C8+C9+C10</f>
        <v>95.104404000000002</v>
      </c>
      <c r="D81" s="287">
        <f t="shared" si="11"/>
        <v>105.84199800000002</v>
      </c>
      <c r="E81" s="287">
        <f t="shared" si="11"/>
        <v>2212.2003639999971</v>
      </c>
      <c r="F81" s="287">
        <f t="shared" si="11"/>
        <v>2216.520467422366</v>
      </c>
      <c r="G81" s="287">
        <f t="shared" si="11"/>
        <v>2220.8561877422935</v>
      </c>
    </row>
    <row r="82" spans="2:7" x14ac:dyDescent="0.2">
      <c r="B82" s="392" t="s">
        <v>177</v>
      </c>
      <c r="C82" s="288">
        <f t="shared" ref="C82:G82" si="12">+C11+C12+C13+C14+C15+C16+C17</f>
        <v>800.28191281405316</v>
      </c>
      <c r="D82" s="288">
        <f t="shared" si="12"/>
        <v>832.77847137061849</v>
      </c>
      <c r="E82" s="288">
        <f t="shared" si="12"/>
        <v>865.52474011730442</v>
      </c>
      <c r="F82" s="288">
        <f t="shared" si="12"/>
        <v>898.46545132504957</v>
      </c>
      <c r="G82" s="288">
        <f t="shared" si="12"/>
        <v>931.5252410969249</v>
      </c>
    </row>
    <row r="83" spans="2:7" x14ac:dyDescent="0.2">
      <c r="B83" s="391" t="s">
        <v>178</v>
      </c>
      <c r="C83" s="287">
        <f t="shared" ref="C83:G83" si="13">IF(C23&gt;0,+C18+C19+C20+C21+C22+C24+C25+C26+C27+C28+C29+C30+C31+C32+C23,+C18+C19+C20+C21+C22+C24+C25+C26+C27+C28+C29+C30+C31+C32)</f>
        <v>10181.199722586178</v>
      </c>
      <c r="D83" s="287">
        <f t="shared" si="13"/>
        <v>10047.721323911184</v>
      </c>
      <c r="E83" s="287">
        <f t="shared" si="13"/>
        <v>10556.315688314709</v>
      </c>
      <c r="F83" s="287">
        <f t="shared" si="13"/>
        <v>10767.395828916126</v>
      </c>
      <c r="G83" s="287">
        <f t="shared" si="13"/>
        <v>10979.239010725141</v>
      </c>
    </row>
    <row r="84" spans="2:7" x14ac:dyDescent="0.2">
      <c r="B84" s="392" t="s">
        <v>179</v>
      </c>
      <c r="C84" s="288">
        <f t="shared" ref="C84:G84" si="14">+C33+C34+C35+C36</f>
        <v>1173.0158602708207</v>
      </c>
      <c r="D84" s="288">
        <f t="shared" si="14"/>
        <v>1220.6477984424976</v>
      </c>
      <c r="E84" s="288">
        <f t="shared" si="14"/>
        <v>1268.6457501511456</v>
      </c>
      <c r="F84" s="288">
        <f t="shared" si="14"/>
        <v>1316.9287065401197</v>
      </c>
      <c r="G84" s="288">
        <f t="shared" si="14"/>
        <v>1320.0000000000005</v>
      </c>
    </row>
    <row r="85" spans="2:7" x14ac:dyDescent="0.2">
      <c r="B85" s="391" t="s">
        <v>180</v>
      </c>
      <c r="C85" s="287">
        <f t="shared" ref="C85:G85" si="15">+C37+C38+C39+C40</f>
        <v>1E-3</v>
      </c>
      <c r="D85" s="287">
        <f t="shared" si="15"/>
        <v>1E-3</v>
      </c>
      <c r="E85" s="287">
        <f t="shared" si="15"/>
        <v>1E-3</v>
      </c>
      <c r="F85" s="287">
        <f t="shared" si="15"/>
        <v>1E-3</v>
      </c>
      <c r="G85" s="287">
        <f t="shared" si="15"/>
        <v>1E-3</v>
      </c>
    </row>
    <row r="86" spans="2:7" x14ac:dyDescent="0.2">
      <c r="B86" s="392" t="s">
        <v>181</v>
      </c>
      <c r="C86" s="288">
        <f t="shared" ref="C86:G86" si="16">+C41+C42+C43+C44+C45+C46+C47+C48+C49</f>
        <v>1725.497100328947</v>
      </c>
      <c r="D86" s="288">
        <f t="shared" si="16"/>
        <v>1768.1094082756979</v>
      </c>
      <c r="E86" s="288">
        <f t="shared" si="16"/>
        <v>1812.4520481695395</v>
      </c>
      <c r="F86" s="288">
        <f t="shared" si="16"/>
        <v>1858.5952825423894</v>
      </c>
      <c r="G86" s="288">
        <f t="shared" si="16"/>
        <v>1906.6122270338572</v>
      </c>
    </row>
    <row r="87" spans="2:7" x14ac:dyDescent="0.2">
      <c r="B87" s="391" t="s">
        <v>182</v>
      </c>
      <c r="C87" s="287">
        <f t="shared" ref="C87:G87" si="17">+C50+C51+C52+C53+C54+C55+C56</f>
        <v>1E-3</v>
      </c>
      <c r="D87" s="287">
        <f t="shared" si="17"/>
        <v>1E-3</v>
      </c>
      <c r="E87" s="287">
        <f t="shared" si="17"/>
        <v>1E-3</v>
      </c>
      <c r="F87" s="287">
        <f t="shared" si="17"/>
        <v>1E-3</v>
      </c>
      <c r="G87" s="287">
        <f t="shared" si="17"/>
        <v>1E-3</v>
      </c>
    </row>
    <row r="90" spans="2:7" x14ac:dyDescent="0.2">
      <c r="C90" s="239"/>
      <c r="D90" s="239"/>
      <c r="E90" s="239"/>
      <c r="F90" s="239"/>
      <c r="G90" s="239"/>
    </row>
    <row r="205" s="124" customFormat="1" x14ac:dyDescent="0.2"/>
    <row r="218" s="124" customFormat="1" x14ac:dyDescent="0.2"/>
  </sheetData>
  <mergeCells count="1">
    <mergeCell ref="A5:A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Z58"/>
  <sheetViews>
    <sheetView showGridLines="0" workbookViewId="0">
      <selection activeCell="AB23" sqref="AB23"/>
    </sheetView>
  </sheetViews>
  <sheetFormatPr defaultRowHeight="12.75" x14ac:dyDescent="0.2"/>
  <cols>
    <col min="1" max="1" width="9.140625" style="122"/>
    <col min="2" max="2" width="21" style="122" bestFit="1" customWidth="1"/>
    <col min="3" max="12" width="9.140625" style="122"/>
    <col min="13" max="26" width="0" style="122" hidden="1" customWidth="1"/>
    <col min="27" max="16384" width="9.140625" style="122"/>
  </cols>
  <sheetData>
    <row r="4" spans="2:26" s="132" customFormat="1" ht="15" x14ac:dyDescent="0.25">
      <c r="B4" s="178" t="s">
        <v>198</v>
      </c>
      <c r="C4" s="179">
        <v>25975.100999999999</v>
      </c>
      <c r="D4" s="179"/>
      <c r="E4" s="179">
        <v>25975.100999999999</v>
      </c>
      <c r="F4" s="179"/>
      <c r="G4" s="179">
        <v>28715.140590752701</v>
      </c>
      <c r="H4" s="179"/>
      <c r="I4" s="179">
        <v>29057.9077367461</v>
      </c>
      <c r="J4" s="179"/>
      <c r="K4" s="179">
        <v>29358.234666598233</v>
      </c>
      <c r="L4" s="179"/>
      <c r="M4" s="179" t="e">
        <f>(M5+M6)*-1</f>
        <v>#REF!</v>
      </c>
      <c r="N4" s="179"/>
      <c r="O4" s="179" t="e">
        <f>(O5+O6)*-1</f>
        <v>#REF!</v>
      </c>
      <c r="P4" s="179"/>
      <c r="Q4" s="179" t="e">
        <f>(Q5+Q6)*-1</f>
        <v>#REF!</v>
      </c>
      <c r="R4" s="179"/>
      <c r="S4" s="179" t="e">
        <f>(S5+S6)*-1</f>
        <v>#REF!</v>
      </c>
      <c r="T4" s="179"/>
      <c r="U4" s="179" t="e">
        <f>(U5+U6)*-1</f>
        <v>#REF!</v>
      </c>
      <c r="V4" s="179"/>
      <c r="W4" s="179" t="e">
        <f>(W5+W6)*-1</f>
        <v>#REF!</v>
      </c>
      <c r="X4" s="179"/>
      <c r="Y4" s="180"/>
      <c r="Z4" s="180"/>
    </row>
    <row r="5" spans="2:26" s="132" customFormat="1" x14ac:dyDescent="0.2">
      <c r="B5" s="181" t="s">
        <v>186</v>
      </c>
      <c r="C5" s="669">
        <v>-25975.100999999999</v>
      </c>
      <c r="D5" s="670"/>
      <c r="E5" s="669">
        <v>-25975.100999999999</v>
      </c>
      <c r="F5" s="670"/>
      <c r="G5" s="669">
        <v>-18975.100999999999</v>
      </c>
      <c r="H5" s="670"/>
      <c r="I5" s="669">
        <v>-18975.100999999999</v>
      </c>
      <c r="J5" s="670"/>
      <c r="K5" s="669">
        <v>-18929.714797271732</v>
      </c>
      <c r="L5" s="670"/>
      <c r="M5" s="669" t="e">
        <f>+'Cenário Ref'!#REF!+'Cenário Ref'!#REF!</f>
        <v>#REF!</v>
      </c>
      <c r="N5" s="670"/>
      <c r="O5" s="669" t="e">
        <f>+'Cenário Ref'!#REF!+'Cenário Ref'!#REF!</f>
        <v>#REF!</v>
      </c>
      <c r="P5" s="670"/>
      <c r="Q5" s="669" t="e">
        <f>+'Cenário Ref'!#REF!+'Cenário Ref'!#REF!</f>
        <v>#REF!</v>
      </c>
      <c r="R5" s="670"/>
      <c r="S5" s="669" t="e">
        <f>+'Cenário Ref'!#REF!+'Cenário Ref'!#REF!</f>
        <v>#REF!</v>
      </c>
      <c r="T5" s="670"/>
      <c r="U5" s="669" t="e">
        <f>+'Cenário Ref'!#REF!+'Cenário Ref'!#REF!</f>
        <v>#REF!</v>
      </c>
      <c r="V5" s="670"/>
      <c r="W5" s="669" t="e">
        <f>+'Cenário Ref'!#REF!+'Cenário Ref'!#REF!</f>
        <v>#REF!</v>
      </c>
      <c r="X5" s="670"/>
      <c r="Y5" s="671"/>
      <c r="Z5" s="672"/>
    </row>
    <row r="6" spans="2:26" s="132" customFormat="1" ht="13.5" thickBot="1" x14ac:dyDescent="0.25">
      <c r="B6" s="182" t="s">
        <v>187</v>
      </c>
      <c r="C6" s="664">
        <v>0</v>
      </c>
      <c r="D6" s="665"/>
      <c r="E6" s="664">
        <v>0</v>
      </c>
      <c r="F6" s="665"/>
      <c r="G6" s="664">
        <v>-9740.0395907527</v>
      </c>
      <c r="H6" s="665"/>
      <c r="I6" s="664">
        <v>-10082.806736746101</v>
      </c>
      <c r="J6" s="665"/>
      <c r="K6" s="664">
        <v>-10428.519869326499</v>
      </c>
      <c r="L6" s="665"/>
      <c r="M6" s="664" t="e">
        <f>IF(+'Cenário Ref'!#REF!&lt;0,'Cenário Ref'!#REF!,0)</f>
        <v>#REF!</v>
      </c>
      <c r="N6" s="665"/>
      <c r="O6" s="664" t="e">
        <f>IF(+'Cenário Ref'!#REF!&lt;0,'Cenário Ref'!#REF!,0)</f>
        <v>#REF!</v>
      </c>
      <c r="P6" s="665"/>
      <c r="Q6" s="664" t="e">
        <f>IF(+'Cenário Ref'!#REF!&lt;0,'Cenário Ref'!#REF!,0)</f>
        <v>#REF!</v>
      </c>
      <c r="R6" s="665"/>
      <c r="S6" s="664" t="e">
        <f>IF(+'Cenário Ref'!#REF!&lt;0,'Cenário Ref'!#REF!,0)</f>
        <v>#REF!</v>
      </c>
      <c r="T6" s="665"/>
      <c r="U6" s="664" t="e">
        <f>IF(+'Cenário Ref'!#REF!&lt;0,'Cenário Ref'!#REF!,0)</f>
        <v>#REF!</v>
      </c>
      <c r="V6" s="665"/>
      <c r="W6" s="664" t="e">
        <f>IF(+'Cenário Ref'!#REF!&lt;0,'Cenário Ref'!#REF!,0)</f>
        <v>#REF!</v>
      </c>
      <c r="X6" s="665"/>
      <c r="Y6" s="673"/>
      <c r="Z6" s="674"/>
    </row>
    <row r="7" spans="2:26" s="132" customFormat="1" x14ac:dyDescent="0.2">
      <c r="B7" s="183"/>
      <c r="C7" s="668">
        <v>2020</v>
      </c>
      <c r="D7" s="663"/>
      <c r="E7" s="662">
        <v>2021</v>
      </c>
      <c r="F7" s="663"/>
      <c r="G7" s="662">
        <v>2022</v>
      </c>
      <c r="H7" s="663"/>
      <c r="I7" s="662">
        <v>2023</v>
      </c>
      <c r="J7" s="663"/>
      <c r="K7" s="662">
        <v>2024</v>
      </c>
      <c r="L7" s="663"/>
      <c r="M7" s="666">
        <v>2025</v>
      </c>
      <c r="N7" s="667"/>
      <c r="O7" s="666">
        <v>2026</v>
      </c>
      <c r="P7" s="667"/>
      <c r="Q7" s="666">
        <v>2027</v>
      </c>
      <c r="R7" s="667"/>
      <c r="S7" s="666">
        <v>2028</v>
      </c>
      <c r="T7" s="667"/>
      <c r="U7" s="666">
        <v>2029</v>
      </c>
      <c r="V7" s="667"/>
      <c r="W7" s="666">
        <v>2030</v>
      </c>
      <c r="X7" s="677"/>
      <c r="Y7" s="675">
        <v>2030</v>
      </c>
      <c r="Z7" s="676"/>
    </row>
    <row r="8" spans="2:26" s="132" customFormat="1" ht="13.5" customHeight="1" thickBot="1" x14ac:dyDescent="0.25">
      <c r="B8" s="184" t="s">
        <v>193</v>
      </c>
      <c r="C8" s="185" t="s">
        <v>194</v>
      </c>
      <c r="D8" s="186" t="s">
        <v>195</v>
      </c>
      <c r="E8" s="187" t="s">
        <v>194</v>
      </c>
      <c r="F8" s="186" t="s">
        <v>195</v>
      </c>
      <c r="G8" s="187" t="s">
        <v>194</v>
      </c>
      <c r="H8" s="186" t="s">
        <v>195</v>
      </c>
      <c r="I8" s="187" t="s">
        <v>194</v>
      </c>
      <c r="J8" s="186" t="s">
        <v>195</v>
      </c>
      <c r="K8" s="187" t="s">
        <v>194</v>
      </c>
      <c r="L8" s="186" t="s">
        <v>195</v>
      </c>
      <c r="M8" s="188" t="s">
        <v>194</v>
      </c>
      <c r="N8" s="189" t="s">
        <v>195</v>
      </c>
      <c r="O8" s="188" t="s">
        <v>194</v>
      </c>
      <c r="P8" s="189" t="s">
        <v>195</v>
      </c>
      <c r="Q8" s="188" t="s">
        <v>194</v>
      </c>
      <c r="R8" s="189" t="s">
        <v>195</v>
      </c>
      <c r="S8" s="188" t="s">
        <v>194</v>
      </c>
      <c r="T8" s="189" t="s">
        <v>195</v>
      </c>
      <c r="U8" s="188" t="s">
        <v>194</v>
      </c>
      <c r="V8" s="189" t="s">
        <v>195</v>
      </c>
      <c r="W8" s="190" t="s">
        <v>194</v>
      </c>
      <c r="X8" s="191" t="s">
        <v>195</v>
      </c>
      <c r="Y8" s="192" t="s">
        <v>194</v>
      </c>
      <c r="Z8" s="193" t="s">
        <v>195</v>
      </c>
    </row>
    <row r="9" spans="2:26" s="132" customFormat="1" x14ac:dyDescent="0.2">
      <c r="B9" s="293" t="s">
        <v>129</v>
      </c>
      <c r="C9" s="77">
        <v>1</v>
      </c>
      <c r="D9" s="78">
        <v>0</v>
      </c>
      <c r="E9" s="79">
        <v>1</v>
      </c>
      <c r="F9" s="78">
        <v>0</v>
      </c>
      <c r="G9" s="79">
        <v>1</v>
      </c>
      <c r="H9" s="78">
        <v>0</v>
      </c>
      <c r="I9" s="79">
        <v>1</v>
      </c>
      <c r="J9" s="78">
        <v>0</v>
      </c>
      <c r="K9" s="79">
        <v>1</v>
      </c>
      <c r="L9" s="78">
        <v>0</v>
      </c>
      <c r="M9" s="79">
        <v>1</v>
      </c>
      <c r="N9" s="78">
        <v>0</v>
      </c>
      <c r="O9" s="79">
        <v>1</v>
      </c>
      <c r="P9" s="78">
        <v>0</v>
      </c>
      <c r="Q9" s="79">
        <v>1</v>
      </c>
      <c r="R9" s="78">
        <v>0</v>
      </c>
      <c r="S9" s="79">
        <v>1</v>
      </c>
      <c r="T9" s="78">
        <v>0</v>
      </c>
      <c r="U9" s="79">
        <v>1</v>
      </c>
      <c r="V9" s="78">
        <v>0</v>
      </c>
      <c r="W9" s="79">
        <v>1</v>
      </c>
      <c r="X9" s="78">
        <v>0</v>
      </c>
      <c r="Y9" s="194">
        <f t="shared" ref="Y9:Y24" si="0">+(C9+E9+G9+I9+K9)/5</f>
        <v>1</v>
      </c>
      <c r="Z9" s="195">
        <f t="shared" ref="Z9:Z24" si="1">+(D9+F9+H9+J9+L9)/5</f>
        <v>0</v>
      </c>
    </row>
    <row r="10" spans="2:26" s="132" customFormat="1" x14ac:dyDescent="0.2">
      <c r="B10" s="295" t="s">
        <v>130</v>
      </c>
      <c r="C10" s="77">
        <v>1</v>
      </c>
      <c r="D10" s="78">
        <v>0</v>
      </c>
      <c r="E10" s="79">
        <v>1</v>
      </c>
      <c r="F10" s="78">
        <v>0</v>
      </c>
      <c r="G10" s="79">
        <v>1</v>
      </c>
      <c r="H10" s="78">
        <v>0</v>
      </c>
      <c r="I10" s="79">
        <v>1</v>
      </c>
      <c r="J10" s="78">
        <v>0</v>
      </c>
      <c r="K10" s="79">
        <v>1</v>
      </c>
      <c r="L10" s="78">
        <v>0</v>
      </c>
      <c r="M10" s="79">
        <v>1</v>
      </c>
      <c r="N10" s="78">
        <v>0</v>
      </c>
      <c r="O10" s="79">
        <v>1</v>
      </c>
      <c r="P10" s="78">
        <v>0</v>
      </c>
      <c r="Q10" s="79">
        <v>1</v>
      </c>
      <c r="R10" s="78">
        <v>0</v>
      </c>
      <c r="S10" s="79">
        <v>1</v>
      </c>
      <c r="T10" s="78">
        <v>0</v>
      </c>
      <c r="U10" s="79">
        <v>1</v>
      </c>
      <c r="V10" s="78">
        <v>0</v>
      </c>
      <c r="W10" s="79">
        <v>1</v>
      </c>
      <c r="X10" s="78">
        <v>0</v>
      </c>
      <c r="Y10" s="194">
        <f t="shared" si="0"/>
        <v>1</v>
      </c>
      <c r="Z10" s="195">
        <f t="shared" si="1"/>
        <v>0</v>
      </c>
    </row>
    <row r="11" spans="2:26" s="132" customFormat="1" x14ac:dyDescent="0.2">
      <c r="B11" s="295" t="s">
        <v>160</v>
      </c>
      <c r="C11" s="77">
        <v>1</v>
      </c>
      <c r="D11" s="78">
        <v>0</v>
      </c>
      <c r="E11" s="79">
        <v>1</v>
      </c>
      <c r="F11" s="78">
        <v>0</v>
      </c>
      <c r="G11" s="79">
        <v>1</v>
      </c>
      <c r="H11" s="78">
        <v>0</v>
      </c>
      <c r="I11" s="79">
        <v>1</v>
      </c>
      <c r="J11" s="78">
        <v>0</v>
      </c>
      <c r="K11" s="79">
        <v>1</v>
      </c>
      <c r="L11" s="78">
        <v>0</v>
      </c>
      <c r="M11" s="79">
        <v>1</v>
      </c>
      <c r="N11" s="78">
        <v>0</v>
      </c>
      <c r="O11" s="79">
        <v>1</v>
      </c>
      <c r="P11" s="78">
        <v>0</v>
      </c>
      <c r="Q11" s="79">
        <v>1</v>
      </c>
      <c r="R11" s="78">
        <v>0</v>
      </c>
      <c r="S11" s="79">
        <v>1</v>
      </c>
      <c r="T11" s="78">
        <v>0</v>
      </c>
      <c r="U11" s="79">
        <v>1</v>
      </c>
      <c r="V11" s="78">
        <v>0</v>
      </c>
      <c r="W11" s="79">
        <v>1</v>
      </c>
      <c r="X11" s="78">
        <v>0</v>
      </c>
      <c r="Y11" s="194">
        <f t="shared" si="0"/>
        <v>1</v>
      </c>
      <c r="Z11" s="195">
        <f t="shared" si="1"/>
        <v>0</v>
      </c>
    </row>
    <row r="12" spans="2:26" s="132" customFormat="1" x14ac:dyDescent="0.2">
      <c r="B12" s="295" t="s">
        <v>161</v>
      </c>
      <c r="C12" s="77">
        <v>1</v>
      </c>
      <c r="D12" s="78">
        <v>0</v>
      </c>
      <c r="E12" s="79">
        <v>1</v>
      </c>
      <c r="F12" s="78">
        <v>0</v>
      </c>
      <c r="G12" s="79">
        <v>1</v>
      </c>
      <c r="H12" s="78">
        <v>0</v>
      </c>
      <c r="I12" s="79">
        <v>1</v>
      </c>
      <c r="J12" s="78">
        <v>0</v>
      </c>
      <c r="K12" s="79">
        <v>1</v>
      </c>
      <c r="L12" s="78">
        <v>0</v>
      </c>
      <c r="M12" s="79">
        <v>1</v>
      </c>
      <c r="N12" s="78">
        <v>0</v>
      </c>
      <c r="O12" s="79">
        <v>1</v>
      </c>
      <c r="P12" s="78">
        <v>0</v>
      </c>
      <c r="Q12" s="79">
        <v>1</v>
      </c>
      <c r="R12" s="78">
        <v>0</v>
      </c>
      <c r="S12" s="79">
        <v>1</v>
      </c>
      <c r="T12" s="78">
        <v>0</v>
      </c>
      <c r="U12" s="79">
        <v>1</v>
      </c>
      <c r="V12" s="78">
        <v>0</v>
      </c>
      <c r="W12" s="79">
        <v>1</v>
      </c>
      <c r="X12" s="78">
        <v>0</v>
      </c>
      <c r="Y12" s="194">
        <f t="shared" si="0"/>
        <v>1</v>
      </c>
      <c r="Z12" s="195">
        <f t="shared" si="1"/>
        <v>0</v>
      </c>
    </row>
    <row r="13" spans="2:26" s="132" customFormat="1" x14ac:dyDescent="0.2">
      <c r="B13" s="295" t="s">
        <v>162</v>
      </c>
      <c r="C13" s="77">
        <v>1</v>
      </c>
      <c r="D13" s="78">
        <v>0</v>
      </c>
      <c r="E13" s="79">
        <v>1</v>
      </c>
      <c r="F13" s="78">
        <v>0</v>
      </c>
      <c r="G13" s="79">
        <v>1</v>
      </c>
      <c r="H13" s="78">
        <v>0</v>
      </c>
      <c r="I13" s="79">
        <v>1</v>
      </c>
      <c r="J13" s="78">
        <v>0</v>
      </c>
      <c r="K13" s="79">
        <v>1</v>
      </c>
      <c r="L13" s="78">
        <v>0</v>
      </c>
      <c r="M13" s="79">
        <v>1</v>
      </c>
      <c r="N13" s="78">
        <v>0</v>
      </c>
      <c r="O13" s="79">
        <v>1</v>
      </c>
      <c r="P13" s="78">
        <v>0</v>
      </c>
      <c r="Q13" s="79">
        <v>1</v>
      </c>
      <c r="R13" s="78">
        <v>0</v>
      </c>
      <c r="S13" s="79">
        <v>1</v>
      </c>
      <c r="T13" s="78">
        <v>0</v>
      </c>
      <c r="U13" s="79">
        <v>1</v>
      </c>
      <c r="V13" s="78">
        <v>0</v>
      </c>
      <c r="W13" s="79">
        <v>1</v>
      </c>
      <c r="X13" s="78">
        <v>0</v>
      </c>
      <c r="Y13" s="194">
        <f t="shared" si="0"/>
        <v>1</v>
      </c>
      <c r="Z13" s="195">
        <f t="shared" si="1"/>
        <v>0</v>
      </c>
    </row>
    <row r="14" spans="2:26" s="132" customFormat="1" x14ac:dyDescent="0.2">
      <c r="B14" s="295" t="s">
        <v>131</v>
      </c>
      <c r="C14" s="77">
        <v>1</v>
      </c>
      <c r="D14" s="78">
        <v>0</v>
      </c>
      <c r="E14" s="79">
        <v>1</v>
      </c>
      <c r="F14" s="78">
        <v>0</v>
      </c>
      <c r="G14" s="79">
        <v>1</v>
      </c>
      <c r="H14" s="78">
        <v>0</v>
      </c>
      <c r="I14" s="79">
        <v>1</v>
      </c>
      <c r="J14" s="78">
        <v>0</v>
      </c>
      <c r="K14" s="79">
        <v>1</v>
      </c>
      <c r="L14" s="78">
        <v>0</v>
      </c>
      <c r="M14" s="79">
        <v>1</v>
      </c>
      <c r="N14" s="78">
        <v>0</v>
      </c>
      <c r="O14" s="79">
        <v>1</v>
      </c>
      <c r="P14" s="78">
        <v>0</v>
      </c>
      <c r="Q14" s="79">
        <v>1</v>
      </c>
      <c r="R14" s="78">
        <v>0</v>
      </c>
      <c r="S14" s="79">
        <v>1</v>
      </c>
      <c r="T14" s="78">
        <v>0</v>
      </c>
      <c r="U14" s="79">
        <v>1</v>
      </c>
      <c r="V14" s="78">
        <v>0</v>
      </c>
      <c r="W14" s="79">
        <v>1</v>
      </c>
      <c r="X14" s="78">
        <v>0</v>
      </c>
      <c r="Y14" s="194">
        <f t="shared" si="0"/>
        <v>1</v>
      </c>
      <c r="Z14" s="195">
        <f t="shared" si="1"/>
        <v>0</v>
      </c>
    </row>
    <row r="15" spans="2:26" s="132" customFormat="1" x14ac:dyDescent="0.2">
      <c r="B15" s="295" t="s">
        <v>132</v>
      </c>
      <c r="C15" s="77">
        <v>1</v>
      </c>
      <c r="D15" s="78">
        <v>0</v>
      </c>
      <c r="E15" s="79">
        <v>1</v>
      </c>
      <c r="F15" s="78">
        <v>0</v>
      </c>
      <c r="G15" s="79">
        <v>1</v>
      </c>
      <c r="H15" s="78">
        <v>0</v>
      </c>
      <c r="I15" s="79">
        <v>1</v>
      </c>
      <c r="J15" s="78">
        <v>0</v>
      </c>
      <c r="K15" s="79">
        <v>1</v>
      </c>
      <c r="L15" s="78">
        <v>0</v>
      </c>
      <c r="M15" s="79">
        <v>1</v>
      </c>
      <c r="N15" s="78">
        <v>0</v>
      </c>
      <c r="O15" s="79">
        <v>1</v>
      </c>
      <c r="P15" s="78">
        <v>0</v>
      </c>
      <c r="Q15" s="79">
        <v>1</v>
      </c>
      <c r="R15" s="78">
        <v>0</v>
      </c>
      <c r="S15" s="79">
        <v>1</v>
      </c>
      <c r="T15" s="78">
        <v>0</v>
      </c>
      <c r="U15" s="79">
        <v>1</v>
      </c>
      <c r="V15" s="78">
        <v>0</v>
      </c>
      <c r="W15" s="79">
        <v>1</v>
      </c>
      <c r="X15" s="78">
        <v>0</v>
      </c>
      <c r="Y15" s="194">
        <f t="shared" si="0"/>
        <v>1</v>
      </c>
      <c r="Z15" s="195">
        <f t="shared" si="1"/>
        <v>0</v>
      </c>
    </row>
    <row r="16" spans="2:26" s="132" customFormat="1" x14ac:dyDescent="0.2">
      <c r="B16" s="295" t="s">
        <v>133</v>
      </c>
      <c r="C16" s="77">
        <v>1</v>
      </c>
      <c r="D16" s="78">
        <v>0</v>
      </c>
      <c r="E16" s="79">
        <v>1</v>
      </c>
      <c r="F16" s="78">
        <v>0</v>
      </c>
      <c r="G16" s="79">
        <v>1</v>
      </c>
      <c r="H16" s="78">
        <v>0</v>
      </c>
      <c r="I16" s="79">
        <v>1</v>
      </c>
      <c r="J16" s="78">
        <v>0</v>
      </c>
      <c r="K16" s="79">
        <v>1</v>
      </c>
      <c r="L16" s="78">
        <v>0</v>
      </c>
      <c r="M16" s="79">
        <v>1</v>
      </c>
      <c r="N16" s="78">
        <v>0</v>
      </c>
      <c r="O16" s="79">
        <v>1</v>
      </c>
      <c r="P16" s="78">
        <v>0</v>
      </c>
      <c r="Q16" s="79">
        <v>1</v>
      </c>
      <c r="R16" s="78">
        <v>0</v>
      </c>
      <c r="S16" s="79">
        <v>1</v>
      </c>
      <c r="T16" s="78">
        <v>0</v>
      </c>
      <c r="U16" s="79">
        <v>1</v>
      </c>
      <c r="V16" s="78">
        <v>0</v>
      </c>
      <c r="W16" s="79">
        <v>1</v>
      </c>
      <c r="X16" s="78">
        <v>0</v>
      </c>
      <c r="Y16" s="194">
        <f t="shared" si="0"/>
        <v>1</v>
      </c>
      <c r="Z16" s="195">
        <f t="shared" si="1"/>
        <v>0</v>
      </c>
    </row>
    <row r="17" spans="2:26" s="132" customFormat="1" x14ac:dyDescent="0.2">
      <c r="B17" s="295" t="s">
        <v>134</v>
      </c>
      <c r="C17" s="77">
        <v>1</v>
      </c>
      <c r="D17" s="78">
        <v>0</v>
      </c>
      <c r="E17" s="79">
        <v>1</v>
      </c>
      <c r="F17" s="78">
        <v>0</v>
      </c>
      <c r="G17" s="79">
        <v>1</v>
      </c>
      <c r="H17" s="78">
        <v>0</v>
      </c>
      <c r="I17" s="79">
        <v>1</v>
      </c>
      <c r="J17" s="78">
        <v>0</v>
      </c>
      <c r="K17" s="79">
        <v>1</v>
      </c>
      <c r="L17" s="78">
        <v>0</v>
      </c>
      <c r="M17" s="79">
        <v>1</v>
      </c>
      <c r="N17" s="78">
        <v>0</v>
      </c>
      <c r="O17" s="79">
        <v>1</v>
      </c>
      <c r="P17" s="78">
        <v>0</v>
      </c>
      <c r="Q17" s="79">
        <v>1</v>
      </c>
      <c r="R17" s="78">
        <v>0</v>
      </c>
      <c r="S17" s="79">
        <v>1</v>
      </c>
      <c r="T17" s="78">
        <v>0</v>
      </c>
      <c r="U17" s="79">
        <v>1</v>
      </c>
      <c r="V17" s="78">
        <v>0</v>
      </c>
      <c r="W17" s="79">
        <v>1</v>
      </c>
      <c r="X17" s="78">
        <v>0</v>
      </c>
      <c r="Y17" s="194">
        <f t="shared" si="0"/>
        <v>1</v>
      </c>
      <c r="Z17" s="195">
        <f t="shared" si="1"/>
        <v>0</v>
      </c>
    </row>
    <row r="18" spans="2:26" s="132" customFormat="1" x14ac:dyDescent="0.2">
      <c r="B18" s="295" t="s">
        <v>135</v>
      </c>
      <c r="C18" s="77">
        <v>1</v>
      </c>
      <c r="D18" s="78">
        <v>0</v>
      </c>
      <c r="E18" s="79">
        <v>1</v>
      </c>
      <c r="F18" s="78">
        <v>0</v>
      </c>
      <c r="G18" s="79">
        <v>1</v>
      </c>
      <c r="H18" s="78">
        <v>0</v>
      </c>
      <c r="I18" s="79">
        <v>1</v>
      </c>
      <c r="J18" s="78">
        <v>0</v>
      </c>
      <c r="K18" s="79">
        <v>1</v>
      </c>
      <c r="L18" s="78">
        <v>0</v>
      </c>
      <c r="M18" s="79">
        <v>1</v>
      </c>
      <c r="N18" s="78">
        <v>0</v>
      </c>
      <c r="O18" s="79">
        <v>1</v>
      </c>
      <c r="P18" s="78">
        <v>0</v>
      </c>
      <c r="Q18" s="79">
        <v>1</v>
      </c>
      <c r="R18" s="78">
        <v>0</v>
      </c>
      <c r="S18" s="79">
        <v>1</v>
      </c>
      <c r="T18" s="78">
        <v>0</v>
      </c>
      <c r="U18" s="79">
        <v>1</v>
      </c>
      <c r="V18" s="78">
        <v>0</v>
      </c>
      <c r="W18" s="79">
        <v>1</v>
      </c>
      <c r="X18" s="78">
        <v>0</v>
      </c>
      <c r="Y18" s="194">
        <f t="shared" si="0"/>
        <v>1</v>
      </c>
      <c r="Z18" s="195">
        <f t="shared" si="1"/>
        <v>0</v>
      </c>
    </row>
    <row r="19" spans="2:26" s="132" customFormat="1" x14ac:dyDescent="0.2">
      <c r="B19" s="295" t="s">
        <v>136</v>
      </c>
      <c r="C19" s="77">
        <v>1</v>
      </c>
      <c r="D19" s="78">
        <v>0</v>
      </c>
      <c r="E19" s="79">
        <v>1</v>
      </c>
      <c r="F19" s="78">
        <v>0</v>
      </c>
      <c r="G19" s="79">
        <v>1</v>
      </c>
      <c r="H19" s="78">
        <v>0</v>
      </c>
      <c r="I19" s="79">
        <v>1</v>
      </c>
      <c r="J19" s="78">
        <v>0</v>
      </c>
      <c r="K19" s="79">
        <v>1</v>
      </c>
      <c r="L19" s="78">
        <v>0</v>
      </c>
      <c r="M19" s="79">
        <v>1</v>
      </c>
      <c r="N19" s="78">
        <v>0</v>
      </c>
      <c r="O19" s="79">
        <v>1</v>
      </c>
      <c r="P19" s="78">
        <v>0</v>
      </c>
      <c r="Q19" s="79">
        <v>1</v>
      </c>
      <c r="R19" s="78">
        <v>0</v>
      </c>
      <c r="S19" s="79">
        <v>1</v>
      </c>
      <c r="T19" s="78">
        <v>0</v>
      </c>
      <c r="U19" s="79">
        <v>1</v>
      </c>
      <c r="V19" s="78">
        <v>0</v>
      </c>
      <c r="W19" s="79">
        <v>1</v>
      </c>
      <c r="X19" s="78">
        <v>0</v>
      </c>
      <c r="Y19" s="194">
        <f t="shared" si="0"/>
        <v>1</v>
      </c>
      <c r="Z19" s="195">
        <f t="shared" si="1"/>
        <v>0</v>
      </c>
    </row>
    <row r="20" spans="2:26" s="132" customFormat="1" x14ac:dyDescent="0.2">
      <c r="B20" s="295" t="s">
        <v>163</v>
      </c>
      <c r="C20" s="77">
        <v>1</v>
      </c>
      <c r="D20" s="78">
        <v>0</v>
      </c>
      <c r="E20" s="79">
        <v>1</v>
      </c>
      <c r="F20" s="78">
        <v>0</v>
      </c>
      <c r="G20" s="79">
        <v>1</v>
      </c>
      <c r="H20" s="78">
        <v>0</v>
      </c>
      <c r="I20" s="79">
        <v>1</v>
      </c>
      <c r="J20" s="78">
        <v>0</v>
      </c>
      <c r="K20" s="79">
        <v>1</v>
      </c>
      <c r="L20" s="78">
        <v>0</v>
      </c>
      <c r="M20" s="79">
        <v>1</v>
      </c>
      <c r="N20" s="78">
        <v>0</v>
      </c>
      <c r="O20" s="79">
        <v>1</v>
      </c>
      <c r="P20" s="78">
        <v>0</v>
      </c>
      <c r="Q20" s="79">
        <v>1</v>
      </c>
      <c r="R20" s="78">
        <v>0</v>
      </c>
      <c r="S20" s="79">
        <v>1</v>
      </c>
      <c r="T20" s="78">
        <v>0</v>
      </c>
      <c r="U20" s="79">
        <v>1</v>
      </c>
      <c r="V20" s="78">
        <v>0</v>
      </c>
      <c r="W20" s="79">
        <v>1</v>
      </c>
      <c r="X20" s="78">
        <v>0</v>
      </c>
      <c r="Y20" s="194">
        <f t="shared" si="0"/>
        <v>1</v>
      </c>
      <c r="Z20" s="195">
        <f t="shared" si="1"/>
        <v>0</v>
      </c>
    </row>
    <row r="21" spans="2:26" s="132" customFormat="1" x14ac:dyDescent="0.2">
      <c r="B21" s="295" t="s">
        <v>137</v>
      </c>
      <c r="C21" s="77">
        <v>1</v>
      </c>
      <c r="D21" s="78">
        <v>0</v>
      </c>
      <c r="E21" s="79">
        <v>1</v>
      </c>
      <c r="F21" s="78">
        <v>0</v>
      </c>
      <c r="G21" s="79">
        <v>1</v>
      </c>
      <c r="H21" s="78">
        <v>0</v>
      </c>
      <c r="I21" s="79">
        <v>1</v>
      </c>
      <c r="J21" s="78">
        <v>0</v>
      </c>
      <c r="K21" s="79">
        <v>1</v>
      </c>
      <c r="L21" s="78">
        <v>0</v>
      </c>
      <c r="M21" s="79">
        <v>1</v>
      </c>
      <c r="N21" s="78">
        <v>0</v>
      </c>
      <c r="O21" s="79">
        <v>1</v>
      </c>
      <c r="P21" s="78">
        <v>0</v>
      </c>
      <c r="Q21" s="79">
        <v>1</v>
      </c>
      <c r="R21" s="78">
        <v>0</v>
      </c>
      <c r="S21" s="79">
        <v>1</v>
      </c>
      <c r="T21" s="78">
        <v>0</v>
      </c>
      <c r="U21" s="79">
        <v>1</v>
      </c>
      <c r="V21" s="78">
        <v>0</v>
      </c>
      <c r="W21" s="79">
        <v>1</v>
      </c>
      <c r="X21" s="78">
        <v>0</v>
      </c>
      <c r="Y21" s="194">
        <f t="shared" si="0"/>
        <v>1</v>
      </c>
      <c r="Z21" s="195">
        <f t="shared" si="1"/>
        <v>0</v>
      </c>
    </row>
    <row r="22" spans="2:26" s="132" customFormat="1" x14ac:dyDescent="0.2">
      <c r="B22" s="295" t="s">
        <v>138</v>
      </c>
      <c r="C22" s="77">
        <v>1</v>
      </c>
      <c r="D22" s="78">
        <v>0</v>
      </c>
      <c r="E22" s="79">
        <v>1</v>
      </c>
      <c r="F22" s="78">
        <v>0</v>
      </c>
      <c r="G22" s="79">
        <v>1</v>
      </c>
      <c r="H22" s="78">
        <v>0</v>
      </c>
      <c r="I22" s="79">
        <v>1</v>
      </c>
      <c r="J22" s="78">
        <v>0</v>
      </c>
      <c r="K22" s="79">
        <v>1</v>
      </c>
      <c r="L22" s="78">
        <v>0</v>
      </c>
      <c r="M22" s="79">
        <v>1</v>
      </c>
      <c r="N22" s="78">
        <v>0</v>
      </c>
      <c r="O22" s="79">
        <v>1</v>
      </c>
      <c r="P22" s="78">
        <v>0</v>
      </c>
      <c r="Q22" s="79">
        <v>1</v>
      </c>
      <c r="R22" s="78">
        <v>0</v>
      </c>
      <c r="S22" s="79">
        <v>1</v>
      </c>
      <c r="T22" s="78">
        <v>0</v>
      </c>
      <c r="U22" s="79">
        <v>1</v>
      </c>
      <c r="V22" s="78">
        <v>0</v>
      </c>
      <c r="W22" s="79">
        <v>1</v>
      </c>
      <c r="X22" s="78">
        <v>0</v>
      </c>
      <c r="Y22" s="194">
        <f t="shared" si="0"/>
        <v>1</v>
      </c>
      <c r="Z22" s="195">
        <f t="shared" si="1"/>
        <v>0</v>
      </c>
    </row>
    <row r="23" spans="2:26" s="132" customFormat="1" x14ac:dyDescent="0.2">
      <c r="B23" s="295" t="s">
        <v>139</v>
      </c>
      <c r="C23" s="77">
        <v>1</v>
      </c>
      <c r="D23" s="78">
        <v>0</v>
      </c>
      <c r="E23" s="79">
        <v>1</v>
      </c>
      <c r="F23" s="78">
        <v>0</v>
      </c>
      <c r="G23" s="79">
        <v>1</v>
      </c>
      <c r="H23" s="78">
        <v>0</v>
      </c>
      <c r="I23" s="79">
        <v>1</v>
      </c>
      <c r="J23" s="78">
        <v>0</v>
      </c>
      <c r="K23" s="79">
        <v>1</v>
      </c>
      <c r="L23" s="78">
        <v>0</v>
      </c>
      <c r="M23" s="79">
        <v>1</v>
      </c>
      <c r="N23" s="78">
        <v>0</v>
      </c>
      <c r="O23" s="79">
        <v>1</v>
      </c>
      <c r="P23" s="78">
        <v>0</v>
      </c>
      <c r="Q23" s="79">
        <v>1</v>
      </c>
      <c r="R23" s="78">
        <v>0</v>
      </c>
      <c r="S23" s="79">
        <v>1</v>
      </c>
      <c r="T23" s="78">
        <v>0</v>
      </c>
      <c r="U23" s="79">
        <v>1</v>
      </c>
      <c r="V23" s="78">
        <v>0</v>
      </c>
      <c r="W23" s="79">
        <v>1</v>
      </c>
      <c r="X23" s="78">
        <v>0</v>
      </c>
      <c r="Y23" s="194">
        <f t="shared" si="0"/>
        <v>1</v>
      </c>
      <c r="Z23" s="195">
        <f t="shared" si="1"/>
        <v>0</v>
      </c>
    </row>
    <row r="24" spans="2:26" s="132" customFormat="1" ht="13.5" thickBot="1" x14ac:dyDescent="0.25">
      <c r="B24" s="295" t="s">
        <v>164</v>
      </c>
      <c r="C24" s="77">
        <v>1</v>
      </c>
      <c r="D24" s="78">
        <v>0</v>
      </c>
      <c r="E24" s="79">
        <v>1</v>
      </c>
      <c r="F24" s="78">
        <v>0</v>
      </c>
      <c r="G24" s="79">
        <v>0</v>
      </c>
      <c r="H24" s="78">
        <v>1</v>
      </c>
      <c r="I24" s="79">
        <v>0</v>
      </c>
      <c r="J24" s="78">
        <v>1</v>
      </c>
      <c r="K24" s="79">
        <v>0</v>
      </c>
      <c r="L24" s="78">
        <v>1</v>
      </c>
      <c r="M24" s="79">
        <v>0</v>
      </c>
      <c r="N24" s="78">
        <v>1</v>
      </c>
      <c r="O24" s="79">
        <v>0</v>
      </c>
      <c r="P24" s="78">
        <v>1</v>
      </c>
      <c r="Q24" s="79">
        <v>0</v>
      </c>
      <c r="R24" s="78">
        <v>1</v>
      </c>
      <c r="S24" s="79">
        <v>0</v>
      </c>
      <c r="T24" s="78">
        <v>1</v>
      </c>
      <c r="U24" s="79">
        <v>0</v>
      </c>
      <c r="V24" s="78">
        <v>1</v>
      </c>
      <c r="W24" s="79">
        <v>0</v>
      </c>
      <c r="X24" s="78">
        <v>1</v>
      </c>
      <c r="Y24" s="194">
        <f t="shared" si="0"/>
        <v>0.4</v>
      </c>
      <c r="Z24" s="195">
        <f t="shared" si="1"/>
        <v>0.6</v>
      </c>
    </row>
    <row r="25" spans="2:26" s="132" customFormat="1" ht="13.5" thickBot="1" x14ac:dyDescent="0.25">
      <c r="B25" s="306" t="s">
        <v>187</v>
      </c>
      <c r="C25" s="80">
        <v>1</v>
      </c>
      <c r="D25" s="81">
        <v>0</v>
      </c>
      <c r="E25" s="82">
        <v>1</v>
      </c>
      <c r="F25" s="81">
        <v>0</v>
      </c>
      <c r="G25" s="83" t="s">
        <v>196</v>
      </c>
      <c r="H25" s="84" t="s">
        <v>196</v>
      </c>
      <c r="I25" s="83" t="s">
        <v>196</v>
      </c>
      <c r="J25" s="84" t="s">
        <v>196</v>
      </c>
      <c r="K25" s="83" t="s">
        <v>196</v>
      </c>
      <c r="L25" s="84" t="s">
        <v>196</v>
      </c>
      <c r="M25" s="79" t="s">
        <v>196</v>
      </c>
      <c r="N25" s="78" t="s">
        <v>196</v>
      </c>
      <c r="O25" s="79" t="s">
        <v>196</v>
      </c>
      <c r="P25" s="78" t="s">
        <v>196</v>
      </c>
      <c r="Q25" s="79" t="s">
        <v>196</v>
      </c>
      <c r="R25" s="78" t="s">
        <v>196</v>
      </c>
      <c r="S25" s="79" t="s">
        <v>196</v>
      </c>
      <c r="T25" s="78" t="s">
        <v>196</v>
      </c>
      <c r="U25" s="79" t="s">
        <v>196</v>
      </c>
      <c r="V25" s="78" t="s">
        <v>196</v>
      </c>
      <c r="W25" s="79" t="s">
        <v>196</v>
      </c>
      <c r="X25" s="78" t="s">
        <v>196</v>
      </c>
      <c r="Y25" s="194"/>
      <c r="Z25" s="195"/>
    </row>
    <row r="26" spans="2:26" s="132" customFormat="1" x14ac:dyDescent="0.2">
      <c r="B26" s="307" t="s">
        <v>197</v>
      </c>
      <c r="C26" s="77">
        <v>1</v>
      </c>
      <c r="D26" s="78">
        <v>0</v>
      </c>
      <c r="E26" s="79">
        <v>1</v>
      </c>
      <c r="F26" s="78">
        <v>0</v>
      </c>
      <c r="G26" s="79">
        <v>0</v>
      </c>
      <c r="H26" s="78">
        <v>1</v>
      </c>
      <c r="I26" s="79">
        <v>0</v>
      </c>
      <c r="J26" s="78">
        <v>1</v>
      </c>
      <c r="K26" s="79">
        <v>0</v>
      </c>
      <c r="L26" s="78">
        <v>1</v>
      </c>
      <c r="M26" s="79">
        <v>0</v>
      </c>
      <c r="N26" s="78">
        <v>1</v>
      </c>
      <c r="O26" s="79">
        <v>0</v>
      </c>
      <c r="P26" s="78">
        <v>1</v>
      </c>
      <c r="Q26" s="79">
        <v>0</v>
      </c>
      <c r="R26" s="78">
        <v>1</v>
      </c>
      <c r="S26" s="79">
        <v>0</v>
      </c>
      <c r="T26" s="78">
        <v>1</v>
      </c>
      <c r="U26" s="79">
        <v>0</v>
      </c>
      <c r="V26" s="78">
        <v>1</v>
      </c>
      <c r="W26" s="79">
        <v>0</v>
      </c>
      <c r="X26" s="78">
        <v>1</v>
      </c>
      <c r="Y26" s="194">
        <f t="shared" ref="Y26:Y58" si="2">+(C26+E26+G26+I26+K26)/5</f>
        <v>0.4</v>
      </c>
      <c r="Z26" s="195">
        <f t="shared" ref="Z26:Z58" si="3">+(D26+F26+H26+J26+L26)/5</f>
        <v>0.6</v>
      </c>
    </row>
    <row r="27" spans="2:26" s="132" customFormat="1" x14ac:dyDescent="0.2">
      <c r="B27" s="293" t="s">
        <v>165</v>
      </c>
      <c r="C27" s="77">
        <v>1</v>
      </c>
      <c r="D27" s="78">
        <v>0</v>
      </c>
      <c r="E27" s="79">
        <v>1</v>
      </c>
      <c r="F27" s="78">
        <v>0</v>
      </c>
      <c r="G27" s="79">
        <v>0.62</v>
      </c>
      <c r="H27" s="78">
        <v>0.38</v>
      </c>
      <c r="I27" s="79">
        <v>0.6</v>
      </c>
      <c r="J27" s="78">
        <v>0.4</v>
      </c>
      <c r="K27" s="79">
        <v>0.59</v>
      </c>
      <c r="L27" s="78">
        <v>0.41</v>
      </c>
      <c r="M27" s="79">
        <v>0.18899999999999995</v>
      </c>
      <c r="N27" s="78">
        <v>0.81100000000000005</v>
      </c>
      <c r="O27" s="79">
        <v>0.18899999999999995</v>
      </c>
      <c r="P27" s="78">
        <v>0.81100000000000005</v>
      </c>
      <c r="Q27" s="79">
        <v>0.18899999999999995</v>
      </c>
      <c r="R27" s="78">
        <v>0.81100000000000005</v>
      </c>
      <c r="S27" s="79">
        <v>0.18899999999999995</v>
      </c>
      <c r="T27" s="78">
        <v>0.81100000000000005</v>
      </c>
      <c r="U27" s="79">
        <v>0.18899999999999995</v>
      </c>
      <c r="V27" s="78">
        <v>0.81100000000000005</v>
      </c>
      <c r="W27" s="79">
        <v>0.18899999999999995</v>
      </c>
      <c r="X27" s="78">
        <v>0.81100000000000005</v>
      </c>
      <c r="Y27" s="194">
        <f t="shared" si="2"/>
        <v>0.76200000000000001</v>
      </c>
      <c r="Z27" s="195">
        <f t="shared" si="3"/>
        <v>0.23799999999999999</v>
      </c>
    </row>
    <row r="28" spans="2:26" s="132" customFormat="1" x14ac:dyDescent="0.2">
      <c r="B28" s="293" t="s">
        <v>140</v>
      </c>
      <c r="C28" s="77">
        <v>1</v>
      </c>
      <c r="D28" s="78">
        <v>0</v>
      </c>
      <c r="E28" s="79">
        <v>1</v>
      </c>
      <c r="F28" s="78">
        <v>0</v>
      </c>
      <c r="G28" s="79">
        <v>0.62</v>
      </c>
      <c r="H28" s="78">
        <v>0.38</v>
      </c>
      <c r="I28" s="79">
        <v>0.6</v>
      </c>
      <c r="J28" s="78">
        <v>0.4</v>
      </c>
      <c r="K28" s="79">
        <v>0.59</v>
      </c>
      <c r="L28" s="78">
        <v>0.41</v>
      </c>
      <c r="M28" s="79">
        <v>0.18899999999999995</v>
      </c>
      <c r="N28" s="78">
        <v>0.81100000000000005</v>
      </c>
      <c r="O28" s="79">
        <v>0.18899999999999995</v>
      </c>
      <c r="P28" s="78">
        <v>0.81100000000000005</v>
      </c>
      <c r="Q28" s="79">
        <v>0.18899999999999995</v>
      </c>
      <c r="R28" s="78">
        <v>0.81100000000000005</v>
      </c>
      <c r="S28" s="79">
        <v>0.18899999999999995</v>
      </c>
      <c r="T28" s="78">
        <v>0.81100000000000005</v>
      </c>
      <c r="U28" s="79">
        <v>0.18899999999999995</v>
      </c>
      <c r="V28" s="78">
        <v>0.81100000000000005</v>
      </c>
      <c r="W28" s="79">
        <v>0.18899999999999995</v>
      </c>
      <c r="X28" s="78">
        <v>0.81100000000000005</v>
      </c>
      <c r="Y28" s="194">
        <f t="shared" si="2"/>
        <v>0.76200000000000001</v>
      </c>
      <c r="Z28" s="195">
        <f t="shared" si="3"/>
        <v>0.23799999999999999</v>
      </c>
    </row>
    <row r="29" spans="2:26" s="132" customFormat="1" x14ac:dyDescent="0.2">
      <c r="B29" s="301" t="s">
        <v>166</v>
      </c>
      <c r="C29" s="77">
        <v>1</v>
      </c>
      <c r="D29" s="78">
        <v>0</v>
      </c>
      <c r="E29" s="79">
        <v>1</v>
      </c>
      <c r="F29" s="78">
        <v>0</v>
      </c>
      <c r="G29" s="79">
        <v>0.62</v>
      </c>
      <c r="H29" s="78">
        <v>0.38</v>
      </c>
      <c r="I29" s="79">
        <v>0.6</v>
      </c>
      <c r="J29" s="78">
        <v>0.4</v>
      </c>
      <c r="K29" s="79">
        <v>0.59</v>
      </c>
      <c r="L29" s="78">
        <v>0.41</v>
      </c>
      <c r="M29" s="79">
        <v>0.18899999999999995</v>
      </c>
      <c r="N29" s="78">
        <v>0.81100000000000005</v>
      </c>
      <c r="O29" s="79">
        <v>0.18899999999999995</v>
      </c>
      <c r="P29" s="78">
        <v>0.81100000000000005</v>
      </c>
      <c r="Q29" s="79">
        <v>0.18899999999999995</v>
      </c>
      <c r="R29" s="78">
        <v>0.81100000000000005</v>
      </c>
      <c r="S29" s="79">
        <v>0.18899999999999995</v>
      </c>
      <c r="T29" s="78">
        <v>0.81100000000000005</v>
      </c>
      <c r="U29" s="79">
        <v>0.18899999999999995</v>
      </c>
      <c r="V29" s="78">
        <v>0.81100000000000005</v>
      </c>
      <c r="W29" s="79">
        <v>0.18899999999999995</v>
      </c>
      <c r="X29" s="78">
        <v>0.81100000000000005</v>
      </c>
      <c r="Y29" s="194">
        <f t="shared" si="2"/>
        <v>0.76200000000000001</v>
      </c>
      <c r="Z29" s="195">
        <f t="shared" si="3"/>
        <v>0.23799999999999999</v>
      </c>
    </row>
    <row r="30" spans="2:26" s="132" customFormat="1" x14ac:dyDescent="0.2">
      <c r="B30" s="302" t="s">
        <v>225</v>
      </c>
      <c r="C30" s="77">
        <v>1</v>
      </c>
      <c r="D30" s="78">
        <v>0</v>
      </c>
      <c r="E30" s="79">
        <v>1</v>
      </c>
      <c r="F30" s="78">
        <v>0</v>
      </c>
      <c r="G30" s="79">
        <v>0.62</v>
      </c>
      <c r="H30" s="78">
        <v>0.38</v>
      </c>
      <c r="I30" s="79">
        <v>0.6</v>
      </c>
      <c r="J30" s="78">
        <v>0.4</v>
      </c>
      <c r="K30" s="79">
        <v>0.59</v>
      </c>
      <c r="L30" s="78">
        <v>0.41</v>
      </c>
      <c r="M30" s="79">
        <v>0.18899999999999995</v>
      </c>
      <c r="N30" s="78">
        <v>0.81100000000000005</v>
      </c>
      <c r="O30" s="79">
        <v>0.18899999999999995</v>
      </c>
      <c r="P30" s="78">
        <v>0.81100000000000005</v>
      </c>
      <c r="Q30" s="79">
        <v>0.18899999999999995</v>
      </c>
      <c r="R30" s="78">
        <v>0.81100000000000005</v>
      </c>
      <c r="S30" s="79">
        <v>0.18899999999999995</v>
      </c>
      <c r="T30" s="78">
        <v>0.81100000000000005</v>
      </c>
      <c r="U30" s="79">
        <v>0.18899999999999995</v>
      </c>
      <c r="V30" s="78">
        <v>0.81100000000000005</v>
      </c>
      <c r="W30" s="79">
        <v>0.18899999999999995</v>
      </c>
      <c r="X30" s="78">
        <v>0.81100000000000005</v>
      </c>
      <c r="Y30" s="194">
        <f t="shared" si="2"/>
        <v>0.76200000000000001</v>
      </c>
      <c r="Z30" s="195">
        <f t="shared" si="3"/>
        <v>0.23799999999999999</v>
      </c>
    </row>
    <row r="31" spans="2:26" s="132" customFormat="1" x14ac:dyDescent="0.2">
      <c r="B31" s="295" t="s">
        <v>167</v>
      </c>
      <c r="C31" s="77">
        <v>1</v>
      </c>
      <c r="D31" s="78">
        <v>0</v>
      </c>
      <c r="E31" s="79">
        <v>1</v>
      </c>
      <c r="F31" s="78">
        <v>0</v>
      </c>
      <c r="G31" s="79">
        <v>0.62</v>
      </c>
      <c r="H31" s="78">
        <v>0.38</v>
      </c>
      <c r="I31" s="79">
        <v>0.6</v>
      </c>
      <c r="J31" s="78">
        <v>0.4</v>
      </c>
      <c r="K31" s="79">
        <v>0.59</v>
      </c>
      <c r="L31" s="78">
        <v>0.41</v>
      </c>
      <c r="M31" s="79">
        <v>0.18899999999999995</v>
      </c>
      <c r="N31" s="78">
        <v>0.81100000000000005</v>
      </c>
      <c r="O31" s="79">
        <v>0.18899999999999995</v>
      </c>
      <c r="P31" s="78">
        <v>0.81100000000000005</v>
      </c>
      <c r="Q31" s="79">
        <v>0.18899999999999995</v>
      </c>
      <c r="R31" s="78">
        <v>0.81100000000000005</v>
      </c>
      <c r="S31" s="79">
        <v>0.18899999999999995</v>
      </c>
      <c r="T31" s="78">
        <v>0.81100000000000005</v>
      </c>
      <c r="U31" s="79">
        <v>0.18899999999999995</v>
      </c>
      <c r="V31" s="78">
        <v>0.81100000000000005</v>
      </c>
      <c r="W31" s="79">
        <v>0.18899999999999995</v>
      </c>
      <c r="X31" s="78">
        <v>0.81100000000000005</v>
      </c>
      <c r="Y31" s="194">
        <f t="shared" si="2"/>
        <v>0.76200000000000001</v>
      </c>
      <c r="Z31" s="195">
        <f t="shared" si="3"/>
        <v>0.23799999999999999</v>
      </c>
    </row>
    <row r="32" spans="2:26" s="132" customFormat="1" x14ac:dyDescent="0.2">
      <c r="B32" s="295" t="s">
        <v>141</v>
      </c>
      <c r="C32" s="77">
        <v>1</v>
      </c>
      <c r="D32" s="78">
        <v>0</v>
      </c>
      <c r="E32" s="79">
        <v>1</v>
      </c>
      <c r="F32" s="78">
        <v>0</v>
      </c>
      <c r="G32" s="79">
        <v>0.62</v>
      </c>
      <c r="H32" s="78">
        <v>0.38</v>
      </c>
      <c r="I32" s="79">
        <v>0.6</v>
      </c>
      <c r="J32" s="78">
        <v>0.4</v>
      </c>
      <c r="K32" s="79">
        <v>0.59</v>
      </c>
      <c r="L32" s="78">
        <v>0.41</v>
      </c>
      <c r="M32" s="79">
        <v>0.18899999999999995</v>
      </c>
      <c r="N32" s="78">
        <v>0.81100000000000005</v>
      </c>
      <c r="O32" s="79">
        <v>0.18899999999999995</v>
      </c>
      <c r="P32" s="78">
        <v>0.81100000000000005</v>
      </c>
      <c r="Q32" s="79">
        <v>0.18899999999999995</v>
      </c>
      <c r="R32" s="78">
        <v>0.81100000000000005</v>
      </c>
      <c r="S32" s="79">
        <v>0.18899999999999995</v>
      </c>
      <c r="T32" s="78">
        <v>0.81100000000000005</v>
      </c>
      <c r="U32" s="79">
        <v>0.18899999999999995</v>
      </c>
      <c r="V32" s="78">
        <v>0.81100000000000005</v>
      </c>
      <c r="W32" s="79">
        <v>0.18899999999999995</v>
      </c>
      <c r="X32" s="78">
        <v>0.81100000000000005</v>
      </c>
      <c r="Y32" s="194">
        <f t="shared" si="2"/>
        <v>0.76200000000000001</v>
      </c>
      <c r="Z32" s="195">
        <f t="shared" si="3"/>
        <v>0.23799999999999999</v>
      </c>
    </row>
    <row r="33" spans="2:26" s="132" customFormat="1" x14ac:dyDescent="0.2">
      <c r="B33" s="295" t="s">
        <v>142</v>
      </c>
      <c r="C33" s="77">
        <v>1</v>
      </c>
      <c r="D33" s="78">
        <v>0</v>
      </c>
      <c r="E33" s="79">
        <v>1</v>
      </c>
      <c r="F33" s="78">
        <v>0</v>
      </c>
      <c r="G33" s="79">
        <v>0.62</v>
      </c>
      <c r="H33" s="78">
        <v>0.38</v>
      </c>
      <c r="I33" s="79">
        <v>0.6</v>
      </c>
      <c r="J33" s="78">
        <v>0.4</v>
      </c>
      <c r="K33" s="79">
        <v>0.59</v>
      </c>
      <c r="L33" s="78">
        <v>0.41</v>
      </c>
      <c r="M33" s="79">
        <v>0.18899999999999995</v>
      </c>
      <c r="N33" s="78">
        <v>0.81100000000000005</v>
      </c>
      <c r="O33" s="79">
        <v>0.18899999999999995</v>
      </c>
      <c r="P33" s="78">
        <v>0.81100000000000005</v>
      </c>
      <c r="Q33" s="79">
        <v>0.18899999999999995</v>
      </c>
      <c r="R33" s="78">
        <v>0.81100000000000005</v>
      </c>
      <c r="S33" s="79">
        <v>0.18899999999999995</v>
      </c>
      <c r="T33" s="78">
        <v>0.81100000000000005</v>
      </c>
      <c r="U33" s="79">
        <v>0.18899999999999995</v>
      </c>
      <c r="V33" s="78">
        <v>0.81100000000000005</v>
      </c>
      <c r="W33" s="79">
        <v>0.18899999999999995</v>
      </c>
      <c r="X33" s="78">
        <v>0.81100000000000005</v>
      </c>
      <c r="Y33" s="194">
        <f t="shared" si="2"/>
        <v>0.76200000000000001</v>
      </c>
      <c r="Z33" s="195">
        <f t="shared" si="3"/>
        <v>0.23799999999999999</v>
      </c>
    </row>
    <row r="34" spans="2:26" s="132" customFormat="1" x14ac:dyDescent="0.2">
      <c r="B34" s="295" t="s">
        <v>143</v>
      </c>
      <c r="C34" s="77">
        <v>1</v>
      </c>
      <c r="D34" s="78">
        <v>0</v>
      </c>
      <c r="E34" s="79">
        <v>1</v>
      </c>
      <c r="F34" s="78">
        <v>0</v>
      </c>
      <c r="G34" s="79">
        <v>0.62</v>
      </c>
      <c r="H34" s="78">
        <v>0.38</v>
      </c>
      <c r="I34" s="79">
        <v>0.6</v>
      </c>
      <c r="J34" s="78">
        <v>0.4</v>
      </c>
      <c r="K34" s="79">
        <v>0.59</v>
      </c>
      <c r="L34" s="78">
        <v>0.41</v>
      </c>
      <c r="M34" s="79">
        <v>0.18899999999999995</v>
      </c>
      <c r="N34" s="78">
        <v>0.81100000000000005</v>
      </c>
      <c r="O34" s="79">
        <v>0.18899999999999995</v>
      </c>
      <c r="P34" s="78">
        <v>0.81100000000000005</v>
      </c>
      <c r="Q34" s="79">
        <v>0.18899999999999995</v>
      </c>
      <c r="R34" s="78">
        <v>0.81100000000000005</v>
      </c>
      <c r="S34" s="79">
        <v>0.18899999999999995</v>
      </c>
      <c r="T34" s="78">
        <v>0.81100000000000005</v>
      </c>
      <c r="U34" s="79">
        <v>0.18899999999999995</v>
      </c>
      <c r="V34" s="78">
        <v>0.81100000000000005</v>
      </c>
      <c r="W34" s="79">
        <v>0.18899999999999995</v>
      </c>
      <c r="X34" s="78">
        <v>0.81100000000000005</v>
      </c>
      <c r="Y34" s="194">
        <f t="shared" si="2"/>
        <v>0.76200000000000001</v>
      </c>
      <c r="Z34" s="195">
        <f t="shared" si="3"/>
        <v>0.23799999999999999</v>
      </c>
    </row>
    <row r="35" spans="2:26" s="132" customFormat="1" x14ac:dyDescent="0.2">
      <c r="B35" s="295" t="s">
        <v>168</v>
      </c>
      <c r="C35" s="77">
        <v>1</v>
      </c>
      <c r="D35" s="78">
        <v>0</v>
      </c>
      <c r="E35" s="79">
        <v>1</v>
      </c>
      <c r="F35" s="78">
        <v>0</v>
      </c>
      <c r="G35" s="79">
        <v>0.62</v>
      </c>
      <c r="H35" s="78">
        <v>0.38</v>
      </c>
      <c r="I35" s="79">
        <v>0.6</v>
      </c>
      <c r="J35" s="78">
        <v>0.4</v>
      </c>
      <c r="K35" s="79">
        <v>0.59</v>
      </c>
      <c r="L35" s="78">
        <v>0.41</v>
      </c>
      <c r="M35" s="79">
        <v>0.18899999999999995</v>
      </c>
      <c r="N35" s="78">
        <v>0.81100000000000005</v>
      </c>
      <c r="O35" s="79">
        <v>0.18899999999999995</v>
      </c>
      <c r="P35" s="78">
        <v>0.81100000000000005</v>
      </c>
      <c r="Q35" s="79">
        <v>0.18899999999999995</v>
      </c>
      <c r="R35" s="78">
        <v>0.81100000000000005</v>
      </c>
      <c r="S35" s="79">
        <v>0.18899999999999995</v>
      </c>
      <c r="T35" s="78">
        <v>0.81100000000000005</v>
      </c>
      <c r="U35" s="79">
        <v>0.18899999999999995</v>
      </c>
      <c r="V35" s="78">
        <v>0.81100000000000005</v>
      </c>
      <c r="W35" s="79">
        <v>0.18899999999999995</v>
      </c>
      <c r="X35" s="78">
        <v>0.81100000000000005</v>
      </c>
      <c r="Y35" s="194">
        <f t="shared" si="2"/>
        <v>0.76200000000000001</v>
      </c>
      <c r="Z35" s="195">
        <f t="shared" si="3"/>
        <v>0.23799999999999999</v>
      </c>
    </row>
    <row r="36" spans="2:26" s="132" customFormat="1" x14ac:dyDescent="0.2">
      <c r="B36" s="295" t="s">
        <v>144</v>
      </c>
      <c r="C36" s="77">
        <v>1</v>
      </c>
      <c r="D36" s="78">
        <v>0</v>
      </c>
      <c r="E36" s="79">
        <v>1</v>
      </c>
      <c r="F36" s="78">
        <v>0</v>
      </c>
      <c r="G36" s="79">
        <v>0.62</v>
      </c>
      <c r="H36" s="78">
        <v>0.38</v>
      </c>
      <c r="I36" s="79">
        <v>0.6</v>
      </c>
      <c r="J36" s="78">
        <v>0.4</v>
      </c>
      <c r="K36" s="79">
        <v>0.59</v>
      </c>
      <c r="L36" s="78">
        <v>0.41</v>
      </c>
      <c r="M36" s="79">
        <v>0.18899999999999995</v>
      </c>
      <c r="N36" s="78">
        <v>0.81100000000000005</v>
      </c>
      <c r="O36" s="79">
        <v>0.18899999999999995</v>
      </c>
      <c r="P36" s="78">
        <v>0.81100000000000005</v>
      </c>
      <c r="Q36" s="79">
        <v>0.18899999999999995</v>
      </c>
      <c r="R36" s="78">
        <v>0.81100000000000005</v>
      </c>
      <c r="S36" s="79">
        <v>0.18899999999999995</v>
      </c>
      <c r="T36" s="78">
        <v>0.81100000000000005</v>
      </c>
      <c r="U36" s="79">
        <v>0.18899999999999995</v>
      </c>
      <c r="V36" s="78">
        <v>0.81100000000000005</v>
      </c>
      <c r="W36" s="79">
        <v>0.18899999999999995</v>
      </c>
      <c r="X36" s="78">
        <v>0.81100000000000005</v>
      </c>
      <c r="Y36" s="194">
        <f t="shared" si="2"/>
        <v>0.76200000000000001</v>
      </c>
      <c r="Z36" s="195">
        <f t="shared" si="3"/>
        <v>0.23799999999999999</v>
      </c>
    </row>
    <row r="37" spans="2:26" s="132" customFormat="1" x14ac:dyDescent="0.2">
      <c r="B37" s="295" t="s">
        <v>145</v>
      </c>
      <c r="C37" s="77">
        <v>1</v>
      </c>
      <c r="D37" s="78">
        <v>0</v>
      </c>
      <c r="E37" s="79">
        <v>1</v>
      </c>
      <c r="F37" s="78">
        <v>0</v>
      </c>
      <c r="G37" s="79">
        <v>0.62</v>
      </c>
      <c r="H37" s="78">
        <v>0.38</v>
      </c>
      <c r="I37" s="79">
        <v>0.6</v>
      </c>
      <c r="J37" s="78">
        <v>0.4</v>
      </c>
      <c r="K37" s="79">
        <v>0.59</v>
      </c>
      <c r="L37" s="78">
        <v>0.41</v>
      </c>
      <c r="M37" s="79">
        <v>0.18899999999999995</v>
      </c>
      <c r="N37" s="78">
        <v>0.81100000000000005</v>
      </c>
      <c r="O37" s="79">
        <v>0.18899999999999995</v>
      </c>
      <c r="P37" s="78">
        <v>0.81100000000000005</v>
      </c>
      <c r="Q37" s="79">
        <v>0.18899999999999995</v>
      </c>
      <c r="R37" s="78">
        <v>0.81100000000000005</v>
      </c>
      <c r="S37" s="79">
        <v>0.18899999999999995</v>
      </c>
      <c r="T37" s="78">
        <v>0.81100000000000005</v>
      </c>
      <c r="U37" s="79">
        <v>0.18899999999999995</v>
      </c>
      <c r="V37" s="78">
        <v>0.81100000000000005</v>
      </c>
      <c r="W37" s="79">
        <v>0.18899999999999995</v>
      </c>
      <c r="X37" s="78">
        <v>0.81100000000000005</v>
      </c>
      <c r="Y37" s="194">
        <f t="shared" si="2"/>
        <v>0.76200000000000001</v>
      </c>
      <c r="Z37" s="195">
        <f t="shared" si="3"/>
        <v>0.23799999999999999</v>
      </c>
    </row>
    <row r="38" spans="2:26" s="132" customFormat="1" x14ac:dyDescent="0.2">
      <c r="B38" s="295" t="s">
        <v>169</v>
      </c>
      <c r="C38" s="77">
        <v>1</v>
      </c>
      <c r="D38" s="78">
        <v>0</v>
      </c>
      <c r="E38" s="79">
        <v>1</v>
      </c>
      <c r="F38" s="78">
        <v>0</v>
      </c>
      <c r="G38" s="79">
        <v>0.62</v>
      </c>
      <c r="H38" s="78">
        <v>0.38</v>
      </c>
      <c r="I38" s="79">
        <v>0.6</v>
      </c>
      <c r="J38" s="78">
        <v>0.4</v>
      </c>
      <c r="K38" s="79">
        <v>0.59</v>
      </c>
      <c r="L38" s="78">
        <v>0.41</v>
      </c>
      <c r="M38" s="79">
        <v>0.18899999999999995</v>
      </c>
      <c r="N38" s="78">
        <v>0.81100000000000005</v>
      </c>
      <c r="O38" s="79">
        <v>0.18899999999999995</v>
      </c>
      <c r="P38" s="78">
        <v>0.81100000000000005</v>
      </c>
      <c r="Q38" s="79">
        <v>0.18899999999999995</v>
      </c>
      <c r="R38" s="78">
        <v>0.81100000000000005</v>
      </c>
      <c r="S38" s="79">
        <v>0.18899999999999995</v>
      </c>
      <c r="T38" s="78">
        <v>0.81100000000000005</v>
      </c>
      <c r="U38" s="79">
        <v>0.18899999999999995</v>
      </c>
      <c r="V38" s="78">
        <v>0.81100000000000005</v>
      </c>
      <c r="W38" s="79">
        <v>0.18899999999999995</v>
      </c>
      <c r="X38" s="78">
        <v>0.81100000000000005</v>
      </c>
      <c r="Y38" s="194">
        <f t="shared" si="2"/>
        <v>0.76200000000000001</v>
      </c>
      <c r="Z38" s="195">
        <f t="shared" si="3"/>
        <v>0.23799999999999999</v>
      </c>
    </row>
    <row r="39" spans="2:26" s="132" customFormat="1" x14ac:dyDescent="0.2">
      <c r="B39" s="295" t="s">
        <v>146</v>
      </c>
      <c r="C39" s="77">
        <v>1</v>
      </c>
      <c r="D39" s="78">
        <v>0</v>
      </c>
      <c r="E39" s="79">
        <v>1</v>
      </c>
      <c r="F39" s="78">
        <v>0</v>
      </c>
      <c r="G39" s="79">
        <v>0.62</v>
      </c>
      <c r="H39" s="78">
        <v>0.38</v>
      </c>
      <c r="I39" s="79">
        <v>0.6</v>
      </c>
      <c r="J39" s="78">
        <v>0.4</v>
      </c>
      <c r="K39" s="79">
        <v>0.59</v>
      </c>
      <c r="L39" s="78">
        <v>0.41</v>
      </c>
      <c r="M39" s="79">
        <v>0.18899999999999995</v>
      </c>
      <c r="N39" s="78">
        <v>0.81100000000000005</v>
      </c>
      <c r="O39" s="79">
        <v>0.18899999999999995</v>
      </c>
      <c r="P39" s="78">
        <v>0.81100000000000005</v>
      </c>
      <c r="Q39" s="79">
        <v>0.18899999999999995</v>
      </c>
      <c r="R39" s="78">
        <v>0.81100000000000005</v>
      </c>
      <c r="S39" s="79">
        <v>0.18899999999999995</v>
      </c>
      <c r="T39" s="78">
        <v>0.81100000000000005</v>
      </c>
      <c r="U39" s="79">
        <v>0.18899999999999995</v>
      </c>
      <c r="V39" s="78">
        <v>0.81100000000000005</v>
      </c>
      <c r="W39" s="79">
        <v>0.18899999999999995</v>
      </c>
      <c r="X39" s="78">
        <v>0.81100000000000005</v>
      </c>
      <c r="Y39" s="194">
        <f t="shared" si="2"/>
        <v>0.76200000000000001</v>
      </c>
      <c r="Z39" s="195">
        <f t="shared" si="3"/>
        <v>0.23799999999999999</v>
      </c>
    </row>
    <row r="40" spans="2:26" s="132" customFormat="1" x14ac:dyDescent="0.2">
      <c r="B40" s="295" t="s">
        <v>170</v>
      </c>
      <c r="C40" s="77">
        <v>1</v>
      </c>
      <c r="D40" s="78">
        <v>0</v>
      </c>
      <c r="E40" s="79">
        <v>1</v>
      </c>
      <c r="F40" s="78">
        <v>0</v>
      </c>
      <c r="G40" s="79">
        <v>0.62</v>
      </c>
      <c r="H40" s="78">
        <v>0.38</v>
      </c>
      <c r="I40" s="79">
        <v>0.6</v>
      </c>
      <c r="J40" s="78">
        <v>0.4</v>
      </c>
      <c r="K40" s="79">
        <v>0.59</v>
      </c>
      <c r="L40" s="78">
        <v>0.41</v>
      </c>
      <c r="M40" s="79">
        <v>0.18899999999999995</v>
      </c>
      <c r="N40" s="78">
        <v>0.81100000000000005</v>
      </c>
      <c r="O40" s="79">
        <v>0.18899999999999995</v>
      </c>
      <c r="P40" s="78">
        <v>0.81100000000000005</v>
      </c>
      <c r="Q40" s="79">
        <v>0.18899999999999995</v>
      </c>
      <c r="R40" s="78">
        <v>0.81100000000000005</v>
      </c>
      <c r="S40" s="79">
        <v>0.18899999999999995</v>
      </c>
      <c r="T40" s="78">
        <v>0.81100000000000005</v>
      </c>
      <c r="U40" s="79">
        <v>0.18899999999999995</v>
      </c>
      <c r="V40" s="78">
        <v>0.81100000000000005</v>
      </c>
      <c r="W40" s="79">
        <v>0.18899999999999995</v>
      </c>
      <c r="X40" s="78">
        <v>0.81100000000000005</v>
      </c>
      <c r="Y40" s="194">
        <f t="shared" si="2"/>
        <v>0.76200000000000001</v>
      </c>
      <c r="Z40" s="195">
        <f t="shared" si="3"/>
        <v>0.23799999999999999</v>
      </c>
    </row>
    <row r="41" spans="2:26" s="132" customFormat="1" x14ac:dyDescent="0.2">
      <c r="B41" s="295" t="s">
        <v>147</v>
      </c>
      <c r="C41" s="77">
        <v>1</v>
      </c>
      <c r="D41" s="78">
        <v>0</v>
      </c>
      <c r="E41" s="79">
        <v>1</v>
      </c>
      <c r="F41" s="78">
        <v>0</v>
      </c>
      <c r="G41" s="79">
        <v>0.62</v>
      </c>
      <c r="H41" s="78">
        <v>0.38</v>
      </c>
      <c r="I41" s="79">
        <v>0.6</v>
      </c>
      <c r="J41" s="78">
        <v>0.4</v>
      </c>
      <c r="K41" s="79">
        <v>0.59</v>
      </c>
      <c r="L41" s="78">
        <v>0.41</v>
      </c>
      <c r="M41" s="79">
        <v>0.18899999999999995</v>
      </c>
      <c r="N41" s="78">
        <v>0.81100000000000005</v>
      </c>
      <c r="O41" s="79">
        <v>0.18899999999999995</v>
      </c>
      <c r="P41" s="78">
        <v>0.81100000000000005</v>
      </c>
      <c r="Q41" s="79">
        <v>0.18899999999999995</v>
      </c>
      <c r="R41" s="78">
        <v>0.81100000000000005</v>
      </c>
      <c r="S41" s="79">
        <v>0.18899999999999995</v>
      </c>
      <c r="T41" s="78">
        <v>0.81100000000000005</v>
      </c>
      <c r="U41" s="79">
        <v>0.18899999999999995</v>
      </c>
      <c r="V41" s="78">
        <v>0.81100000000000005</v>
      </c>
      <c r="W41" s="79">
        <v>0.18899999999999995</v>
      </c>
      <c r="X41" s="78">
        <v>0.81100000000000005</v>
      </c>
      <c r="Y41" s="194">
        <f t="shared" si="2"/>
        <v>0.76200000000000001</v>
      </c>
      <c r="Z41" s="195">
        <f t="shared" si="3"/>
        <v>0.23799999999999999</v>
      </c>
    </row>
    <row r="42" spans="2:26" s="132" customFormat="1" x14ac:dyDescent="0.2">
      <c r="B42" s="295" t="s">
        <v>174</v>
      </c>
      <c r="C42" s="77">
        <v>1</v>
      </c>
      <c r="D42" s="78">
        <v>0</v>
      </c>
      <c r="E42" s="79">
        <v>1</v>
      </c>
      <c r="F42" s="78">
        <v>0</v>
      </c>
      <c r="G42" s="79">
        <v>0.62</v>
      </c>
      <c r="H42" s="78">
        <v>0.38</v>
      </c>
      <c r="I42" s="79">
        <v>0.6</v>
      </c>
      <c r="J42" s="78">
        <v>0.4</v>
      </c>
      <c r="K42" s="79">
        <v>0.59</v>
      </c>
      <c r="L42" s="78">
        <v>0.41</v>
      </c>
      <c r="M42" s="79">
        <v>0.18899999999999995</v>
      </c>
      <c r="N42" s="78">
        <v>0.81100000000000005</v>
      </c>
      <c r="O42" s="79">
        <v>0.18899999999999995</v>
      </c>
      <c r="P42" s="78">
        <v>0.81100000000000005</v>
      </c>
      <c r="Q42" s="79">
        <v>0.18899999999999995</v>
      </c>
      <c r="R42" s="78">
        <v>0.81100000000000005</v>
      </c>
      <c r="S42" s="79">
        <v>0.18899999999999995</v>
      </c>
      <c r="T42" s="78">
        <v>0.81100000000000005</v>
      </c>
      <c r="U42" s="79">
        <v>0.18899999999999995</v>
      </c>
      <c r="V42" s="78">
        <v>0.81100000000000005</v>
      </c>
      <c r="W42" s="79">
        <v>0.18899999999999995</v>
      </c>
      <c r="X42" s="78">
        <v>0.81100000000000005</v>
      </c>
      <c r="Y42" s="194">
        <f t="shared" si="2"/>
        <v>0.76200000000000001</v>
      </c>
      <c r="Z42" s="195">
        <f t="shared" si="3"/>
        <v>0.23799999999999999</v>
      </c>
    </row>
    <row r="43" spans="2:26" s="132" customFormat="1" x14ac:dyDescent="0.2">
      <c r="B43" s="295" t="s">
        <v>171</v>
      </c>
      <c r="C43" s="77">
        <v>1</v>
      </c>
      <c r="D43" s="78">
        <v>0</v>
      </c>
      <c r="E43" s="79">
        <v>1</v>
      </c>
      <c r="F43" s="78">
        <v>0</v>
      </c>
      <c r="G43" s="79">
        <v>0.62</v>
      </c>
      <c r="H43" s="78">
        <v>0.38</v>
      </c>
      <c r="I43" s="79">
        <v>0.6</v>
      </c>
      <c r="J43" s="78">
        <v>0.4</v>
      </c>
      <c r="K43" s="79">
        <v>0.59</v>
      </c>
      <c r="L43" s="78">
        <v>0.41</v>
      </c>
      <c r="M43" s="79">
        <v>0.18899999999999995</v>
      </c>
      <c r="N43" s="78">
        <v>0.81100000000000005</v>
      </c>
      <c r="O43" s="79">
        <v>0.18899999999999995</v>
      </c>
      <c r="P43" s="78">
        <v>0.81100000000000005</v>
      </c>
      <c r="Q43" s="79">
        <v>0.18899999999999995</v>
      </c>
      <c r="R43" s="78">
        <v>0.81100000000000005</v>
      </c>
      <c r="S43" s="79">
        <v>0.18899999999999995</v>
      </c>
      <c r="T43" s="78">
        <v>0.81100000000000005</v>
      </c>
      <c r="U43" s="79">
        <v>0.18899999999999995</v>
      </c>
      <c r="V43" s="78">
        <v>0.81100000000000005</v>
      </c>
      <c r="W43" s="79">
        <v>0.18899999999999995</v>
      </c>
      <c r="X43" s="78">
        <v>0.81100000000000005</v>
      </c>
      <c r="Y43" s="194">
        <f t="shared" si="2"/>
        <v>0.76200000000000001</v>
      </c>
      <c r="Z43" s="195">
        <f t="shared" si="3"/>
        <v>0.23799999999999999</v>
      </c>
    </row>
    <row r="44" spans="2:26" s="132" customFormat="1" x14ac:dyDescent="0.2">
      <c r="B44" s="295" t="s">
        <v>172</v>
      </c>
      <c r="C44" s="77">
        <v>1</v>
      </c>
      <c r="D44" s="78">
        <v>0</v>
      </c>
      <c r="E44" s="79">
        <v>1</v>
      </c>
      <c r="F44" s="78">
        <v>0</v>
      </c>
      <c r="G44" s="79">
        <v>0.62</v>
      </c>
      <c r="H44" s="78">
        <v>0.38</v>
      </c>
      <c r="I44" s="79">
        <v>0.6</v>
      </c>
      <c r="J44" s="78">
        <v>0.4</v>
      </c>
      <c r="K44" s="79">
        <v>0.59</v>
      </c>
      <c r="L44" s="78">
        <v>0.41</v>
      </c>
      <c r="M44" s="79">
        <v>0.18899999999999995</v>
      </c>
      <c r="N44" s="78">
        <v>0.81100000000000005</v>
      </c>
      <c r="O44" s="79">
        <v>0.18899999999999995</v>
      </c>
      <c r="P44" s="78">
        <v>0.81100000000000005</v>
      </c>
      <c r="Q44" s="79">
        <v>0.18899999999999995</v>
      </c>
      <c r="R44" s="78">
        <v>0.81100000000000005</v>
      </c>
      <c r="S44" s="79">
        <v>0.18899999999999995</v>
      </c>
      <c r="T44" s="78">
        <v>0.81100000000000005</v>
      </c>
      <c r="U44" s="79">
        <v>0.18899999999999995</v>
      </c>
      <c r="V44" s="78">
        <v>0.81100000000000005</v>
      </c>
      <c r="W44" s="79">
        <v>0.18899999999999995</v>
      </c>
      <c r="X44" s="78">
        <v>0.81100000000000005</v>
      </c>
      <c r="Y44" s="194">
        <f t="shared" si="2"/>
        <v>0.76200000000000001</v>
      </c>
      <c r="Z44" s="195">
        <f t="shared" si="3"/>
        <v>0.23799999999999999</v>
      </c>
    </row>
    <row r="45" spans="2:26" s="132" customFormat="1" x14ac:dyDescent="0.2">
      <c r="B45" s="295" t="s">
        <v>173</v>
      </c>
      <c r="C45" s="77">
        <v>1</v>
      </c>
      <c r="D45" s="78">
        <v>0</v>
      </c>
      <c r="E45" s="79">
        <v>1</v>
      </c>
      <c r="F45" s="78">
        <v>0</v>
      </c>
      <c r="G45" s="79">
        <v>0.62</v>
      </c>
      <c r="H45" s="78">
        <v>0.38</v>
      </c>
      <c r="I45" s="79">
        <v>0.6</v>
      </c>
      <c r="J45" s="78">
        <v>0.4</v>
      </c>
      <c r="K45" s="79">
        <v>0.59</v>
      </c>
      <c r="L45" s="78">
        <v>0.41</v>
      </c>
      <c r="M45" s="79">
        <v>0.18899999999999995</v>
      </c>
      <c r="N45" s="78">
        <v>0.81100000000000005</v>
      </c>
      <c r="O45" s="79">
        <v>0.18899999999999995</v>
      </c>
      <c r="P45" s="78">
        <v>0.81100000000000005</v>
      </c>
      <c r="Q45" s="79">
        <v>0.18899999999999995</v>
      </c>
      <c r="R45" s="78">
        <v>0.81100000000000005</v>
      </c>
      <c r="S45" s="79">
        <v>0.18899999999999995</v>
      </c>
      <c r="T45" s="78">
        <v>0.81100000000000005</v>
      </c>
      <c r="U45" s="79">
        <v>0.18899999999999995</v>
      </c>
      <c r="V45" s="78">
        <v>0.81100000000000005</v>
      </c>
      <c r="W45" s="79">
        <v>0.18899999999999995</v>
      </c>
      <c r="X45" s="78">
        <v>0.81100000000000005</v>
      </c>
      <c r="Y45" s="194">
        <f t="shared" si="2"/>
        <v>0.76200000000000001</v>
      </c>
      <c r="Z45" s="195">
        <f t="shared" si="3"/>
        <v>0.23799999999999999</v>
      </c>
    </row>
    <row r="46" spans="2:26" s="132" customFormat="1" x14ac:dyDescent="0.2">
      <c r="B46" s="295" t="s">
        <v>148</v>
      </c>
      <c r="C46" s="77">
        <v>1</v>
      </c>
      <c r="D46" s="78">
        <v>0</v>
      </c>
      <c r="E46" s="79">
        <v>1</v>
      </c>
      <c r="F46" s="78">
        <v>0</v>
      </c>
      <c r="G46" s="79">
        <v>0.62</v>
      </c>
      <c r="H46" s="78">
        <v>0.38</v>
      </c>
      <c r="I46" s="79">
        <v>0.6</v>
      </c>
      <c r="J46" s="78">
        <v>0.4</v>
      </c>
      <c r="K46" s="79">
        <v>0.59</v>
      </c>
      <c r="L46" s="78">
        <v>0.41</v>
      </c>
      <c r="M46" s="79">
        <v>0.18899999999999995</v>
      </c>
      <c r="N46" s="78">
        <v>0.81100000000000005</v>
      </c>
      <c r="O46" s="79">
        <v>0.18899999999999995</v>
      </c>
      <c r="P46" s="78">
        <v>0.81100000000000005</v>
      </c>
      <c r="Q46" s="79">
        <v>0.18899999999999995</v>
      </c>
      <c r="R46" s="78">
        <v>0.81100000000000005</v>
      </c>
      <c r="S46" s="79">
        <v>0.18899999999999995</v>
      </c>
      <c r="T46" s="78">
        <v>0.81100000000000005</v>
      </c>
      <c r="U46" s="79">
        <v>0.18899999999999995</v>
      </c>
      <c r="V46" s="78">
        <v>0.81100000000000005</v>
      </c>
      <c r="W46" s="79">
        <v>0.18899999999999995</v>
      </c>
      <c r="X46" s="78">
        <v>0.81100000000000005</v>
      </c>
      <c r="Y46" s="194">
        <f t="shared" si="2"/>
        <v>0.76200000000000001</v>
      </c>
      <c r="Z46" s="195">
        <f t="shared" si="3"/>
        <v>0.23799999999999999</v>
      </c>
    </row>
    <row r="47" spans="2:26" s="132" customFormat="1" x14ac:dyDescent="0.2">
      <c r="B47" s="295" t="s">
        <v>149</v>
      </c>
      <c r="C47" s="77">
        <v>1</v>
      </c>
      <c r="D47" s="78">
        <v>0</v>
      </c>
      <c r="E47" s="79">
        <v>1</v>
      </c>
      <c r="F47" s="78">
        <v>0</v>
      </c>
      <c r="G47" s="79">
        <v>0.62</v>
      </c>
      <c r="H47" s="78">
        <v>0.38</v>
      </c>
      <c r="I47" s="79">
        <v>0.6</v>
      </c>
      <c r="J47" s="78">
        <v>0.4</v>
      </c>
      <c r="K47" s="79">
        <v>0.59</v>
      </c>
      <c r="L47" s="78">
        <v>0.41</v>
      </c>
      <c r="M47" s="79">
        <v>0.18899999999999995</v>
      </c>
      <c r="N47" s="78">
        <v>0.81100000000000005</v>
      </c>
      <c r="O47" s="79">
        <v>0.18899999999999995</v>
      </c>
      <c r="P47" s="78">
        <v>0.81100000000000005</v>
      </c>
      <c r="Q47" s="79">
        <v>0.18899999999999995</v>
      </c>
      <c r="R47" s="78">
        <v>0.81100000000000005</v>
      </c>
      <c r="S47" s="79">
        <v>0.18899999999999995</v>
      </c>
      <c r="T47" s="78">
        <v>0.81100000000000005</v>
      </c>
      <c r="U47" s="79">
        <v>0.18899999999999995</v>
      </c>
      <c r="V47" s="78">
        <v>0.81100000000000005</v>
      </c>
      <c r="W47" s="79">
        <v>0.18899999999999995</v>
      </c>
      <c r="X47" s="78">
        <v>0.81100000000000005</v>
      </c>
      <c r="Y47" s="194">
        <f t="shared" si="2"/>
        <v>0.76200000000000001</v>
      </c>
      <c r="Z47" s="195">
        <f t="shared" si="3"/>
        <v>0.23799999999999999</v>
      </c>
    </row>
    <row r="48" spans="2:26" s="132" customFormat="1" x14ac:dyDescent="0.2">
      <c r="B48" s="295" t="s">
        <v>150</v>
      </c>
      <c r="C48" s="77">
        <v>1</v>
      </c>
      <c r="D48" s="78">
        <v>0</v>
      </c>
      <c r="E48" s="79">
        <v>1</v>
      </c>
      <c r="F48" s="78">
        <v>0</v>
      </c>
      <c r="G48" s="79">
        <v>0.62</v>
      </c>
      <c r="H48" s="78">
        <v>0.38</v>
      </c>
      <c r="I48" s="79">
        <v>0.6</v>
      </c>
      <c r="J48" s="78">
        <v>0.4</v>
      </c>
      <c r="K48" s="79">
        <v>0.59</v>
      </c>
      <c r="L48" s="78">
        <v>0.41</v>
      </c>
      <c r="M48" s="79">
        <v>0.18899999999999995</v>
      </c>
      <c r="N48" s="78">
        <v>0.81100000000000005</v>
      </c>
      <c r="O48" s="79">
        <v>0.18899999999999995</v>
      </c>
      <c r="P48" s="78">
        <v>0.81100000000000005</v>
      </c>
      <c r="Q48" s="79">
        <v>0.18899999999999995</v>
      </c>
      <c r="R48" s="78">
        <v>0.81100000000000005</v>
      </c>
      <c r="S48" s="79">
        <v>0.18899999999999995</v>
      </c>
      <c r="T48" s="78">
        <v>0.81100000000000005</v>
      </c>
      <c r="U48" s="79">
        <v>0.18899999999999995</v>
      </c>
      <c r="V48" s="78">
        <v>0.81100000000000005</v>
      </c>
      <c r="W48" s="79">
        <v>0.18899999999999995</v>
      </c>
      <c r="X48" s="78">
        <v>0.81100000000000005</v>
      </c>
      <c r="Y48" s="194">
        <f t="shared" si="2"/>
        <v>0.76200000000000001</v>
      </c>
      <c r="Z48" s="195">
        <f t="shared" si="3"/>
        <v>0.23799999999999999</v>
      </c>
    </row>
    <row r="49" spans="2:26" s="132" customFormat="1" x14ac:dyDescent="0.2">
      <c r="B49" s="295" t="s">
        <v>151</v>
      </c>
      <c r="C49" s="77">
        <v>1</v>
      </c>
      <c r="D49" s="78">
        <v>0</v>
      </c>
      <c r="E49" s="79">
        <v>1</v>
      </c>
      <c r="F49" s="78">
        <v>0</v>
      </c>
      <c r="G49" s="79">
        <v>0.62</v>
      </c>
      <c r="H49" s="78">
        <v>0.38</v>
      </c>
      <c r="I49" s="79">
        <v>0.6</v>
      </c>
      <c r="J49" s="78">
        <v>0.4</v>
      </c>
      <c r="K49" s="79">
        <v>0.59</v>
      </c>
      <c r="L49" s="78">
        <v>0.41</v>
      </c>
      <c r="M49" s="79">
        <v>0.18899999999999995</v>
      </c>
      <c r="N49" s="78">
        <v>0.81100000000000005</v>
      </c>
      <c r="O49" s="79">
        <v>0.18899999999999995</v>
      </c>
      <c r="P49" s="78">
        <v>0.81100000000000005</v>
      </c>
      <c r="Q49" s="79">
        <v>0.18899999999999995</v>
      </c>
      <c r="R49" s="78">
        <v>0.81100000000000005</v>
      </c>
      <c r="S49" s="79">
        <v>0.18899999999999995</v>
      </c>
      <c r="T49" s="78">
        <v>0.81100000000000005</v>
      </c>
      <c r="U49" s="79">
        <v>0.18899999999999995</v>
      </c>
      <c r="V49" s="78">
        <v>0.81100000000000005</v>
      </c>
      <c r="W49" s="79">
        <v>0.18899999999999995</v>
      </c>
      <c r="X49" s="78">
        <v>0.81100000000000005</v>
      </c>
      <c r="Y49" s="194">
        <f t="shared" si="2"/>
        <v>0.76200000000000001</v>
      </c>
      <c r="Z49" s="195">
        <f t="shared" si="3"/>
        <v>0.23799999999999999</v>
      </c>
    </row>
    <row r="50" spans="2:26" s="132" customFormat="1" x14ac:dyDescent="0.2">
      <c r="B50" s="295" t="s">
        <v>152</v>
      </c>
      <c r="C50" s="77">
        <v>1</v>
      </c>
      <c r="D50" s="78">
        <v>0</v>
      </c>
      <c r="E50" s="79">
        <v>1</v>
      </c>
      <c r="F50" s="78">
        <v>0</v>
      </c>
      <c r="G50" s="79">
        <v>0.62</v>
      </c>
      <c r="H50" s="78">
        <v>0.38</v>
      </c>
      <c r="I50" s="79">
        <v>0.6</v>
      </c>
      <c r="J50" s="78">
        <v>0.4</v>
      </c>
      <c r="K50" s="79">
        <v>0.59</v>
      </c>
      <c r="L50" s="78">
        <v>0.41</v>
      </c>
      <c r="M50" s="79">
        <v>0.18899999999999995</v>
      </c>
      <c r="N50" s="78">
        <v>0.81100000000000005</v>
      </c>
      <c r="O50" s="79">
        <v>0.18899999999999995</v>
      </c>
      <c r="P50" s="78">
        <v>0.81100000000000005</v>
      </c>
      <c r="Q50" s="79">
        <v>0.18899999999999995</v>
      </c>
      <c r="R50" s="78">
        <v>0.81100000000000005</v>
      </c>
      <c r="S50" s="79">
        <v>0.18899999999999995</v>
      </c>
      <c r="T50" s="78">
        <v>0.81100000000000005</v>
      </c>
      <c r="U50" s="79">
        <v>0.18899999999999995</v>
      </c>
      <c r="V50" s="78">
        <v>0.81100000000000005</v>
      </c>
      <c r="W50" s="79">
        <v>0.18899999999999995</v>
      </c>
      <c r="X50" s="78">
        <v>0.81100000000000005</v>
      </c>
      <c r="Y50" s="194">
        <f t="shared" si="2"/>
        <v>0.76200000000000001</v>
      </c>
      <c r="Z50" s="195">
        <f t="shared" si="3"/>
        <v>0.23799999999999999</v>
      </c>
    </row>
    <row r="51" spans="2:26" s="132" customFormat="1" x14ac:dyDescent="0.2">
      <c r="B51" s="295" t="s">
        <v>153</v>
      </c>
      <c r="C51" s="77">
        <v>1</v>
      </c>
      <c r="D51" s="78">
        <v>0</v>
      </c>
      <c r="E51" s="79">
        <v>1</v>
      </c>
      <c r="F51" s="78">
        <v>0</v>
      </c>
      <c r="G51" s="79">
        <v>0.62</v>
      </c>
      <c r="H51" s="78">
        <v>0.38</v>
      </c>
      <c r="I51" s="79">
        <v>0.6</v>
      </c>
      <c r="J51" s="78">
        <v>0.4</v>
      </c>
      <c r="K51" s="79">
        <v>0.59</v>
      </c>
      <c r="L51" s="78">
        <v>0.41</v>
      </c>
      <c r="M51" s="79">
        <v>0.18899999999999995</v>
      </c>
      <c r="N51" s="78">
        <v>0.81100000000000005</v>
      </c>
      <c r="O51" s="79">
        <v>0.18899999999999995</v>
      </c>
      <c r="P51" s="78">
        <v>0.81100000000000005</v>
      </c>
      <c r="Q51" s="79">
        <v>0.18899999999999995</v>
      </c>
      <c r="R51" s="78">
        <v>0.81100000000000005</v>
      </c>
      <c r="S51" s="79">
        <v>0.18899999999999995</v>
      </c>
      <c r="T51" s="78">
        <v>0.81100000000000005</v>
      </c>
      <c r="U51" s="79">
        <v>0.18899999999999995</v>
      </c>
      <c r="V51" s="78">
        <v>0.81100000000000005</v>
      </c>
      <c r="W51" s="79">
        <v>0.18899999999999995</v>
      </c>
      <c r="X51" s="78">
        <v>0.81100000000000005</v>
      </c>
      <c r="Y51" s="194">
        <f t="shared" si="2"/>
        <v>0.76200000000000001</v>
      </c>
      <c r="Z51" s="195">
        <f t="shared" si="3"/>
        <v>0.23799999999999999</v>
      </c>
    </row>
    <row r="52" spans="2:26" s="132" customFormat="1" x14ac:dyDescent="0.2">
      <c r="B52" s="295" t="s">
        <v>154</v>
      </c>
      <c r="C52" s="77">
        <v>1</v>
      </c>
      <c r="D52" s="78">
        <v>0</v>
      </c>
      <c r="E52" s="79">
        <v>1</v>
      </c>
      <c r="F52" s="78">
        <v>0</v>
      </c>
      <c r="G52" s="79">
        <v>0.62</v>
      </c>
      <c r="H52" s="78">
        <v>0.38</v>
      </c>
      <c r="I52" s="79">
        <v>0.6</v>
      </c>
      <c r="J52" s="78">
        <v>0.4</v>
      </c>
      <c r="K52" s="79">
        <v>0.59</v>
      </c>
      <c r="L52" s="78">
        <v>0.41</v>
      </c>
      <c r="M52" s="79">
        <v>0.18899999999999995</v>
      </c>
      <c r="N52" s="78">
        <v>0.81100000000000005</v>
      </c>
      <c r="O52" s="79">
        <v>0.18899999999999995</v>
      </c>
      <c r="P52" s="78">
        <v>0.81100000000000005</v>
      </c>
      <c r="Q52" s="79">
        <v>0.18899999999999995</v>
      </c>
      <c r="R52" s="78">
        <v>0.81100000000000005</v>
      </c>
      <c r="S52" s="79">
        <v>0.18899999999999995</v>
      </c>
      <c r="T52" s="78">
        <v>0.81100000000000005</v>
      </c>
      <c r="U52" s="79">
        <v>0.18899999999999995</v>
      </c>
      <c r="V52" s="78">
        <v>0.81100000000000005</v>
      </c>
      <c r="W52" s="79">
        <v>0.18899999999999995</v>
      </c>
      <c r="X52" s="78">
        <v>0.81100000000000005</v>
      </c>
      <c r="Y52" s="194">
        <f t="shared" si="2"/>
        <v>0.76200000000000001</v>
      </c>
      <c r="Z52" s="195">
        <f t="shared" si="3"/>
        <v>0.23799999999999999</v>
      </c>
    </row>
    <row r="53" spans="2:26" s="132" customFormat="1" x14ac:dyDescent="0.2">
      <c r="B53" s="295" t="s">
        <v>155</v>
      </c>
      <c r="C53" s="77">
        <v>1</v>
      </c>
      <c r="D53" s="78">
        <v>0</v>
      </c>
      <c r="E53" s="79">
        <v>1</v>
      </c>
      <c r="F53" s="78">
        <v>0</v>
      </c>
      <c r="G53" s="79">
        <v>0.62</v>
      </c>
      <c r="H53" s="78">
        <v>0.38</v>
      </c>
      <c r="I53" s="79">
        <v>0.6</v>
      </c>
      <c r="J53" s="78">
        <v>0.4</v>
      </c>
      <c r="K53" s="79">
        <v>0.59</v>
      </c>
      <c r="L53" s="78">
        <v>0.41</v>
      </c>
      <c r="M53" s="79">
        <v>0.18899999999999995</v>
      </c>
      <c r="N53" s="78">
        <v>0.81100000000000005</v>
      </c>
      <c r="O53" s="79">
        <v>0.18899999999999995</v>
      </c>
      <c r="P53" s="78">
        <v>0.81100000000000005</v>
      </c>
      <c r="Q53" s="79">
        <v>0.18899999999999995</v>
      </c>
      <c r="R53" s="78">
        <v>0.81100000000000005</v>
      </c>
      <c r="S53" s="79">
        <v>0.18899999999999995</v>
      </c>
      <c r="T53" s="78">
        <v>0.81100000000000005</v>
      </c>
      <c r="U53" s="79">
        <v>0.18899999999999995</v>
      </c>
      <c r="V53" s="78">
        <v>0.81100000000000005</v>
      </c>
      <c r="W53" s="79">
        <v>0.18899999999999995</v>
      </c>
      <c r="X53" s="78">
        <v>0.81100000000000005</v>
      </c>
      <c r="Y53" s="194">
        <f t="shared" si="2"/>
        <v>0.76200000000000001</v>
      </c>
      <c r="Z53" s="195">
        <f t="shared" si="3"/>
        <v>0.23799999999999999</v>
      </c>
    </row>
    <row r="54" spans="2:26" s="132" customFormat="1" x14ac:dyDescent="0.2">
      <c r="B54" s="295" t="s">
        <v>156</v>
      </c>
      <c r="C54" s="77">
        <v>1</v>
      </c>
      <c r="D54" s="78">
        <v>0</v>
      </c>
      <c r="E54" s="79">
        <v>1</v>
      </c>
      <c r="F54" s="78">
        <v>0</v>
      </c>
      <c r="G54" s="79">
        <v>0.62</v>
      </c>
      <c r="H54" s="78">
        <v>0.38</v>
      </c>
      <c r="I54" s="79">
        <v>0.6</v>
      </c>
      <c r="J54" s="78">
        <v>0.4</v>
      </c>
      <c r="K54" s="79">
        <v>0.59</v>
      </c>
      <c r="L54" s="78">
        <v>0.41</v>
      </c>
      <c r="M54" s="79">
        <v>0.18899999999999995</v>
      </c>
      <c r="N54" s="78">
        <v>0.81100000000000005</v>
      </c>
      <c r="O54" s="79">
        <v>0.18899999999999995</v>
      </c>
      <c r="P54" s="78">
        <v>0.81100000000000005</v>
      </c>
      <c r="Q54" s="79">
        <v>0.18899999999999995</v>
      </c>
      <c r="R54" s="78">
        <v>0.81100000000000005</v>
      </c>
      <c r="S54" s="79">
        <v>0.18899999999999995</v>
      </c>
      <c r="T54" s="78">
        <v>0.81100000000000005</v>
      </c>
      <c r="U54" s="79">
        <v>0.18899999999999995</v>
      </c>
      <c r="V54" s="78">
        <v>0.81100000000000005</v>
      </c>
      <c r="W54" s="79">
        <v>0.18899999999999995</v>
      </c>
      <c r="X54" s="78">
        <v>0.81100000000000005</v>
      </c>
      <c r="Y54" s="194">
        <f t="shared" si="2"/>
        <v>0.76200000000000001</v>
      </c>
      <c r="Z54" s="195">
        <f t="shared" si="3"/>
        <v>0.23799999999999999</v>
      </c>
    </row>
    <row r="55" spans="2:26" s="132" customFormat="1" x14ac:dyDescent="0.2">
      <c r="B55" s="295" t="s">
        <v>157</v>
      </c>
      <c r="C55" s="77">
        <v>1</v>
      </c>
      <c r="D55" s="78">
        <v>0</v>
      </c>
      <c r="E55" s="79">
        <v>1</v>
      </c>
      <c r="F55" s="78">
        <v>0</v>
      </c>
      <c r="G55" s="79">
        <v>0.62</v>
      </c>
      <c r="H55" s="78">
        <v>0.38</v>
      </c>
      <c r="I55" s="79">
        <v>0.6</v>
      </c>
      <c r="J55" s="78">
        <v>0.4</v>
      </c>
      <c r="K55" s="79">
        <v>0.59</v>
      </c>
      <c r="L55" s="78">
        <v>0.41</v>
      </c>
      <c r="M55" s="79">
        <v>0.18899999999999995</v>
      </c>
      <c r="N55" s="78">
        <v>0.81100000000000005</v>
      </c>
      <c r="O55" s="79">
        <v>0.18899999999999995</v>
      </c>
      <c r="P55" s="78">
        <v>0.81100000000000005</v>
      </c>
      <c r="Q55" s="79">
        <v>0.18899999999999995</v>
      </c>
      <c r="R55" s="78">
        <v>0.81100000000000005</v>
      </c>
      <c r="S55" s="79">
        <v>0.18899999999999995</v>
      </c>
      <c r="T55" s="78">
        <v>0.81100000000000005</v>
      </c>
      <c r="U55" s="79">
        <v>0.18899999999999995</v>
      </c>
      <c r="V55" s="78">
        <v>0.81100000000000005</v>
      </c>
      <c r="W55" s="79">
        <v>0.18899999999999995</v>
      </c>
      <c r="X55" s="78">
        <v>0.81100000000000005</v>
      </c>
      <c r="Y55" s="194">
        <f t="shared" si="2"/>
        <v>0.76200000000000001</v>
      </c>
      <c r="Z55" s="195">
        <f t="shared" si="3"/>
        <v>0.23799999999999999</v>
      </c>
    </row>
    <row r="56" spans="2:26" s="132" customFormat="1" x14ac:dyDescent="0.2">
      <c r="B56" s="303" t="s">
        <v>159</v>
      </c>
      <c r="C56" s="77">
        <v>1</v>
      </c>
      <c r="D56" s="78">
        <v>0</v>
      </c>
      <c r="E56" s="79">
        <v>1</v>
      </c>
      <c r="F56" s="78">
        <v>0</v>
      </c>
      <c r="G56" s="79">
        <v>0.62</v>
      </c>
      <c r="H56" s="78">
        <v>0.38</v>
      </c>
      <c r="I56" s="79">
        <v>0.6</v>
      </c>
      <c r="J56" s="78">
        <v>0.4</v>
      </c>
      <c r="K56" s="79">
        <v>0.59</v>
      </c>
      <c r="L56" s="78">
        <v>0.41</v>
      </c>
      <c r="M56" s="79">
        <v>0.18899999999999995</v>
      </c>
      <c r="N56" s="78">
        <v>0.81100000000000005</v>
      </c>
      <c r="O56" s="79">
        <v>0.18899999999999995</v>
      </c>
      <c r="P56" s="78">
        <v>0.81100000000000005</v>
      </c>
      <c r="Q56" s="79">
        <v>0.18899999999999995</v>
      </c>
      <c r="R56" s="78">
        <v>0.81100000000000005</v>
      </c>
      <c r="S56" s="79">
        <v>0.18899999999999995</v>
      </c>
      <c r="T56" s="78">
        <v>0.81100000000000005</v>
      </c>
      <c r="U56" s="79">
        <v>0.18899999999999995</v>
      </c>
      <c r="V56" s="78">
        <v>0.81100000000000005</v>
      </c>
      <c r="W56" s="79">
        <v>0.18899999999999995</v>
      </c>
      <c r="X56" s="78">
        <v>0.81100000000000005</v>
      </c>
      <c r="Y56" s="194">
        <f t="shared" si="2"/>
        <v>0.76200000000000001</v>
      </c>
      <c r="Z56" s="195">
        <f t="shared" si="3"/>
        <v>0.23799999999999999</v>
      </c>
    </row>
    <row r="57" spans="2:26" s="132" customFormat="1" x14ac:dyDescent="0.2">
      <c r="B57" s="295" t="s">
        <v>175</v>
      </c>
      <c r="C57" s="77">
        <v>1</v>
      </c>
      <c r="D57" s="78">
        <v>0</v>
      </c>
      <c r="E57" s="79">
        <v>1</v>
      </c>
      <c r="F57" s="78">
        <v>0</v>
      </c>
      <c r="G57" s="79">
        <v>0.62</v>
      </c>
      <c r="H57" s="78">
        <v>0.38</v>
      </c>
      <c r="I57" s="79">
        <v>0.6</v>
      </c>
      <c r="J57" s="78">
        <v>0.4</v>
      </c>
      <c r="K57" s="79">
        <v>0.59</v>
      </c>
      <c r="L57" s="78">
        <v>0.41</v>
      </c>
      <c r="M57" s="79">
        <v>0.18899999999999995</v>
      </c>
      <c r="N57" s="78">
        <v>0.81100000000000005</v>
      </c>
      <c r="O57" s="79">
        <v>0.18899999999999995</v>
      </c>
      <c r="P57" s="78">
        <v>0.81100000000000005</v>
      </c>
      <c r="Q57" s="79">
        <v>0.18899999999999995</v>
      </c>
      <c r="R57" s="78">
        <v>0.81100000000000005</v>
      </c>
      <c r="S57" s="79">
        <v>0.18899999999999995</v>
      </c>
      <c r="T57" s="78">
        <v>0.81100000000000005</v>
      </c>
      <c r="U57" s="79">
        <v>0.18899999999999995</v>
      </c>
      <c r="V57" s="78">
        <v>0.81100000000000005</v>
      </c>
      <c r="W57" s="79">
        <v>0.18899999999999995</v>
      </c>
      <c r="X57" s="78">
        <v>0.81100000000000005</v>
      </c>
      <c r="Y57" s="194">
        <f t="shared" si="2"/>
        <v>0.76200000000000001</v>
      </c>
      <c r="Z57" s="195">
        <f t="shared" si="3"/>
        <v>0.23799999999999999</v>
      </c>
    </row>
    <row r="58" spans="2:26" s="132" customFormat="1" x14ac:dyDescent="0.2">
      <c r="B58" s="296" t="s">
        <v>158</v>
      </c>
      <c r="C58" s="77">
        <v>1</v>
      </c>
      <c r="D58" s="78">
        <v>0</v>
      </c>
      <c r="E58" s="79">
        <v>1</v>
      </c>
      <c r="F58" s="78">
        <v>0</v>
      </c>
      <c r="G58" s="79">
        <v>0.62</v>
      </c>
      <c r="H58" s="78">
        <v>0.38</v>
      </c>
      <c r="I58" s="79">
        <v>0.6</v>
      </c>
      <c r="J58" s="78">
        <v>0.4</v>
      </c>
      <c r="K58" s="79">
        <v>0.59</v>
      </c>
      <c r="L58" s="78">
        <v>0.41</v>
      </c>
      <c r="M58" s="196">
        <v>0.18899999999999995</v>
      </c>
      <c r="N58" s="197">
        <v>0.81100000000000005</v>
      </c>
      <c r="O58" s="196">
        <v>0.18899999999999995</v>
      </c>
      <c r="P58" s="197">
        <v>0.81100000000000005</v>
      </c>
      <c r="Q58" s="196">
        <v>0.18899999999999995</v>
      </c>
      <c r="R58" s="197">
        <v>0.81100000000000005</v>
      </c>
      <c r="S58" s="196">
        <v>0.18899999999999995</v>
      </c>
      <c r="T58" s="197">
        <v>0.81100000000000005</v>
      </c>
      <c r="U58" s="196">
        <v>0.18899999999999995</v>
      </c>
      <c r="V58" s="197">
        <v>0.81100000000000005</v>
      </c>
      <c r="W58" s="196">
        <v>0.18899999999999995</v>
      </c>
      <c r="X58" s="197">
        <v>0.81100000000000005</v>
      </c>
      <c r="Y58" s="198">
        <f t="shared" si="2"/>
        <v>0.76200000000000001</v>
      </c>
      <c r="Z58" s="199">
        <f t="shared" si="3"/>
        <v>0.23799999999999999</v>
      </c>
    </row>
  </sheetData>
  <mergeCells count="36">
    <mergeCell ref="Y5:Z5"/>
    <mergeCell ref="Y6:Z6"/>
    <mergeCell ref="Y7:Z7"/>
    <mergeCell ref="W7:X7"/>
    <mergeCell ref="W5:X5"/>
    <mergeCell ref="W6:X6"/>
    <mergeCell ref="G5:H5"/>
    <mergeCell ref="G6:H6"/>
    <mergeCell ref="U5:V5"/>
    <mergeCell ref="U7:V7"/>
    <mergeCell ref="O6:P6"/>
    <mergeCell ref="Q6:R6"/>
    <mergeCell ref="S6:T6"/>
    <mergeCell ref="U6:V6"/>
    <mergeCell ref="I5:J5"/>
    <mergeCell ref="O5:P5"/>
    <mergeCell ref="Q5:R5"/>
    <mergeCell ref="S5:T5"/>
    <mergeCell ref="G7:H7"/>
    <mergeCell ref="K5:L5"/>
    <mergeCell ref="M5:N5"/>
    <mergeCell ref="I6:J6"/>
    <mergeCell ref="E7:F7"/>
    <mergeCell ref="C7:D7"/>
    <mergeCell ref="C5:D5"/>
    <mergeCell ref="C6:D6"/>
    <mergeCell ref="E5:F5"/>
    <mergeCell ref="E6:F6"/>
    <mergeCell ref="I7:J7"/>
    <mergeCell ref="K6:L6"/>
    <mergeCell ref="M6:N6"/>
    <mergeCell ref="S7:T7"/>
    <mergeCell ref="Q7:R7"/>
    <mergeCell ref="O7:P7"/>
    <mergeCell ref="M7:N7"/>
    <mergeCell ref="K7:L7"/>
  </mergeCells>
  <conditionalFormatting sqref="C9:L58">
    <cfRule type="colorScale" priority="1">
      <colorScale>
        <cfvo type="min"/>
        <cfvo type="max"/>
        <color rgb="FF0070C0"/>
        <color theme="4" tint="0.79998168889431442"/>
      </colorScale>
    </cfRule>
  </conditionalFormatting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3"/>
  <dimension ref="A1:AG53"/>
  <sheetViews>
    <sheetView topLeftCell="A21" workbookViewId="0">
      <selection activeCell="A52" sqref="A52"/>
    </sheetView>
  </sheetViews>
  <sheetFormatPr defaultRowHeight="12.75" x14ac:dyDescent="0.2"/>
  <cols>
    <col min="1" max="1" width="10" style="4" bestFit="1" customWidth="1"/>
    <col min="2" max="2" width="49.28515625" style="3" bestFit="1" customWidth="1"/>
    <col min="3" max="3" width="14.42578125" style="3" bestFit="1" customWidth="1"/>
    <col min="4" max="4" width="13.85546875" style="3" bestFit="1" customWidth="1"/>
    <col min="5" max="6" width="16.42578125" style="3" bestFit="1" customWidth="1"/>
    <col min="7" max="7" width="18.140625" style="3" bestFit="1" customWidth="1"/>
    <col min="8" max="29" width="16.42578125" style="3" bestFit="1" customWidth="1"/>
    <col min="30" max="30" width="16.28515625" style="3" bestFit="1" customWidth="1"/>
    <col min="31" max="32" width="13.85546875" style="3" bestFit="1" customWidth="1"/>
    <col min="33" max="33" width="16.28515625" style="3" bestFit="1" customWidth="1"/>
    <col min="34" max="16384" width="9.140625" style="4"/>
  </cols>
  <sheetData>
    <row r="1" spans="1:32" ht="15.75" x14ac:dyDescent="0.25">
      <c r="A1" s="12"/>
      <c r="B1" s="4"/>
    </row>
    <row r="2" spans="1:32" x14ac:dyDescent="0.2">
      <c r="AD2" s="4"/>
    </row>
    <row r="3" spans="1:32" x14ac:dyDescent="0.2">
      <c r="B3" s="331" t="s">
        <v>94</v>
      </c>
      <c r="C3" s="332" t="s">
        <v>343</v>
      </c>
      <c r="D3" s="333" t="s">
        <v>344</v>
      </c>
      <c r="E3" s="333" t="s">
        <v>345</v>
      </c>
      <c r="F3" s="333" t="s">
        <v>346</v>
      </c>
      <c r="G3" s="333" t="s">
        <v>347</v>
      </c>
      <c r="H3" s="333" t="s">
        <v>348</v>
      </c>
      <c r="I3" s="333" t="s">
        <v>349</v>
      </c>
      <c r="J3" s="333" t="s">
        <v>350</v>
      </c>
      <c r="K3" s="333" t="s">
        <v>351</v>
      </c>
      <c r="L3" s="333" t="s">
        <v>352</v>
      </c>
      <c r="M3" s="333" t="s">
        <v>353</v>
      </c>
      <c r="N3" s="333" t="s">
        <v>354</v>
      </c>
      <c r="O3" s="333" t="s">
        <v>355</v>
      </c>
      <c r="P3" s="333" t="s">
        <v>356</v>
      </c>
      <c r="Q3" s="333" t="s">
        <v>357</v>
      </c>
      <c r="R3" s="333" t="s">
        <v>358</v>
      </c>
      <c r="S3" s="333" t="s">
        <v>359</v>
      </c>
      <c r="T3" s="333" t="s">
        <v>360</v>
      </c>
      <c r="U3" s="333" t="s">
        <v>361</v>
      </c>
      <c r="V3" s="333" t="s">
        <v>362</v>
      </c>
      <c r="W3" s="333" t="s">
        <v>363</v>
      </c>
      <c r="X3" s="333" t="s">
        <v>364</v>
      </c>
      <c r="Y3" s="333" t="s">
        <v>365</v>
      </c>
      <c r="Z3" s="333" t="s">
        <v>366</v>
      </c>
      <c r="AA3" s="333" t="s">
        <v>367</v>
      </c>
      <c r="AB3" s="333" t="s">
        <v>368</v>
      </c>
      <c r="AC3" s="333" t="s">
        <v>369</v>
      </c>
      <c r="AD3" s="333" t="s">
        <v>370</v>
      </c>
      <c r="AE3" s="333" t="s">
        <v>371</v>
      </c>
      <c r="AF3" s="333" t="s">
        <v>372</v>
      </c>
    </row>
    <row r="4" spans="1:32" x14ac:dyDescent="0.2">
      <c r="B4" s="334" t="s">
        <v>86</v>
      </c>
      <c r="C4" s="335"/>
      <c r="D4" s="336"/>
      <c r="E4" s="336"/>
      <c r="F4" s="336"/>
      <c r="G4" s="336"/>
      <c r="H4" s="336"/>
      <c r="I4" s="336"/>
      <c r="J4" s="336"/>
      <c r="K4" s="336"/>
      <c r="L4" s="336"/>
      <c r="M4" s="336"/>
      <c r="N4" s="336"/>
      <c r="O4" s="336"/>
      <c r="P4" s="336"/>
      <c r="Q4" s="336"/>
      <c r="R4" s="336"/>
      <c r="S4" s="336"/>
      <c r="T4" s="336"/>
      <c r="U4" s="336"/>
      <c r="V4" s="336"/>
      <c r="W4" s="336"/>
      <c r="X4" s="336"/>
      <c r="Y4" s="336"/>
      <c r="Z4" s="336"/>
      <c r="AA4" s="336"/>
      <c r="AB4" s="336"/>
      <c r="AC4" s="336"/>
      <c r="AD4" s="336"/>
      <c r="AE4" s="336"/>
      <c r="AF4" s="336"/>
    </row>
    <row r="5" spans="1:32" x14ac:dyDescent="0.2">
      <c r="B5" s="337" t="s">
        <v>87</v>
      </c>
      <c r="C5" s="338">
        <v>18080000</v>
      </c>
      <c r="D5" s="339">
        <v>18080000</v>
      </c>
      <c r="E5" s="339">
        <v>18080000</v>
      </c>
      <c r="F5" s="339">
        <v>18080000</v>
      </c>
      <c r="G5" s="339">
        <v>18080000</v>
      </c>
      <c r="H5" s="339">
        <v>18080000</v>
      </c>
      <c r="I5" s="339">
        <v>18080000</v>
      </c>
      <c r="J5" s="339">
        <v>18080000</v>
      </c>
      <c r="K5" s="339">
        <v>18080000</v>
      </c>
      <c r="L5" s="339">
        <v>18080000</v>
      </c>
      <c r="M5" s="339">
        <v>18080000</v>
      </c>
      <c r="N5" s="339">
        <v>18080000</v>
      </c>
      <c r="O5" s="339">
        <v>18080000</v>
      </c>
      <c r="P5" s="339">
        <v>18080000</v>
      </c>
      <c r="Q5" s="339">
        <v>18080000</v>
      </c>
      <c r="R5" s="339">
        <v>18080000</v>
      </c>
      <c r="S5" s="339">
        <v>18080000</v>
      </c>
      <c r="T5" s="339">
        <v>18080000</v>
      </c>
      <c r="U5" s="339">
        <v>18080000</v>
      </c>
      <c r="V5" s="339">
        <v>18080000</v>
      </c>
      <c r="W5" s="339">
        <v>18080000</v>
      </c>
      <c r="X5" s="339">
        <v>18080000</v>
      </c>
      <c r="Y5" s="339">
        <v>18080000</v>
      </c>
      <c r="Z5" s="339">
        <v>18080000</v>
      </c>
      <c r="AA5" s="339">
        <v>18080000</v>
      </c>
      <c r="AB5" s="339">
        <v>18080000</v>
      </c>
      <c r="AC5" s="339">
        <v>18080000</v>
      </c>
      <c r="AD5" s="339">
        <v>18080000</v>
      </c>
      <c r="AE5" s="339">
        <v>18080000</v>
      </c>
      <c r="AF5" s="339">
        <v>18080000</v>
      </c>
    </row>
    <row r="6" spans="1:32" x14ac:dyDescent="0.2">
      <c r="B6" s="340" t="s">
        <v>88</v>
      </c>
      <c r="C6" s="335"/>
      <c r="D6" s="336"/>
      <c r="E6" s="336"/>
      <c r="F6" s="336"/>
      <c r="G6" s="336"/>
      <c r="H6" s="336"/>
      <c r="I6" s="336"/>
      <c r="J6" s="336"/>
      <c r="K6" s="336"/>
      <c r="L6" s="336"/>
      <c r="M6" s="336"/>
      <c r="N6" s="336"/>
      <c r="O6" s="336"/>
      <c r="P6" s="336"/>
      <c r="Q6" s="336"/>
      <c r="R6" s="336"/>
      <c r="S6" s="336"/>
      <c r="T6" s="336"/>
      <c r="U6" s="336"/>
      <c r="V6" s="336"/>
      <c r="W6" s="336"/>
      <c r="X6" s="336"/>
      <c r="Y6" s="336"/>
      <c r="Z6" s="336"/>
      <c r="AA6" s="336"/>
      <c r="AB6" s="336"/>
      <c r="AC6" s="336"/>
      <c r="AD6" s="336"/>
      <c r="AE6" s="336"/>
      <c r="AF6" s="336"/>
    </row>
    <row r="7" spans="1:32" x14ac:dyDescent="0.2">
      <c r="B7" s="337" t="s">
        <v>87</v>
      </c>
      <c r="C7" s="341"/>
      <c r="D7" s="342"/>
      <c r="E7" s="339">
        <v>6000000</v>
      </c>
      <c r="F7" s="339">
        <v>6000000</v>
      </c>
      <c r="G7" s="339">
        <v>6000000</v>
      </c>
      <c r="H7" s="339">
        <v>6000000</v>
      </c>
      <c r="I7" s="339">
        <v>6000000</v>
      </c>
      <c r="J7" s="339">
        <v>6000000</v>
      </c>
      <c r="K7" s="339">
        <v>6000000</v>
      </c>
      <c r="L7" s="339">
        <v>6000000</v>
      </c>
      <c r="M7" s="339">
        <v>6000000</v>
      </c>
      <c r="N7" s="339">
        <v>6000000</v>
      </c>
      <c r="O7" s="339">
        <v>6000000</v>
      </c>
      <c r="P7" s="339">
        <v>6000000</v>
      </c>
      <c r="Q7" s="339">
        <v>6000000</v>
      </c>
      <c r="R7" s="339">
        <v>6000000</v>
      </c>
      <c r="S7" s="339">
        <v>6000000</v>
      </c>
      <c r="T7" s="339">
        <v>6000000</v>
      </c>
      <c r="U7" s="339">
        <v>6000000</v>
      </c>
      <c r="V7" s="339">
        <v>6000000</v>
      </c>
      <c r="W7" s="339">
        <v>6000000</v>
      </c>
      <c r="X7" s="339">
        <v>6000000</v>
      </c>
      <c r="Y7" s="339">
        <v>6000000</v>
      </c>
      <c r="Z7" s="339">
        <v>6000000</v>
      </c>
      <c r="AA7" s="339">
        <v>6000000</v>
      </c>
      <c r="AB7" s="339">
        <v>6000000</v>
      </c>
      <c r="AC7" s="339">
        <v>6000000</v>
      </c>
      <c r="AD7" s="339">
        <v>6000000</v>
      </c>
      <c r="AE7" s="339">
        <v>6000000</v>
      </c>
      <c r="AF7" s="339">
        <v>6000000</v>
      </c>
    </row>
    <row r="8" spans="1:32" x14ac:dyDescent="0.2">
      <c r="B8" s="340" t="s">
        <v>222</v>
      </c>
      <c r="C8" s="335"/>
      <c r="D8" s="336"/>
      <c r="E8" s="336"/>
      <c r="F8" s="336"/>
      <c r="G8" s="336"/>
      <c r="H8" s="336"/>
      <c r="I8" s="336"/>
      <c r="J8" s="336"/>
      <c r="K8" s="336"/>
      <c r="L8" s="336"/>
      <c r="M8" s="336"/>
      <c r="N8" s="336"/>
      <c r="O8" s="336"/>
      <c r="P8" s="336"/>
      <c r="Q8" s="336"/>
      <c r="R8" s="336"/>
      <c r="S8" s="336"/>
      <c r="T8" s="336"/>
      <c r="U8" s="336"/>
      <c r="V8" s="336"/>
      <c r="W8" s="336"/>
      <c r="X8" s="336"/>
      <c r="Y8" s="336"/>
      <c r="Z8" s="336"/>
      <c r="AA8" s="336"/>
      <c r="AB8" s="336"/>
      <c r="AC8" s="336"/>
      <c r="AD8" s="336"/>
      <c r="AE8" s="336"/>
      <c r="AF8" s="336"/>
    </row>
    <row r="9" spans="1:32" x14ac:dyDescent="0.2">
      <c r="B9" s="337" t="s">
        <v>87</v>
      </c>
      <c r="C9" s="341"/>
      <c r="D9" s="342"/>
      <c r="E9" s="342"/>
      <c r="F9" s="342"/>
      <c r="G9" s="342"/>
      <c r="H9" s="342"/>
      <c r="I9" s="342"/>
      <c r="J9" s="342"/>
      <c r="K9" s="342"/>
      <c r="L9" s="342"/>
      <c r="M9" s="339">
        <v>5200000</v>
      </c>
      <c r="N9" s="339">
        <v>5200000</v>
      </c>
      <c r="O9" s="339">
        <v>5200000</v>
      </c>
      <c r="P9" s="339">
        <v>5200000</v>
      </c>
      <c r="Q9" s="339">
        <v>5200000</v>
      </c>
      <c r="R9" s="339">
        <v>5200000</v>
      </c>
      <c r="S9" s="339">
        <v>5200000</v>
      </c>
      <c r="T9" s="339">
        <v>5200000</v>
      </c>
      <c r="U9" s="339">
        <v>5200000</v>
      </c>
      <c r="V9" s="339">
        <v>5200000</v>
      </c>
      <c r="W9" s="339">
        <v>5200000</v>
      </c>
      <c r="X9" s="339">
        <v>5200000</v>
      </c>
      <c r="Y9" s="339">
        <v>5200000</v>
      </c>
      <c r="Z9" s="339">
        <v>5200000</v>
      </c>
      <c r="AA9" s="339">
        <v>5200000</v>
      </c>
      <c r="AB9" s="339">
        <v>5200000</v>
      </c>
      <c r="AC9" s="339">
        <v>5200000</v>
      </c>
      <c r="AD9" s="339">
        <v>5200000</v>
      </c>
      <c r="AE9" s="339">
        <v>5200000</v>
      </c>
      <c r="AF9" s="339">
        <v>5200000</v>
      </c>
    </row>
    <row r="10" spans="1:32" x14ac:dyDescent="0.2">
      <c r="B10" s="340" t="s">
        <v>89</v>
      </c>
      <c r="C10" s="335"/>
      <c r="D10" s="336"/>
      <c r="E10" s="336"/>
      <c r="F10" s="336"/>
      <c r="G10" s="336"/>
      <c r="H10" s="336"/>
      <c r="I10" s="336"/>
      <c r="J10" s="336"/>
      <c r="K10" s="336"/>
      <c r="L10" s="336"/>
      <c r="M10" s="336"/>
      <c r="N10" s="336"/>
      <c r="O10" s="336"/>
      <c r="P10" s="336"/>
      <c r="Q10" s="336"/>
      <c r="R10" s="336"/>
      <c r="S10" s="336"/>
      <c r="T10" s="336"/>
      <c r="U10" s="336"/>
      <c r="V10" s="336"/>
      <c r="W10" s="336"/>
      <c r="X10" s="336"/>
      <c r="Y10" s="336"/>
      <c r="Z10" s="336"/>
      <c r="AA10" s="336"/>
      <c r="AB10" s="336"/>
      <c r="AC10" s="336"/>
      <c r="AD10" s="336"/>
      <c r="AE10" s="336"/>
      <c r="AF10" s="336"/>
    </row>
    <row r="11" spans="1:32" x14ac:dyDescent="0.2">
      <c r="B11" s="343" t="s">
        <v>87</v>
      </c>
      <c r="C11" s="344"/>
      <c r="D11" s="345"/>
      <c r="E11" s="345"/>
      <c r="F11" s="345"/>
      <c r="G11" s="345"/>
      <c r="H11" s="345"/>
      <c r="I11" s="345"/>
      <c r="J11" s="345"/>
      <c r="K11" s="345"/>
      <c r="L11" s="345"/>
      <c r="M11" s="345"/>
      <c r="N11" s="345"/>
      <c r="O11" s="345"/>
      <c r="P11" s="345"/>
      <c r="Q11" s="345"/>
      <c r="R11" s="345"/>
      <c r="S11" s="345"/>
      <c r="T11" s="345"/>
      <c r="U11" s="345"/>
      <c r="V11" s="345"/>
      <c r="W11" s="345"/>
      <c r="X11" s="346">
        <v>6000000</v>
      </c>
      <c r="Y11" s="346">
        <v>6000000</v>
      </c>
      <c r="Z11" s="346">
        <v>6000000</v>
      </c>
      <c r="AA11" s="346">
        <v>6000000</v>
      </c>
      <c r="AB11" s="346">
        <v>6000000</v>
      </c>
      <c r="AC11" s="346">
        <v>6000000</v>
      </c>
      <c r="AD11" s="346">
        <v>6000000</v>
      </c>
      <c r="AE11" s="346">
        <v>6000000</v>
      </c>
      <c r="AF11" s="346">
        <v>6000000</v>
      </c>
    </row>
    <row r="12" spans="1:32" x14ac:dyDescent="0.2">
      <c r="AD12" s="4"/>
    </row>
    <row r="13" spans="1:32" x14ac:dyDescent="0.2">
      <c r="B13" s="280" t="s">
        <v>114</v>
      </c>
      <c r="C13" s="7">
        <v>18080</v>
      </c>
      <c r="D13" s="7">
        <v>18080</v>
      </c>
      <c r="E13" s="7">
        <v>24080</v>
      </c>
      <c r="F13" s="7">
        <v>24080</v>
      </c>
      <c r="G13" s="7">
        <v>24080</v>
      </c>
      <c r="H13" s="7">
        <v>24080</v>
      </c>
      <c r="I13" s="7">
        <v>24080</v>
      </c>
      <c r="J13" s="7">
        <v>24080</v>
      </c>
      <c r="K13" s="7">
        <v>24080</v>
      </c>
      <c r="L13" s="7">
        <v>24080</v>
      </c>
      <c r="M13" s="7">
        <v>24080</v>
      </c>
      <c r="N13" s="7">
        <v>24080</v>
      </c>
      <c r="O13" s="7">
        <v>24080</v>
      </c>
      <c r="P13" s="7">
        <v>24080</v>
      </c>
      <c r="Q13" s="7">
        <v>24080</v>
      </c>
      <c r="R13" s="7">
        <v>24080</v>
      </c>
      <c r="S13" s="7">
        <v>24080</v>
      </c>
      <c r="T13" s="7">
        <v>24080</v>
      </c>
      <c r="U13" s="7">
        <v>24080</v>
      </c>
      <c r="V13" s="7">
        <v>24080</v>
      </c>
      <c r="W13" s="7">
        <v>24080</v>
      </c>
      <c r="X13" s="7">
        <v>30080</v>
      </c>
      <c r="Y13" s="7">
        <v>30080</v>
      </c>
      <c r="Z13" s="7">
        <v>30080</v>
      </c>
      <c r="AA13" s="7">
        <v>30080</v>
      </c>
      <c r="AB13" s="7">
        <v>30080</v>
      </c>
      <c r="AC13" s="7">
        <v>30080</v>
      </c>
      <c r="AD13" s="7">
        <v>30080</v>
      </c>
      <c r="AE13" s="7">
        <v>30080</v>
      </c>
      <c r="AF13" s="7">
        <v>30080</v>
      </c>
    </row>
    <row r="14" spans="1:32" x14ac:dyDescent="0.2">
      <c r="B14" s="280" t="s">
        <v>115</v>
      </c>
      <c r="C14" s="7">
        <v>6617280</v>
      </c>
      <c r="D14" s="7">
        <v>6599200</v>
      </c>
      <c r="E14" s="7">
        <v>8789200</v>
      </c>
      <c r="F14" s="7">
        <v>8789200</v>
      </c>
      <c r="G14" s="7">
        <v>8813280</v>
      </c>
      <c r="H14" s="7">
        <v>8789200</v>
      </c>
      <c r="I14" s="7">
        <v>8789200</v>
      </c>
      <c r="J14" s="7">
        <v>8789200</v>
      </c>
      <c r="K14" s="7">
        <v>8813280</v>
      </c>
      <c r="L14" s="7">
        <v>8789200</v>
      </c>
      <c r="M14" s="7">
        <v>8789200</v>
      </c>
      <c r="N14" s="7">
        <v>8789200</v>
      </c>
      <c r="O14" s="7">
        <v>8813280</v>
      </c>
      <c r="P14" s="7">
        <v>8789200</v>
      </c>
      <c r="Q14" s="7">
        <v>8789200</v>
      </c>
      <c r="R14" s="7">
        <v>8789200</v>
      </c>
      <c r="S14" s="7">
        <v>8813280</v>
      </c>
      <c r="T14" s="7">
        <v>8789200</v>
      </c>
      <c r="U14" s="7">
        <v>8789200</v>
      </c>
      <c r="V14" s="7">
        <v>8789200</v>
      </c>
      <c r="W14" s="7">
        <v>8813280</v>
      </c>
      <c r="X14" s="7">
        <v>9497200</v>
      </c>
      <c r="Y14" s="7">
        <v>10979200</v>
      </c>
      <c r="Z14" s="7">
        <v>10979200</v>
      </c>
      <c r="AA14" s="7">
        <v>11009280</v>
      </c>
      <c r="AB14" s="7">
        <v>10979200</v>
      </c>
      <c r="AC14" s="7">
        <v>10979200</v>
      </c>
      <c r="AD14" s="7">
        <v>10979200</v>
      </c>
      <c r="AE14" s="7">
        <v>11009280</v>
      </c>
      <c r="AF14" s="7">
        <v>7112800</v>
      </c>
    </row>
    <row r="15" spans="1:32" x14ac:dyDescent="0.2">
      <c r="B15" s="280" t="s">
        <v>116</v>
      </c>
      <c r="C15" s="7">
        <v>241398.00466674072</v>
      </c>
      <c r="D15" s="7">
        <v>240738.44727694089</v>
      </c>
      <c r="E15" s="7">
        <v>320629.52491309383</v>
      </c>
      <c r="F15" s="7">
        <v>320629.52491309383</v>
      </c>
      <c r="G15" s="7">
        <v>321507.96196765022</v>
      </c>
      <c r="H15" s="7">
        <v>320629.52491309383</v>
      </c>
      <c r="I15" s="7">
        <v>320629.52491309383</v>
      </c>
      <c r="J15" s="7">
        <v>320629.52491309383</v>
      </c>
      <c r="K15" s="7">
        <v>321507.96196765022</v>
      </c>
      <c r="L15" s="7">
        <v>320629.52491309383</v>
      </c>
      <c r="M15" s="7">
        <v>320629.52491309383</v>
      </c>
      <c r="N15" s="7">
        <v>320629.52491309383</v>
      </c>
      <c r="O15" s="7">
        <v>321507.96196765022</v>
      </c>
      <c r="P15" s="7">
        <v>320629.52491309383</v>
      </c>
      <c r="Q15" s="7">
        <v>320629.52491309383</v>
      </c>
      <c r="R15" s="7">
        <v>320629.52491309383</v>
      </c>
      <c r="S15" s="7">
        <v>321507.96196765022</v>
      </c>
      <c r="T15" s="7">
        <v>320629.52491309383</v>
      </c>
      <c r="U15" s="7">
        <v>320629.52491309383</v>
      </c>
      <c r="V15" s="7">
        <v>320629.52491309383</v>
      </c>
      <c r="W15" s="7">
        <v>321507.96196765022</v>
      </c>
      <c r="X15" s="7">
        <v>346457.3253543707</v>
      </c>
      <c r="Y15" s="7">
        <v>400520.60254924675</v>
      </c>
      <c r="Z15" s="7">
        <v>400520.60254924675</v>
      </c>
      <c r="AA15" s="7">
        <v>401617.91926855978</v>
      </c>
      <c r="AB15" s="7">
        <v>400520.60254924675</v>
      </c>
      <c r="AC15" s="7">
        <v>400520.60254924675</v>
      </c>
      <c r="AD15" s="7">
        <v>400520.60254924675</v>
      </c>
      <c r="AE15" s="7">
        <v>401617.91926855978</v>
      </c>
      <c r="AF15" s="7">
        <v>259474.54658010445</v>
      </c>
    </row>
    <row r="16" spans="1:32" x14ac:dyDescent="0.2">
      <c r="B16" s="8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</row>
    <row r="18" spans="2:32" x14ac:dyDescent="0.2">
      <c r="B18" s="282" t="s">
        <v>95</v>
      </c>
      <c r="C18" s="281">
        <v>2020</v>
      </c>
      <c r="D18" s="281">
        <v>2021</v>
      </c>
      <c r="E18" s="281">
        <v>2022</v>
      </c>
      <c r="F18" s="281">
        <v>2023</v>
      </c>
      <c r="G18" s="281">
        <v>2024</v>
      </c>
      <c r="H18" s="281">
        <v>2025</v>
      </c>
      <c r="I18" s="281">
        <v>2026</v>
      </c>
      <c r="J18" s="281">
        <v>2027</v>
      </c>
      <c r="K18" s="281">
        <v>2028</v>
      </c>
      <c r="L18" s="281">
        <v>2029</v>
      </c>
      <c r="M18" s="281">
        <v>2030</v>
      </c>
      <c r="N18" s="281">
        <v>2031</v>
      </c>
      <c r="O18" s="281">
        <v>2032</v>
      </c>
      <c r="P18" s="281">
        <v>2033</v>
      </c>
      <c r="Q18" s="281">
        <v>2034</v>
      </c>
      <c r="R18" s="281">
        <v>2035</v>
      </c>
      <c r="S18" s="281">
        <v>2036</v>
      </c>
      <c r="T18" s="281">
        <v>2037</v>
      </c>
      <c r="U18" s="281">
        <v>2038</v>
      </c>
      <c r="V18" s="281">
        <v>2039</v>
      </c>
      <c r="W18" s="281">
        <v>2040</v>
      </c>
      <c r="X18" s="281">
        <v>2041</v>
      </c>
      <c r="Y18" s="281">
        <v>2042</v>
      </c>
      <c r="Z18" s="281">
        <v>2043</v>
      </c>
      <c r="AA18" s="281">
        <v>2044</v>
      </c>
      <c r="AB18" s="281">
        <v>2045</v>
      </c>
      <c r="AC18" s="281">
        <v>2046</v>
      </c>
      <c r="AD18" s="281">
        <v>2047</v>
      </c>
      <c r="AE18" s="281">
        <v>2048</v>
      </c>
      <c r="AF18" s="281">
        <v>2049</v>
      </c>
    </row>
    <row r="19" spans="2:32" x14ac:dyDescent="0.2">
      <c r="B19" s="457" t="s">
        <v>93</v>
      </c>
      <c r="C19" s="460">
        <v>18080</v>
      </c>
      <c r="D19" s="460">
        <v>18080</v>
      </c>
      <c r="E19" s="460">
        <v>18080</v>
      </c>
      <c r="F19" s="460">
        <v>18080</v>
      </c>
      <c r="G19" s="460">
        <v>18080</v>
      </c>
      <c r="H19" s="460">
        <v>18080</v>
      </c>
      <c r="I19" s="460">
        <v>18080</v>
      </c>
      <c r="J19" s="460">
        <v>18080</v>
      </c>
      <c r="K19" s="460">
        <v>18080</v>
      </c>
      <c r="L19" s="460">
        <v>18080</v>
      </c>
      <c r="M19" s="460">
        <v>18080</v>
      </c>
      <c r="N19" s="460">
        <v>18080</v>
      </c>
      <c r="O19" s="460">
        <v>18080</v>
      </c>
      <c r="P19" s="460">
        <v>18080</v>
      </c>
      <c r="Q19" s="460">
        <v>18080</v>
      </c>
      <c r="R19" s="460">
        <v>18080</v>
      </c>
      <c r="S19" s="460">
        <v>18080</v>
      </c>
      <c r="T19" s="460">
        <v>18080</v>
      </c>
      <c r="U19" s="460">
        <v>18080</v>
      </c>
      <c r="V19" s="460">
        <v>18080</v>
      </c>
      <c r="W19" s="460">
        <v>18080</v>
      </c>
      <c r="X19" s="460">
        <v>18080</v>
      </c>
      <c r="Y19" s="460">
        <v>18080</v>
      </c>
      <c r="Z19" s="460">
        <v>18080</v>
      </c>
      <c r="AA19" s="460">
        <v>18080</v>
      </c>
      <c r="AB19" s="460">
        <v>18080</v>
      </c>
      <c r="AC19" s="460">
        <v>18080</v>
      </c>
      <c r="AD19" s="460">
        <v>18080</v>
      </c>
      <c r="AE19" s="460">
        <v>18080</v>
      </c>
      <c r="AF19" s="460">
        <v>18080</v>
      </c>
    </row>
    <row r="20" spans="2:32" x14ac:dyDescent="0.2">
      <c r="B20" s="458" t="s">
        <v>84</v>
      </c>
      <c r="C20" s="460">
        <v>6617280</v>
      </c>
      <c r="D20" s="460">
        <v>6599200</v>
      </c>
      <c r="E20" s="460">
        <v>6599200</v>
      </c>
      <c r="F20" s="460">
        <v>6599200</v>
      </c>
      <c r="G20" s="460">
        <v>6617280</v>
      </c>
      <c r="H20" s="460">
        <v>6599200</v>
      </c>
      <c r="I20" s="460">
        <v>6599200</v>
      </c>
      <c r="J20" s="460">
        <v>6599200</v>
      </c>
      <c r="K20" s="460">
        <v>6617280</v>
      </c>
      <c r="L20" s="460">
        <v>6599200</v>
      </c>
      <c r="M20" s="460">
        <v>6599200</v>
      </c>
      <c r="N20" s="460">
        <v>6599200</v>
      </c>
      <c r="O20" s="460">
        <v>6617280</v>
      </c>
      <c r="P20" s="460">
        <v>6599200</v>
      </c>
      <c r="Q20" s="460">
        <v>6599200</v>
      </c>
      <c r="R20" s="460">
        <v>6599200</v>
      </c>
      <c r="S20" s="460">
        <v>6617280</v>
      </c>
      <c r="T20" s="460">
        <v>6599200</v>
      </c>
      <c r="U20" s="460">
        <v>6599200</v>
      </c>
      <c r="V20" s="460">
        <v>6599200</v>
      </c>
      <c r="W20" s="460">
        <v>6617280</v>
      </c>
      <c r="X20" s="460">
        <v>6599200</v>
      </c>
      <c r="Y20" s="460">
        <v>6599200</v>
      </c>
      <c r="Z20" s="460">
        <v>6599200</v>
      </c>
      <c r="AA20" s="460">
        <v>6617280</v>
      </c>
      <c r="AB20" s="460">
        <v>6599200</v>
      </c>
      <c r="AC20" s="460">
        <v>6599200</v>
      </c>
      <c r="AD20" s="460">
        <v>6599200</v>
      </c>
      <c r="AE20" s="460">
        <v>6617280</v>
      </c>
      <c r="AF20" s="460">
        <v>4700800</v>
      </c>
    </row>
    <row r="21" spans="2:32" x14ac:dyDescent="0.2">
      <c r="B21" s="457" t="s">
        <v>92</v>
      </c>
      <c r="C21" s="460">
        <v>241398.00466674072</v>
      </c>
      <c r="D21" s="460">
        <v>240738.44727694089</v>
      </c>
      <c r="E21" s="460">
        <v>240738.44727694089</v>
      </c>
      <c r="F21" s="460">
        <v>240738.44727694089</v>
      </c>
      <c r="G21" s="460">
        <v>241398.00466674072</v>
      </c>
      <c r="H21" s="460">
        <v>240738.44727694089</v>
      </c>
      <c r="I21" s="460">
        <v>240738.44727694089</v>
      </c>
      <c r="J21" s="460">
        <v>240738.44727694089</v>
      </c>
      <c r="K21" s="460">
        <v>241398.00466674072</v>
      </c>
      <c r="L21" s="460">
        <v>240738.44727694089</v>
      </c>
      <c r="M21" s="460">
        <v>240738.44727694089</v>
      </c>
      <c r="N21" s="460">
        <v>240738.44727694089</v>
      </c>
      <c r="O21" s="460">
        <v>241398.00466674072</v>
      </c>
      <c r="P21" s="460">
        <v>240738.44727694089</v>
      </c>
      <c r="Q21" s="460">
        <v>240738.44727694089</v>
      </c>
      <c r="R21" s="460">
        <v>240738.44727694089</v>
      </c>
      <c r="S21" s="460">
        <v>241398.00466674072</v>
      </c>
      <c r="T21" s="460">
        <v>240738.44727694089</v>
      </c>
      <c r="U21" s="460">
        <v>240738.44727694089</v>
      </c>
      <c r="V21" s="460">
        <v>240738.44727694089</v>
      </c>
      <c r="W21" s="460">
        <v>241398.00466674072</v>
      </c>
      <c r="X21" s="460">
        <v>240738.44727694089</v>
      </c>
      <c r="Y21" s="460">
        <v>240738.44727694089</v>
      </c>
      <c r="Z21" s="460">
        <v>240738.44727694089</v>
      </c>
      <c r="AA21" s="460">
        <v>241398.00466674072</v>
      </c>
      <c r="AB21" s="460">
        <v>240738.44727694089</v>
      </c>
      <c r="AC21" s="460">
        <v>240738.44727694089</v>
      </c>
      <c r="AD21" s="460">
        <v>240738.44727694089</v>
      </c>
      <c r="AE21" s="460">
        <v>241398.00466674072</v>
      </c>
      <c r="AF21" s="460">
        <v>171484.92134795789</v>
      </c>
    </row>
    <row r="22" spans="2:32" x14ac:dyDescent="0.2">
      <c r="B22" s="457" t="s">
        <v>85</v>
      </c>
      <c r="C22" s="461">
        <v>366</v>
      </c>
      <c r="D22" s="461">
        <v>365</v>
      </c>
      <c r="E22" s="461">
        <v>365</v>
      </c>
      <c r="F22" s="461">
        <v>365</v>
      </c>
      <c r="G22" s="461">
        <v>366</v>
      </c>
      <c r="H22" s="461">
        <v>365</v>
      </c>
      <c r="I22" s="461">
        <v>365</v>
      </c>
      <c r="J22" s="461">
        <v>365</v>
      </c>
      <c r="K22" s="461">
        <v>366</v>
      </c>
      <c r="L22" s="461">
        <v>365</v>
      </c>
      <c r="M22" s="461">
        <v>365</v>
      </c>
      <c r="N22" s="461">
        <v>365</v>
      </c>
      <c r="O22" s="461">
        <v>366</v>
      </c>
      <c r="P22" s="461">
        <v>365</v>
      </c>
      <c r="Q22" s="461">
        <v>365</v>
      </c>
      <c r="R22" s="461">
        <v>365</v>
      </c>
      <c r="S22" s="461">
        <v>366</v>
      </c>
      <c r="T22" s="461">
        <v>365</v>
      </c>
      <c r="U22" s="461">
        <v>365</v>
      </c>
      <c r="V22" s="461">
        <v>365</v>
      </c>
      <c r="W22" s="461">
        <v>366</v>
      </c>
      <c r="X22" s="461">
        <v>365</v>
      </c>
      <c r="Y22" s="461">
        <v>365</v>
      </c>
      <c r="Z22" s="461">
        <v>365</v>
      </c>
      <c r="AA22" s="461">
        <v>366</v>
      </c>
      <c r="AB22" s="461">
        <v>365</v>
      </c>
      <c r="AC22" s="461">
        <v>365</v>
      </c>
      <c r="AD22" s="461">
        <v>365</v>
      </c>
      <c r="AE22" s="461">
        <v>366</v>
      </c>
      <c r="AF22" s="461">
        <v>365</v>
      </c>
    </row>
    <row r="23" spans="2:32" x14ac:dyDescent="0.2">
      <c r="B23" s="457" t="s">
        <v>42</v>
      </c>
      <c r="C23" s="461">
        <v>366</v>
      </c>
      <c r="D23" s="461">
        <v>365</v>
      </c>
      <c r="E23" s="461">
        <v>365</v>
      </c>
      <c r="F23" s="461">
        <v>365</v>
      </c>
      <c r="G23" s="461">
        <v>366</v>
      </c>
      <c r="H23" s="461">
        <v>365</v>
      </c>
      <c r="I23" s="461">
        <v>365</v>
      </c>
      <c r="J23" s="461">
        <v>365</v>
      </c>
      <c r="K23" s="461">
        <v>366</v>
      </c>
      <c r="L23" s="461">
        <v>365</v>
      </c>
      <c r="M23" s="461">
        <v>365</v>
      </c>
      <c r="N23" s="461">
        <v>365</v>
      </c>
      <c r="O23" s="461">
        <v>366</v>
      </c>
      <c r="P23" s="461">
        <v>365</v>
      </c>
      <c r="Q23" s="461">
        <v>365</v>
      </c>
      <c r="R23" s="461">
        <v>365</v>
      </c>
      <c r="S23" s="461">
        <v>366</v>
      </c>
      <c r="T23" s="461">
        <v>365</v>
      </c>
      <c r="U23" s="461">
        <v>365</v>
      </c>
      <c r="V23" s="461">
        <v>365</v>
      </c>
      <c r="W23" s="461">
        <v>366</v>
      </c>
      <c r="X23" s="461">
        <v>365</v>
      </c>
      <c r="Y23" s="461">
        <v>365</v>
      </c>
      <c r="Z23" s="461">
        <v>365</v>
      </c>
      <c r="AA23" s="461">
        <v>366</v>
      </c>
      <c r="AB23" s="461">
        <v>365</v>
      </c>
      <c r="AC23" s="461">
        <v>365</v>
      </c>
      <c r="AD23" s="461">
        <v>365</v>
      </c>
      <c r="AE23" s="461">
        <v>366</v>
      </c>
      <c r="AF23" s="461">
        <v>260</v>
      </c>
    </row>
    <row r="24" spans="2:32" x14ac:dyDescent="0.2">
      <c r="B24" s="459" t="s">
        <v>91</v>
      </c>
      <c r="C24" s="462">
        <v>3.6479944126097237E-2</v>
      </c>
      <c r="D24" s="462">
        <v>3.6479944126097237E-2</v>
      </c>
      <c r="E24" s="462">
        <v>3.6479944126097237E-2</v>
      </c>
      <c r="F24" s="462">
        <v>3.6479944126097237E-2</v>
      </c>
      <c r="G24" s="462">
        <v>3.6479944126097237E-2</v>
      </c>
      <c r="H24" s="462">
        <v>3.6479944126097237E-2</v>
      </c>
      <c r="I24" s="462">
        <v>3.6479944126097237E-2</v>
      </c>
      <c r="J24" s="462">
        <v>3.6479944126097237E-2</v>
      </c>
      <c r="K24" s="462">
        <v>3.6479944126097237E-2</v>
      </c>
      <c r="L24" s="462">
        <v>3.6479944126097237E-2</v>
      </c>
      <c r="M24" s="462">
        <v>3.6479944126097237E-2</v>
      </c>
      <c r="N24" s="462">
        <v>3.6479944126097237E-2</v>
      </c>
      <c r="O24" s="462">
        <v>3.6479944126097237E-2</v>
      </c>
      <c r="P24" s="462">
        <v>3.6479944126097237E-2</v>
      </c>
      <c r="Q24" s="462">
        <v>3.6479944126097237E-2</v>
      </c>
      <c r="R24" s="462">
        <v>3.6479944126097237E-2</v>
      </c>
      <c r="S24" s="462">
        <v>3.6479944126097237E-2</v>
      </c>
      <c r="T24" s="462">
        <v>3.6479944126097237E-2</v>
      </c>
      <c r="U24" s="462">
        <v>3.6479944126097237E-2</v>
      </c>
      <c r="V24" s="462">
        <v>3.6479944126097237E-2</v>
      </c>
      <c r="W24" s="462">
        <v>3.6479944126097237E-2</v>
      </c>
      <c r="X24" s="462">
        <v>3.6479944126097237E-2</v>
      </c>
      <c r="Y24" s="462">
        <v>3.6479944126097237E-2</v>
      </c>
      <c r="Z24" s="462">
        <v>3.6479944126097237E-2</v>
      </c>
      <c r="AA24" s="462">
        <v>3.6479944126097237E-2</v>
      </c>
      <c r="AB24" s="462">
        <v>3.6479944126097237E-2</v>
      </c>
      <c r="AC24" s="462">
        <v>3.6479944126097237E-2</v>
      </c>
      <c r="AD24" s="462">
        <v>3.6479944126097237E-2</v>
      </c>
      <c r="AE24" s="462">
        <v>3.6479944126097237E-2</v>
      </c>
      <c r="AF24" s="462">
        <v>3.6479944126097237E-2</v>
      </c>
    </row>
    <row r="25" spans="2:32" x14ac:dyDescent="0.2">
      <c r="P25" s="3">
        <v>92</v>
      </c>
    </row>
    <row r="27" spans="2:32" x14ac:dyDescent="0.2">
      <c r="B27" s="282" t="s">
        <v>96</v>
      </c>
      <c r="C27" s="281">
        <v>2020</v>
      </c>
      <c r="D27" s="281">
        <v>2021</v>
      </c>
      <c r="E27" s="281">
        <v>2022</v>
      </c>
      <c r="F27" s="281">
        <v>2023</v>
      </c>
      <c r="G27" s="281">
        <v>2024</v>
      </c>
      <c r="H27" s="281">
        <v>2025</v>
      </c>
      <c r="I27" s="281">
        <v>2026</v>
      </c>
      <c r="J27" s="281">
        <v>2027</v>
      </c>
      <c r="K27" s="281">
        <v>2028</v>
      </c>
      <c r="L27" s="281">
        <v>2029</v>
      </c>
      <c r="M27" s="281">
        <v>2030</v>
      </c>
      <c r="N27" s="281">
        <v>2031</v>
      </c>
      <c r="O27" s="281">
        <v>2032</v>
      </c>
      <c r="P27" s="281">
        <v>2033</v>
      </c>
      <c r="Q27" s="281">
        <v>2034</v>
      </c>
      <c r="R27" s="281">
        <v>2035</v>
      </c>
      <c r="S27" s="281">
        <v>2036</v>
      </c>
      <c r="T27" s="281">
        <v>2037</v>
      </c>
      <c r="U27" s="281">
        <v>2038</v>
      </c>
      <c r="V27" s="281">
        <v>2039</v>
      </c>
      <c r="W27" s="281">
        <v>2040</v>
      </c>
      <c r="X27" s="281">
        <v>2041</v>
      </c>
      <c r="Y27" s="281">
        <v>2042</v>
      </c>
      <c r="Z27" s="281">
        <v>2043</v>
      </c>
      <c r="AA27" s="281">
        <v>2044</v>
      </c>
      <c r="AB27" s="281">
        <v>2045</v>
      </c>
      <c r="AC27" s="281">
        <v>2046</v>
      </c>
      <c r="AD27" s="281">
        <v>2047</v>
      </c>
      <c r="AE27" s="281">
        <v>2048</v>
      </c>
      <c r="AF27" s="281">
        <v>2049</v>
      </c>
    </row>
    <row r="28" spans="2:32" x14ac:dyDescent="0.2">
      <c r="B28" s="457" t="s">
        <v>93</v>
      </c>
      <c r="C28" s="460">
        <v>0</v>
      </c>
      <c r="D28" s="460">
        <v>0</v>
      </c>
      <c r="E28" s="460">
        <v>6000</v>
      </c>
      <c r="F28" s="460">
        <v>6000</v>
      </c>
      <c r="G28" s="460">
        <v>6000</v>
      </c>
      <c r="H28" s="460">
        <v>6000</v>
      </c>
      <c r="I28" s="460">
        <v>6000</v>
      </c>
      <c r="J28" s="460">
        <v>6000</v>
      </c>
      <c r="K28" s="460">
        <v>6000</v>
      </c>
      <c r="L28" s="460">
        <v>6000</v>
      </c>
      <c r="M28" s="460">
        <v>6000</v>
      </c>
      <c r="N28" s="460">
        <v>6000</v>
      </c>
      <c r="O28" s="460">
        <v>6000</v>
      </c>
      <c r="P28" s="460">
        <v>6000</v>
      </c>
      <c r="Q28" s="460">
        <v>6000</v>
      </c>
      <c r="R28" s="460">
        <v>6000</v>
      </c>
      <c r="S28" s="460">
        <v>6000</v>
      </c>
      <c r="T28" s="460">
        <v>6000</v>
      </c>
      <c r="U28" s="460">
        <v>6000</v>
      </c>
      <c r="V28" s="460">
        <v>6000</v>
      </c>
      <c r="W28" s="460">
        <v>6000</v>
      </c>
      <c r="X28" s="460">
        <v>6000</v>
      </c>
      <c r="Y28" s="460">
        <v>6000</v>
      </c>
      <c r="Z28" s="460">
        <v>6000</v>
      </c>
      <c r="AA28" s="460">
        <v>6000</v>
      </c>
      <c r="AB28" s="460">
        <v>6000</v>
      </c>
      <c r="AC28" s="460">
        <v>6000</v>
      </c>
      <c r="AD28" s="460">
        <v>6000</v>
      </c>
      <c r="AE28" s="460">
        <v>6000</v>
      </c>
      <c r="AF28" s="460">
        <v>6000</v>
      </c>
    </row>
    <row r="29" spans="2:32" x14ac:dyDescent="0.2">
      <c r="B29" s="458" t="s">
        <v>84</v>
      </c>
      <c r="C29" s="460">
        <v>0</v>
      </c>
      <c r="D29" s="460">
        <v>0</v>
      </c>
      <c r="E29" s="460">
        <v>2190000</v>
      </c>
      <c r="F29" s="460">
        <v>2190000</v>
      </c>
      <c r="G29" s="460">
        <v>2196000</v>
      </c>
      <c r="H29" s="460">
        <v>2190000</v>
      </c>
      <c r="I29" s="460">
        <v>2190000</v>
      </c>
      <c r="J29" s="460">
        <v>2190000</v>
      </c>
      <c r="K29" s="460">
        <v>2196000</v>
      </c>
      <c r="L29" s="460">
        <v>2190000</v>
      </c>
      <c r="M29" s="460">
        <v>2190000</v>
      </c>
      <c r="N29" s="460">
        <v>2190000</v>
      </c>
      <c r="O29" s="460">
        <v>2196000</v>
      </c>
      <c r="P29" s="460">
        <v>2190000</v>
      </c>
      <c r="Q29" s="460">
        <v>2190000</v>
      </c>
      <c r="R29" s="460">
        <v>2190000</v>
      </c>
      <c r="S29" s="460">
        <v>2196000</v>
      </c>
      <c r="T29" s="460">
        <v>2190000</v>
      </c>
      <c r="U29" s="460">
        <v>2190000</v>
      </c>
      <c r="V29" s="460">
        <v>2190000</v>
      </c>
      <c r="W29" s="460">
        <v>2196000</v>
      </c>
      <c r="X29" s="460">
        <v>2190000</v>
      </c>
      <c r="Y29" s="460">
        <v>2190000</v>
      </c>
      <c r="Z29" s="460">
        <v>2190000</v>
      </c>
      <c r="AA29" s="460">
        <v>2196000</v>
      </c>
      <c r="AB29" s="460">
        <v>2190000</v>
      </c>
      <c r="AC29" s="460">
        <v>2190000</v>
      </c>
      <c r="AD29" s="460">
        <v>2190000</v>
      </c>
      <c r="AE29" s="460">
        <v>2196000</v>
      </c>
      <c r="AF29" s="460">
        <v>1560000</v>
      </c>
    </row>
    <row r="30" spans="2:32" x14ac:dyDescent="0.2">
      <c r="B30" s="457" t="s">
        <v>92</v>
      </c>
      <c r="C30" s="460">
        <v>0</v>
      </c>
      <c r="D30" s="460">
        <v>0</v>
      </c>
      <c r="E30" s="460">
        <v>79891.077636152942</v>
      </c>
      <c r="F30" s="460">
        <v>79891.077636152942</v>
      </c>
      <c r="G30" s="460">
        <v>80109.957300909533</v>
      </c>
      <c r="H30" s="460">
        <v>79891.077636152942</v>
      </c>
      <c r="I30" s="460">
        <v>79891.077636152942</v>
      </c>
      <c r="J30" s="460">
        <v>79891.077636152942</v>
      </c>
      <c r="K30" s="460">
        <v>80109.957300909533</v>
      </c>
      <c r="L30" s="460">
        <v>79891.077636152942</v>
      </c>
      <c r="M30" s="460">
        <v>79891.077636152942</v>
      </c>
      <c r="N30" s="460">
        <v>79891.077636152942</v>
      </c>
      <c r="O30" s="460">
        <v>80109.957300909533</v>
      </c>
      <c r="P30" s="460">
        <v>79891.077636152942</v>
      </c>
      <c r="Q30" s="460">
        <v>79891.077636152942</v>
      </c>
      <c r="R30" s="460">
        <v>79891.077636152942</v>
      </c>
      <c r="S30" s="460">
        <v>80109.957300909533</v>
      </c>
      <c r="T30" s="460">
        <v>79891.077636152942</v>
      </c>
      <c r="U30" s="460">
        <v>79891.077636152942</v>
      </c>
      <c r="V30" s="460">
        <v>79891.077636152942</v>
      </c>
      <c r="W30" s="460">
        <v>80109.957300909533</v>
      </c>
      <c r="X30" s="460">
        <v>79891.077636152942</v>
      </c>
      <c r="Y30" s="460">
        <v>79891.077636152942</v>
      </c>
      <c r="Z30" s="460">
        <v>79891.077636152942</v>
      </c>
      <c r="AA30" s="460">
        <v>80109.957300909533</v>
      </c>
      <c r="AB30" s="460">
        <v>79891.077636152942</v>
      </c>
      <c r="AC30" s="460">
        <v>79891.077636152942</v>
      </c>
      <c r="AD30" s="460">
        <v>79891.077636152942</v>
      </c>
      <c r="AE30" s="460">
        <v>80109.957300909533</v>
      </c>
      <c r="AF30" s="460">
        <v>56908.712836711689</v>
      </c>
    </row>
    <row r="31" spans="2:32" x14ac:dyDescent="0.2">
      <c r="B31" s="457" t="s">
        <v>85</v>
      </c>
      <c r="C31" s="461">
        <v>366</v>
      </c>
      <c r="D31" s="461">
        <v>365</v>
      </c>
      <c r="E31" s="461">
        <v>365</v>
      </c>
      <c r="F31" s="461">
        <v>365</v>
      </c>
      <c r="G31" s="461">
        <v>366</v>
      </c>
      <c r="H31" s="461">
        <v>365</v>
      </c>
      <c r="I31" s="461">
        <v>365</v>
      </c>
      <c r="J31" s="461">
        <v>365</v>
      </c>
      <c r="K31" s="461">
        <v>366</v>
      </c>
      <c r="L31" s="461">
        <v>365</v>
      </c>
      <c r="M31" s="461">
        <v>365</v>
      </c>
      <c r="N31" s="461">
        <v>365</v>
      </c>
      <c r="O31" s="461">
        <v>366</v>
      </c>
      <c r="P31" s="461">
        <v>365</v>
      </c>
      <c r="Q31" s="461">
        <v>365</v>
      </c>
      <c r="R31" s="461">
        <v>365</v>
      </c>
      <c r="S31" s="461">
        <v>366</v>
      </c>
      <c r="T31" s="461">
        <v>365</v>
      </c>
      <c r="U31" s="461">
        <v>365</v>
      </c>
      <c r="V31" s="461">
        <v>365</v>
      </c>
      <c r="W31" s="461">
        <v>366</v>
      </c>
      <c r="X31" s="461">
        <v>365</v>
      </c>
      <c r="Y31" s="461">
        <v>365</v>
      </c>
      <c r="Z31" s="461">
        <v>365</v>
      </c>
      <c r="AA31" s="461">
        <v>366</v>
      </c>
      <c r="AB31" s="461">
        <v>365</v>
      </c>
      <c r="AC31" s="461">
        <v>365</v>
      </c>
      <c r="AD31" s="461">
        <v>365</v>
      </c>
      <c r="AE31" s="461">
        <v>366</v>
      </c>
      <c r="AF31" s="461">
        <v>260</v>
      </c>
    </row>
    <row r="32" spans="2:32" x14ac:dyDescent="0.2">
      <c r="B32" s="457" t="s">
        <v>42</v>
      </c>
      <c r="C32" s="461">
        <v>0</v>
      </c>
      <c r="D32" s="461">
        <v>365</v>
      </c>
      <c r="E32" s="461">
        <v>365</v>
      </c>
      <c r="F32" s="461">
        <v>365</v>
      </c>
      <c r="G32" s="461">
        <v>366</v>
      </c>
      <c r="H32" s="461">
        <v>365</v>
      </c>
      <c r="I32" s="461">
        <v>365</v>
      </c>
      <c r="J32" s="461">
        <v>365</v>
      </c>
      <c r="K32" s="461">
        <v>366</v>
      </c>
      <c r="L32" s="461">
        <v>365</v>
      </c>
      <c r="M32" s="461">
        <v>365</v>
      </c>
      <c r="N32" s="461">
        <v>365</v>
      </c>
      <c r="O32" s="461">
        <v>366</v>
      </c>
      <c r="P32" s="461">
        <v>365</v>
      </c>
      <c r="Q32" s="461">
        <v>365</v>
      </c>
      <c r="R32" s="461">
        <v>365</v>
      </c>
      <c r="S32" s="461">
        <v>366</v>
      </c>
      <c r="T32" s="461">
        <v>365</v>
      </c>
      <c r="U32" s="461">
        <v>365</v>
      </c>
      <c r="V32" s="461">
        <v>365</v>
      </c>
      <c r="W32" s="461">
        <v>366</v>
      </c>
      <c r="X32" s="461">
        <v>365</v>
      </c>
      <c r="Y32" s="461">
        <v>365</v>
      </c>
      <c r="Z32" s="461">
        <v>365</v>
      </c>
      <c r="AA32" s="461">
        <v>366</v>
      </c>
      <c r="AB32" s="461">
        <v>365</v>
      </c>
      <c r="AC32" s="461">
        <v>365</v>
      </c>
      <c r="AD32" s="461">
        <v>365</v>
      </c>
      <c r="AE32" s="461">
        <v>366</v>
      </c>
      <c r="AF32" s="461">
        <v>260</v>
      </c>
    </row>
    <row r="33" spans="2:32" x14ac:dyDescent="0.2">
      <c r="B33" s="459" t="s">
        <v>91</v>
      </c>
      <c r="C33" s="462">
        <v>3.6479944126097237E-2</v>
      </c>
      <c r="D33" s="462">
        <v>3.6479944126097237E-2</v>
      </c>
      <c r="E33" s="462">
        <v>3.6479944126097237E-2</v>
      </c>
      <c r="F33" s="462">
        <v>3.6479944126097237E-2</v>
      </c>
      <c r="G33" s="462">
        <v>3.6479944126097237E-2</v>
      </c>
      <c r="H33" s="462">
        <v>3.6479944126097237E-2</v>
      </c>
      <c r="I33" s="462">
        <v>3.6479944126097237E-2</v>
      </c>
      <c r="J33" s="462">
        <v>3.6479944126097237E-2</v>
      </c>
      <c r="K33" s="462">
        <v>3.6479944126097237E-2</v>
      </c>
      <c r="L33" s="462">
        <v>3.6479944126097237E-2</v>
      </c>
      <c r="M33" s="462">
        <v>3.6479944126097237E-2</v>
      </c>
      <c r="N33" s="462">
        <v>3.6479944126097237E-2</v>
      </c>
      <c r="O33" s="462">
        <v>3.6479944126097237E-2</v>
      </c>
      <c r="P33" s="462">
        <v>3.6479944126097237E-2</v>
      </c>
      <c r="Q33" s="462">
        <v>3.6479944126097237E-2</v>
      </c>
      <c r="R33" s="462">
        <v>3.6479944126097237E-2</v>
      </c>
      <c r="S33" s="462">
        <v>3.6479944126097237E-2</v>
      </c>
      <c r="T33" s="462">
        <v>3.6479944126097237E-2</v>
      </c>
      <c r="U33" s="462">
        <v>3.6479944126097237E-2</v>
      </c>
      <c r="V33" s="462">
        <v>3.6479944126097237E-2</v>
      </c>
      <c r="W33" s="462">
        <v>3.6479944126097237E-2</v>
      </c>
      <c r="X33" s="462">
        <v>3.6479944126097237E-2</v>
      </c>
      <c r="Y33" s="462">
        <v>3.6479944126097237E-2</v>
      </c>
      <c r="Z33" s="462">
        <v>3.6479944126097237E-2</v>
      </c>
      <c r="AA33" s="462">
        <v>3.6479944126097237E-2</v>
      </c>
      <c r="AB33" s="462">
        <v>3.6479944126097237E-2</v>
      </c>
      <c r="AC33" s="462">
        <v>3.6479944126097237E-2</v>
      </c>
      <c r="AD33" s="462">
        <v>3.6479944126097237E-2</v>
      </c>
      <c r="AE33" s="462">
        <v>3.6479944126097237E-2</v>
      </c>
      <c r="AF33" s="462">
        <v>3.6479944126097237E-2</v>
      </c>
    </row>
    <row r="36" spans="2:32" x14ac:dyDescent="0.2">
      <c r="B36" s="282" t="s">
        <v>97</v>
      </c>
      <c r="C36" s="281">
        <v>2020</v>
      </c>
      <c r="D36" s="281">
        <v>2021</v>
      </c>
      <c r="E36" s="281">
        <v>2022</v>
      </c>
      <c r="F36" s="281">
        <v>2023</v>
      </c>
      <c r="G36" s="281">
        <v>2024</v>
      </c>
      <c r="H36" s="281">
        <v>2025</v>
      </c>
      <c r="I36" s="281">
        <v>2026</v>
      </c>
      <c r="J36" s="281">
        <v>2027</v>
      </c>
      <c r="K36" s="281">
        <v>2028</v>
      </c>
      <c r="L36" s="281">
        <v>2029</v>
      </c>
      <c r="M36" s="281">
        <v>2030</v>
      </c>
      <c r="N36" s="281">
        <v>2031</v>
      </c>
      <c r="O36" s="281">
        <v>2032</v>
      </c>
      <c r="P36" s="281">
        <v>2033</v>
      </c>
      <c r="Q36" s="281">
        <v>2034</v>
      </c>
      <c r="R36" s="281">
        <v>2035</v>
      </c>
      <c r="S36" s="281">
        <v>2036</v>
      </c>
      <c r="T36" s="281">
        <v>2037</v>
      </c>
      <c r="U36" s="281">
        <v>2038</v>
      </c>
      <c r="V36" s="281">
        <v>2039</v>
      </c>
      <c r="W36" s="281">
        <v>2040</v>
      </c>
      <c r="X36" s="281">
        <v>2041</v>
      </c>
      <c r="Y36" s="281">
        <v>2042</v>
      </c>
      <c r="Z36" s="281">
        <v>2043</v>
      </c>
      <c r="AA36" s="281">
        <v>2044</v>
      </c>
      <c r="AB36" s="281">
        <v>2045</v>
      </c>
      <c r="AC36" s="281">
        <v>2046</v>
      </c>
      <c r="AD36" s="281">
        <v>2047</v>
      </c>
      <c r="AE36" s="281">
        <v>2048</v>
      </c>
      <c r="AF36" s="281">
        <v>2049</v>
      </c>
    </row>
    <row r="37" spans="2:32" x14ac:dyDescent="0.2">
      <c r="B37" s="457" t="s">
        <v>93</v>
      </c>
      <c r="C37" s="460">
        <v>0</v>
      </c>
      <c r="D37" s="460">
        <v>0</v>
      </c>
      <c r="E37" s="460">
        <v>0</v>
      </c>
      <c r="F37" s="460">
        <v>0</v>
      </c>
      <c r="G37" s="460">
        <v>0</v>
      </c>
      <c r="H37" s="460">
        <v>0</v>
      </c>
      <c r="I37" s="460">
        <v>0</v>
      </c>
      <c r="J37" s="460">
        <v>0</v>
      </c>
      <c r="K37" s="460">
        <v>0</v>
      </c>
      <c r="L37" s="460">
        <v>0</v>
      </c>
      <c r="M37" s="460">
        <v>5200</v>
      </c>
      <c r="N37" s="460">
        <v>5200</v>
      </c>
      <c r="O37" s="460">
        <v>5200</v>
      </c>
      <c r="P37" s="460">
        <v>5200</v>
      </c>
      <c r="Q37" s="460">
        <v>5200</v>
      </c>
      <c r="R37" s="460">
        <v>5200</v>
      </c>
      <c r="S37" s="460">
        <v>5200</v>
      </c>
      <c r="T37" s="460">
        <v>5200</v>
      </c>
      <c r="U37" s="460">
        <v>5200</v>
      </c>
      <c r="V37" s="460">
        <v>5200</v>
      </c>
      <c r="W37" s="460">
        <v>5200</v>
      </c>
      <c r="X37" s="460">
        <v>5200</v>
      </c>
      <c r="Y37" s="460">
        <v>5200</v>
      </c>
      <c r="Z37" s="460">
        <v>5200</v>
      </c>
      <c r="AA37" s="460">
        <v>5200</v>
      </c>
      <c r="AB37" s="460">
        <v>5200</v>
      </c>
      <c r="AC37" s="460">
        <v>5200</v>
      </c>
      <c r="AD37" s="460">
        <v>5200</v>
      </c>
      <c r="AE37" s="460">
        <v>5200</v>
      </c>
      <c r="AF37" s="460">
        <v>5200</v>
      </c>
    </row>
    <row r="38" spans="2:32" x14ac:dyDescent="0.2">
      <c r="B38" s="458" t="s">
        <v>84</v>
      </c>
      <c r="C38" s="460">
        <v>0</v>
      </c>
      <c r="D38" s="460">
        <v>0</v>
      </c>
      <c r="E38" s="460">
        <v>0</v>
      </c>
      <c r="F38" s="460">
        <v>0</v>
      </c>
      <c r="G38" s="460">
        <v>0</v>
      </c>
      <c r="H38" s="460">
        <v>0</v>
      </c>
      <c r="I38" s="460">
        <v>0</v>
      </c>
      <c r="J38" s="460">
        <v>0</v>
      </c>
      <c r="K38" s="460">
        <v>0</v>
      </c>
      <c r="L38" s="460">
        <v>0</v>
      </c>
      <c r="M38" s="460">
        <v>478400</v>
      </c>
      <c r="N38" s="460">
        <v>1898000</v>
      </c>
      <c r="O38" s="460">
        <v>1903200</v>
      </c>
      <c r="P38" s="460">
        <v>1898000</v>
      </c>
      <c r="Q38" s="460">
        <v>1898000</v>
      </c>
      <c r="R38" s="460">
        <v>1898000</v>
      </c>
      <c r="S38" s="460">
        <v>1903200</v>
      </c>
      <c r="T38" s="460">
        <v>1898000</v>
      </c>
      <c r="U38" s="460">
        <v>1898000</v>
      </c>
      <c r="V38" s="460">
        <v>1898000</v>
      </c>
      <c r="W38" s="460">
        <v>1903200</v>
      </c>
      <c r="X38" s="460">
        <v>1898000</v>
      </c>
      <c r="Y38" s="460">
        <v>1898000</v>
      </c>
      <c r="Z38" s="460">
        <v>1898000</v>
      </c>
      <c r="AA38" s="460">
        <v>1903200</v>
      </c>
      <c r="AB38" s="460">
        <v>1898000</v>
      </c>
      <c r="AC38" s="460">
        <v>1898000</v>
      </c>
      <c r="AD38" s="460">
        <v>1898000</v>
      </c>
      <c r="AE38" s="460">
        <v>1903200</v>
      </c>
      <c r="AF38" s="460">
        <v>873600</v>
      </c>
    </row>
    <row r="39" spans="2:32" x14ac:dyDescent="0.2">
      <c r="B39" s="457" t="s">
        <v>92</v>
      </c>
      <c r="C39" s="460">
        <v>0</v>
      </c>
      <c r="D39" s="460">
        <v>0</v>
      </c>
      <c r="E39" s="460">
        <v>0</v>
      </c>
      <c r="F39" s="460">
        <v>0</v>
      </c>
      <c r="G39" s="460">
        <v>0</v>
      </c>
      <c r="H39" s="460">
        <v>0</v>
      </c>
      <c r="I39" s="460">
        <v>0</v>
      </c>
      <c r="J39" s="460">
        <v>0</v>
      </c>
      <c r="K39" s="460">
        <v>0</v>
      </c>
      <c r="L39" s="460">
        <v>0</v>
      </c>
      <c r="M39" s="460">
        <v>17452.005269924917</v>
      </c>
      <c r="N39" s="460">
        <v>69238.933951332554</v>
      </c>
      <c r="O39" s="460">
        <v>69428.629660788269</v>
      </c>
      <c r="P39" s="460">
        <v>69238.933951332554</v>
      </c>
      <c r="Q39" s="460">
        <v>69238.933951332554</v>
      </c>
      <c r="R39" s="460">
        <v>69238.933951332554</v>
      </c>
      <c r="S39" s="460">
        <v>69428.629660788269</v>
      </c>
      <c r="T39" s="460">
        <v>69238.933951332554</v>
      </c>
      <c r="U39" s="460">
        <v>69238.933951332554</v>
      </c>
      <c r="V39" s="460">
        <v>69238.933951332554</v>
      </c>
      <c r="W39" s="460">
        <v>69428.629660788269</v>
      </c>
      <c r="X39" s="460">
        <v>69238.933951332554</v>
      </c>
      <c r="Y39" s="460">
        <v>69238.933951332554</v>
      </c>
      <c r="Z39" s="460">
        <v>69238.933951332554</v>
      </c>
      <c r="AA39" s="460">
        <v>69428.629660788269</v>
      </c>
      <c r="AB39" s="460">
        <v>69238.933951332554</v>
      </c>
      <c r="AC39" s="460">
        <v>69238.933951332554</v>
      </c>
      <c r="AD39" s="460">
        <v>69238.933951332554</v>
      </c>
      <c r="AE39" s="460">
        <v>69428.629660788269</v>
      </c>
      <c r="AF39" s="460">
        <v>31868.879188558545</v>
      </c>
    </row>
    <row r="40" spans="2:32" x14ac:dyDescent="0.2">
      <c r="B40" s="457" t="s">
        <v>85</v>
      </c>
      <c r="C40" s="461">
        <v>366</v>
      </c>
      <c r="D40" s="461">
        <v>365</v>
      </c>
      <c r="E40" s="461">
        <v>365</v>
      </c>
      <c r="F40" s="461">
        <v>365</v>
      </c>
      <c r="G40" s="461">
        <v>366</v>
      </c>
      <c r="H40" s="461">
        <v>365</v>
      </c>
      <c r="I40" s="461">
        <v>365</v>
      </c>
      <c r="J40" s="461">
        <v>365</v>
      </c>
      <c r="K40" s="461">
        <v>366</v>
      </c>
      <c r="L40" s="461">
        <v>365</v>
      </c>
      <c r="M40" s="461">
        <v>365</v>
      </c>
      <c r="N40" s="461">
        <v>365</v>
      </c>
      <c r="O40" s="461">
        <v>366</v>
      </c>
      <c r="P40" s="461">
        <v>365</v>
      </c>
      <c r="Q40" s="461">
        <v>365</v>
      </c>
      <c r="R40" s="461">
        <v>365</v>
      </c>
      <c r="S40" s="461">
        <v>366</v>
      </c>
      <c r="T40" s="461">
        <v>365</v>
      </c>
      <c r="U40" s="461">
        <v>365</v>
      </c>
      <c r="V40" s="461">
        <v>365</v>
      </c>
      <c r="W40" s="461">
        <v>366</v>
      </c>
      <c r="X40" s="461">
        <v>365</v>
      </c>
      <c r="Y40" s="461">
        <v>365</v>
      </c>
      <c r="Z40" s="461">
        <v>365</v>
      </c>
      <c r="AA40" s="461">
        <v>366</v>
      </c>
      <c r="AB40" s="461">
        <v>365</v>
      </c>
      <c r="AC40" s="461">
        <v>365</v>
      </c>
      <c r="AD40" s="461">
        <v>365</v>
      </c>
      <c r="AE40" s="461">
        <v>366</v>
      </c>
      <c r="AF40" s="461">
        <v>260</v>
      </c>
    </row>
    <row r="41" spans="2:32" x14ac:dyDescent="0.2">
      <c r="B41" s="457" t="s">
        <v>42</v>
      </c>
      <c r="C41" s="461">
        <v>0</v>
      </c>
      <c r="D41" s="461">
        <v>0</v>
      </c>
      <c r="E41" s="461">
        <v>0</v>
      </c>
      <c r="F41" s="461">
        <v>0</v>
      </c>
      <c r="G41" s="461">
        <v>0</v>
      </c>
      <c r="H41" s="461">
        <v>0</v>
      </c>
      <c r="I41" s="461">
        <v>0</v>
      </c>
      <c r="J41" s="461">
        <v>0</v>
      </c>
      <c r="K41" s="461">
        <v>0</v>
      </c>
      <c r="L41" s="461">
        <v>0</v>
      </c>
      <c r="M41" s="461">
        <v>92</v>
      </c>
      <c r="N41" s="461">
        <v>365</v>
      </c>
      <c r="O41" s="461">
        <v>366</v>
      </c>
      <c r="P41" s="461">
        <v>365</v>
      </c>
      <c r="Q41" s="461">
        <v>365</v>
      </c>
      <c r="R41" s="461">
        <v>365</v>
      </c>
      <c r="S41" s="461">
        <v>366</v>
      </c>
      <c r="T41" s="461">
        <v>365</v>
      </c>
      <c r="U41" s="461">
        <v>365</v>
      </c>
      <c r="V41" s="461">
        <v>365</v>
      </c>
      <c r="W41" s="461">
        <v>366</v>
      </c>
      <c r="X41" s="461">
        <v>365</v>
      </c>
      <c r="Y41" s="461">
        <v>365</v>
      </c>
      <c r="Z41" s="461">
        <v>365</v>
      </c>
      <c r="AA41" s="461">
        <v>366</v>
      </c>
      <c r="AB41" s="461">
        <v>365</v>
      </c>
      <c r="AC41" s="461">
        <v>365</v>
      </c>
      <c r="AD41" s="461">
        <v>365</v>
      </c>
      <c r="AE41" s="461">
        <v>366</v>
      </c>
      <c r="AF41" s="461">
        <v>168</v>
      </c>
    </row>
    <row r="42" spans="2:32" x14ac:dyDescent="0.2">
      <c r="B42" s="459" t="s">
        <v>91</v>
      </c>
      <c r="C42" s="462">
        <v>3.6479944126097237E-2</v>
      </c>
      <c r="D42" s="462">
        <v>3.6479944126097237E-2</v>
      </c>
      <c r="E42" s="462">
        <v>3.6479944126097237E-2</v>
      </c>
      <c r="F42" s="462">
        <v>3.6479944126097237E-2</v>
      </c>
      <c r="G42" s="462">
        <v>3.6479944126097237E-2</v>
      </c>
      <c r="H42" s="462">
        <v>3.6479944126097237E-2</v>
      </c>
      <c r="I42" s="462">
        <v>3.6479944126097237E-2</v>
      </c>
      <c r="J42" s="462">
        <v>3.6479944126097237E-2</v>
      </c>
      <c r="K42" s="462">
        <v>3.6479944126097237E-2</v>
      </c>
      <c r="L42" s="462">
        <v>3.6479944126097237E-2</v>
      </c>
      <c r="M42" s="462">
        <v>3.6479944126097237E-2</v>
      </c>
      <c r="N42" s="462">
        <v>3.6479944126097237E-2</v>
      </c>
      <c r="O42" s="462">
        <v>3.6479944126097237E-2</v>
      </c>
      <c r="P42" s="462">
        <v>3.6479944126097237E-2</v>
      </c>
      <c r="Q42" s="462">
        <v>3.6479944126097237E-2</v>
      </c>
      <c r="R42" s="462">
        <v>3.6479944126097237E-2</v>
      </c>
      <c r="S42" s="462">
        <v>3.6479944126097237E-2</v>
      </c>
      <c r="T42" s="462">
        <v>3.6479944126097237E-2</v>
      </c>
      <c r="U42" s="462">
        <v>3.6479944126097237E-2</v>
      </c>
      <c r="V42" s="462">
        <v>3.6479944126097237E-2</v>
      </c>
      <c r="W42" s="462">
        <v>3.6479944126097237E-2</v>
      </c>
      <c r="X42" s="462">
        <v>3.6479944126097237E-2</v>
      </c>
      <c r="Y42" s="462">
        <v>3.6479944126097237E-2</v>
      </c>
      <c r="Z42" s="462">
        <v>3.6479944126097237E-2</v>
      </c>
      <c r="AA42" s="462">
        <v>3.6479944126097237E-2</v>
      </c>
      <c r="AB42" s="462">
        <v>3.6479944126097237E-2</v>
      </c>
      <c r="AC42" s="462">
        <v>3.6479944126097237E-2</v>
      </c>
      <c r="AD42" s="462">
        <v>3.6479944126097237E-2</v>
      </c>
      <c r="AE42" s="462">
        <v>3.6479944126097237E-2</v>
      </c>
      <c r="AF42" s="462">
        <v>3.6479944126097237E-2</v>
      </c>
    </row>
    <row r="45" spans="2:32" x14ac:dyDescent="0.2">
      <c r="B45" s="282" t="s">
        <v>98</v>
      </c>
      <c r="C45" s="281">
        <v>2020</v>
      </c>
      <c r="D45" s="281">
        <v>2021</v>
      </c>
      <c r="E45" s="281">
        <v>2022</v>
      </c>
      <c r="F45" s="281">
        <v>2023</v>
      </c>
      <c r="G45" s="281">
        <v>2024</v>
      </c>
      <c r="H45" s="281">
        <v>2025</v>
      </c>
      <c r="I45" s="281">
        <v>2026</v>
      </c>
      <c r="J45" s="281">
        <v>2027</v>
      </c>
      <c r="K45" s="281">
        <v>2028</v>
      </c>
      <c r="L45" s="281">
        <v>2029</v>
      </c>
      <c r="M45" s="281">
        <v>2030</v>
      </c>
      <c r="N45" s="281">
        <v>2031</v>
      </c>
      <c r="O45" s="281">
        <v>2032</v>
      </c>
      <c r="P45" s="281">
        <v>2033</v>
      </c>
      <c r="Q45" s="281">
        <v>2034</v>
      </c>
      <c r="R45" s="281">
        <v>2035</v>
      </c>
      <c r="S45" s="281">
        <v>2036</v>
      </c>
      <c r="T45" s="281">
        <v>2037</v>
      </c>
      <c r="U45" s="281">
        <v>2038</v>
      </c>
      <c r="V45" s="281">
        <v>2039</v>
      </c>
      <c r="W45" s="281">
        <v>2040</v>
      </c>
      <c r="X45" s="281">
        <v>2041</v>
      </c>
      <c r="Y45" s="281">
        <v>2042</v>
      </c>
      <c r="Z45" s="281">
        <v>2043</v>
      </c>
      <c r="AA45" s="281">
        <v>2044</v>
      </c>
      <c r="AB45" s="281">
        <v>2045</v>
      </c>
      <c r="AC45" s="281">
        <v>2046</v>
      </c>
      <c r="AD45" s="281">
        <v>2047</v>
      </c>
      <c r="AE45" s="281">
        <v>2048</v>
      </c>
      <c r="AF45" s="281">
        <v>2049</v>
      </c>
    </row>
    <row r="46" spans="2:32" x14ac:dyDescent="0.2">
      <c r="B46" s="457" t="s">
        <v>93</v>
      </c>
      <c r="C46" s="460">
        <v>0</v>
      </c>
      <c r="D46" s="460">
        <v>0</v>
      </c>
      <c r="E46" s="460">
        <v>0</v>
      </c>
      <c r="F46" s="460">
        <v>0</v>
      </c>
      <c r="G46" s="460">
        <v>0</v>
      </c>
      <c r="H46" s="460">
        <v>0</v>
      </c>
      <c r="I46" s="460">
        <v>0</v>
      </c>
      <c r="J46" s="460">
        <v>0</v>
      </c>
      <c r="K46" s="460">
        <v>0</v>
      </c>
      <c r="L46" s="460">
        <v>0</v>
      </c>
      <c r="M46" s="460">
        <v>0</v>
      </c>
      <c r="N46" s="460">
        <v>0</v>
      </c>
      <c r="O46" s="460">
        <v>0</v>
      </c>
      <c r="P46" s="460">
        <v>0</v>
      </c>
      <c r="Q46" s="460">
        <v>0</v>
      </c>
      <c r="R46" s="460">
        <v>0</v>
      </c>
      <c r="S46" s="460">
        <v>0</v>
      </c>
      <c r="T46" s="460">
        <v>0</v>
      </c>
      <c r="U46" s="460">
        <v>0</v>
      </c>
      <c r="V46" s="460">
        <v>0</v>
      </c>
      <c r="W46" s="460">
        <v>0</v>
      </c>
      <c r="X46" s="460">
        <v>6000</v>
      </c>
      <c r="Y46" s="460">
        <v>6000</v>
      </c>
      <c r="Z46" s="460">
        <v>6000</v>
      </c>
      <c r="AA46" s="460">
        <v>6000</v>
      </c>
      <c r="AB46" s="460">
        <v>6000</v>
      </c>
      <c r="AC46" s="460">
        <v>6000</v>
      </c>
      <c r="AD46" s="460">
        <v>6000</v>
      </c>
      <c r="AE46" s="460">
        <v>6000</v>
      </c>
      <c r="AF46" s="460">
        <v>6000</v>
      </c>
    </row>
    <row r="47" spans="2:32" x14ac:dyDescent="0.2">
      <c r="B47" s="458" t="s">
        <v>84</v>
      </c>
      <c r="C47" s="460">
        <v>0</v>
      </c>
      <c r="D47" s="460">
        <v>0</v>
      </c>
      <c r="E47" s="460">
        <v>0</v>
      </c>
      <c r="F47" s="460">
        <v>0</v>
      </c>
      <c r="G47" s="460">
        <v>0</v>
      </c>
      <c r="H47" s="460">
        <v>0</v>
      </c>
      <c r="I47" s="460">
        <v>0</v>
      </c>
      <c r="J47" s="460">
        <v>0</v>
      </c>
      <c r="K47" s="460">
        <v>0</v>
      </c>
      <c r="L47" s="460">
        <v>0</v>
      </c>
      <c r="M47" s="460">
        <v>0</v>
      </c>
      <c r="N47" s="460">
        <v>0</v>
      </c>
      <c r="O47" s="460">
        <v>0</v>
      </c>
      <c r="P47" s="460">
        <v>0</v>
      </c>
      <c r="Q47" s="460">
        <v>0</v>
      </c>
      <c r="R47" s="460">
        <v>0</v>
      </c>
      <c r="S47" s="460">
        <v>0</v>
      </c>
      <c r="T47" s="460">
        <v>0</v>
      </c>
      <c r="U47" s="460">
        <v>0</v>
      </c>
      <c r="V47" s="460">
        <v>0</v>
      </c>
      <c r="W47" s="460">
        <v>0</v>
      </c>
      <c r="X47" s="460">
        <v>708000</v>
      </c>
      <c r="Y47" s="460">
        <v>2190000</v>
      </c>
      <c r="Z47" s="460">
        <v>2190000</v>
      </c>
      <c r="AA47" s="460">
        <v>2196000</v>
      </c>
      <c r="AB47" s="460">
        <v>2190000</v>
      </c>
      <c r="AC47" s="460">
        <v>2190000</v>
      </c>
      <c r="AD47" s="460">
        <v>2190000</v>
      </c>
      <c r="AE47" s="460">
        <v>2196000</v>
      </c>
      <c r="AF47" s="460">
        <v>852000</v>
      </c>
    </row>
    <row r="48" spans="2:32" x14ac:dyDescent="0.2">
      <c r="B48" s="457" t="s">
        <v>92</v>
      </c>
      <c r="C48" s="460">
        <v>0</v>
      </c>
      <c r="D48" s="460">
        <v>0</v>
      </c>
      <c r="E48" s="460">
        <v>0</v>
      </c>
      <c r="F48" s="460">
        <v>0</v>
      </c>
      <c r="G48" s="460">
        <v>0</v>
      </c>
      <c r="H48" s="460">
        <v>0</v>
      </c>
      <c r="I48" s="460">
        <v>0</v>
      </c>
      <c r="J48" s="460">
        <v>0</v>
      </c>
      <c r="K48" s="460">
        <v>0</v>
      </c>
      <c r="L48" s="460">
        <v>0</v>
      </c>
      <c r="M48" s="460">
        <v>0</v>
      </c>
      <c r="N48" s="460">
        <v>0</v>
      </c>
      <c r="O48" s="460">
        <v>0</v>
      </c>
      <c r="P48" s="460">
        <v>0</v>
      </c>
      <c r="Q48" s="460">
        <v>0</v>
      </c>
      <c r="R48" s="460">
        <v>0</v>
      </c>
      <c r="S48" s="460">
        <v>0</v>
      </c>
      <c r="T48" s="460">
        <v>0</v>
      </c>
      <c r="U48" s="460">
        <v>0</v>
      </c>
      <c r="V48" s="460">
        <v>0</v>
      </c>
      <c r="W48" s="460">
        <v>0</v>
      </c>
      <c r="X48" s="460">
        <v>25827.800441276842</v>
      </c>
      <c r="Y48" s="460">
        <v>79891.077636152942</v>
      </c>
      <c r="Z48" s="460">
        <v>79891.077636152942</v>
      </c>
      <c r="AA48" s="460">
        <v>80109.957300909533</v>
      </c>
      <c r="AB48" s="460">
        <v>79891.077636152942</v>
      </c>
      <c r="AC48" s="460">
        <v>79891.077636152942</v>
      </c>
      <c r="AD48" s="460">
        <v>79891.077636152942</v>
      </c>
      <c r="AE48" s="460">
        <v>80109.957300909533</v>
      </c>
      <c r="AF48" s="460">
        <v>31080.912395434847</v>
      </c>
    </row>
    <row r="49" spans="1:32" x14ac:dyDescent="0.2">
      <c r="B49" s="457" t="s">
        <v>85</v>
      </c>
      <c r="C49" s="461">
        <v>366</v>
      </c>
      <c r="D49" s="461">
        <v>365</v>
      </c>
      <c r="E49" s="461">
        <v>365</v>
      </c>
      <c r="F49" s="461">
        <v>365</v>
      </c>
      <c r="G49" s="461">
        <v>366</v>
      </c>
      <c r="H49" s="461">
        <v>365</v>
      </c>
      <c r="I49" s="461">
        <v>365</v>
      </c>
      <c r="J49" s="461">
        <v>365</v>
      </c>
      <c r="K49" s="461">
        <v>366</v>
      </c>
      <c r="L49" s="461">
        <v>365</v>
      </c>
      <c r="M49" s="461">
        <v>365</v>
      </c>
      <c r="N49" s="461">
        <v>365</v>
      </c>
      <c r="O49" s="461">
        <v>366</v>
      </c>
      <c r="P49" s="461">
        <v>365</v>
      </c>
      <c r="Q49" s="461">
        <v>365</v>
      </c>
      <c r="R49" s="461">
        <v>365</v>
      </c>
      <c r="S49" s="461">
        <v>366</v>
      </c>
      <c r="T49" s="461">
        <v>365</v>
      </c>
      <c r="U49" s="461">
        <v>365</v>
      </c>
      <c r="V49" s="461">
        <v>365</v>
      </c>
      <c r="W49" s="461">
        <v>366</v>
      </c>
      <c r="X49" s="461">
        <v>365</v>
      </c>
      <c r="Y49" s="461">
        <v>365</v>
      </c>
      <c r="Z49" s="461">
        <v>365</v>
      </c>
      <c r="AA49" s="461">
        <v>366</v>
      </c>
      <c r="AB49" s="461">
        <v>365</v>
      </c>
      <c r="AC49" s="461">
        <v>365</v>
      </c>
      <c r="AD49" s="461">
        <v>365</v>
      </c>
      <c r="AE49" s="461">
        <v>366</v>
      </c>
      <c r="AF49" s="461">
        <v>260</v>
      </c>
    </row>
    <row r="50" spans="1:32" x14ac:dyDescent="0.2">
      <c r="B50" s="457" t="s">
        <v>42</v>
      </c>
      <c r="C50" s="461">
        <v>0</v>
      </c>
      <c r="D50" s="461">
        <v>0</v>
      </c>
      <c r="E50" s="461">
        <v>0</v>
      </c>
      <c r="F50" s="461">
        <v>0</v>
      </c>
      <c r="G50" s="461">
        <v>0</v>
      </c>
      <c r="H50" s="461">
        <v>0</v>
      </c>
      <c r="I50" s="461">
        <v>0</v>
      </c>
      <c r="J50" s="461">
        <v>0</v>
      </c>
      <c r="K50" s="461">
        <v>0</v>
      </c>
      <c r="L50" s="461">
        <v>0</v>
      </c>
      <c r="M50" s="461">
        <v>0</v>
      </c>
      <c r="N50" s="461">
        <v>0</v>
      </c>
      <c r="O50" s="461">
        <v>0</v>
      </c>
      <c r="P50" s="461">
        <v>0</v>
      </c>
      <c r="Q50" s="461">
        <v>0</v>
      </c>
      <c r="R50" s="461">
        <v>0</v>
      </c>
      <c r="S50" s="461">
        <v>0</v>
      </c>
      <c r="T50" s="461">
        <v>0</v>
      </c>
      <c r="U50" s="461">
        <v>0</v>
      </c>
      <c r="V50" s="461">
        <v>0</v>
      </c>
      <c r="W50" s="461">
        <v>0</v>
      </c>
      <c r="X50" s="461">
        <v>118</v>
      </c>
      <c r="Y50" s="461">
        <v>365</v>
      </c>
      <c r="Z50" s="461">
        <v>365</v>
      </c>
      <c r="AA50" s="461">
        <v>366</v>
      </c>
      <c r="AB50" s="461">
        <v>365</v>
      </c>
      <c r="AC50" s="461">
        <v>365</v>
      </c>
      <c r="AD50" s="461">
        <v>365</v>
      </c>
      <c r="AE50" s="461">
        <v>366</v>
      </c>
      <c r="AF50" s="461">
        <v>142</v>
      </c>
    </row>
    <row r="51" spans="1:32" x14ac:dyDescent="0.2">
      <c r="B51" s="459" t="s">
        <v>91</v>
      </c>
      <c r="C51" s="462">
        <v>3.6479944126097237E-2</v>
      </c>
      <c r="D51" s="462">
        <v>3.6479944126097237E-2</v>
      </c>
      <c r="E51" s="462">
        <v>3.6479944126097237E-2</v>
      </c>
      <c r="F51" s="462">
        <v>3.6479944126097237E-2</v>
      </c>
      <c r="G51" s="462">
        <v>3.6479944126097237E-2</v>
      </c>
      <c r="H51" s="462">
        <v>3.6479944126097237E-2</v>
      </c>
      <c r="I51" s="462">
        <v>3.6479944126097237E-2</v>
      </c>
      <c r="J51" s="462">
        <v>3.6479944126097237E-2</v>
      </c>
      <c r="K51" s="462">
        <v>3.6479944126097237E-2</v>
      </c>
      <c r="L51" s="462">
        <v>3.6479944126097237E-2</v>
      </c>
      <c r="M51" s="462">
        <v>3.6479944126097237E-2</v>
      </c>
      <c r="N51" s="462">
        <v>3.6479944126097237E-2</v>
      </c>
      <c r="O51" s="462">
        <v>3.6479944126097237E-2</v>
      </c>
      <c r="P51" s="462">
        <v>3.6479944126097237E-2</v>
      </c>
      <c r="Q51" s="462">
        <v>3.6479944126097237E-2</v>
      </c>
      <c r="R51" s="462">
        <v>3.6479944126097237E-2</v>
      </c>
      <c r="S51" s="462">
        <v>3.6479944126097237E-2</v>
      </c>
      <c r="T51" s="462">
        <v>3.6479944126097237E-2</v>
      </c>
      <c r="U51" s="462">
        <v>3.6479944126097237E-2</v>
      </c>
      <c r="V51" s="462">
        <v>3.6479944126097237E-2</v>
      </c>
      <c r="W51" s="462">
        <v>3.6479944126097237E-2</v>
      </c>
      <c r="X51" s="462">
        <v>3.6479944126097237E-2</v>
      </c>
      <c r="Y51" s="462">
        <v>3.6479944126097237E-2</v>
      </c>
      <c r="Z51" s="462">
        <v>3.6479944126097237E-2</v>
      </c>
      <c r="AA51" s="462">
        <v>3.6479944126097237E-2</v>
      </c>
      <c r="AB51" s="462">
        <v>3.6479944126097237E-2</v>
      </c>
      <c r="AC51" s="462">
        <v>3.6479944126097237E-2</v>
      </c>
      <c r="AD51" s="462">
        <v>3.6479944126097237E-2</v>
      </c>
      <c r="AE51" s="462">
        <v>3.6479944126097237E-2</v>
      </c>
      <c r="AF51" s="462">
        <v>3.6479944126097237E-2</v>
      </c>
    </row>
    <row r="52" spans="1:32" x14ac:dyDescent="0.2">
      <c r="AF52" s="6"/>
    </row>
    <row r="53" spans="1:32" ht="15" x14ac:dyDescent="0.2">
      <c r="A53" s="10"/>
    </row>
  </sheetData>
  <pageMargins left="0.511811024" right="0.511811024" top="0.78740157499999996" bottom="0.78740157499999996" header="0.31496062000000002" footer="0.31496062000000002"/>
  <pageSetup paperSize="9" scale="6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/>
    <pageSetUpPr fitToPage="1"/>
  </sheetPr>
  <dimension ref="A1:G72"/>
  <sheetViews>
    <sheetView showGridLines="0" zoomScale="110" zoomScaleNormal="110" workbookViewId="0">
      <pane xSplit="2" ySplit="5" topLeftCell="C30" activePane="bottomRight" state="frozen"/>
      <selection activeCell="B57" sqref="B57"/>
      <selection pane="topRight" activeCell="B57" sqref="B57"/>
      <selection pane="bottomLeft" activeCell="B57" sqref="B57"/>
      <selection pane="bottomRight" activeCell="J21" sqref="J21"/>
    </sheetView>
  </sheetViews>
  <sheetFormatPr defaultRowHeight="12.75" x14ac:dyDescent="0.2"/>
  <cols>
    <col min="1" max="1" width="10.5703125" style="129" bestFit="1" customWidth="1"/>
    <col min="2" max="2" width="75.85546875" style="129" bestFit="1" customWidth="1"/>
    <col min="3" max="3" width="15.5703125" style="129" bestFit="1" customWidth="1"/>
    <col min="4" max="4" width="15.28515625" style="129" bestFit="1" customWidth="1"/>
    <col min="5" max="5" width="12.140625" style="129" customWidth="1"/>
    <col min="6" max="6" width="13.28515625" style="129" customWidth="1"/>
    <col min="7" max="7" width="11.85546875" style="129" bestFit="1" customWidth="1"/>
    <col min="8" max="16384" width="9.140625" style="129"/>
  </cols>
  <sheetData>
    <row r="1" spans="1:7" s="132" customFormat="1" ht="16.5" thickBot="1" x14ac:dyDescent="0.3">
      <c r="A1" s="126"/>
      <c r="B1" s="208"/>
    </row>
    <row r="2" spans="1:7" ht="13.5" thickBot="1" x14ac:dyDescent="0.25">
      <c r="B2" s="209" t="s">
        <v>376</v>
      </c>
      <c r="C2" s="210"/>
      <c r="D2" s="210"/>
    </row>
    <row r="3" spans="1:7" x14ac:dyDescent="0.2">
      <c r="B3" s="122"/>
    </row>
    <row r="4" spans="1:7" ht="15.75" customHeight="1" thickBot="1" x14ac:dyDescent="0.25">
      <c r="B4" s="308" t="s">
        <v>237</v>
      </c>
      <c r="C4" s="309" t="s">
        <v>338</v>
      </c>
      <c r="D4" s="309" t="s">
        <v>339</v>
      </c>
      <c r="E4" s="309" t="s">
        <v>340</v>
      </c>
      <c r="F4" s="309" t="s">
        <v>341</v>
      </c>
      <c r="G4" s="309" t="s">
        <v>342</v>
      </c>
    </row>
    <row r="5" spans="1:7" ht="15.75" customHeight="1" thickTop="1" x14ac:dyDescent="0.2">
      <c r="B5" s="310"/>
      <c r="C5" s="311"/>
      <c r="D5" s="311"/>
      <c r="E5" s="311"/>
      <c r="F5" s="311"/>
      <c r="G5" s="311"/>
    </row>
    <row r="6" spans="1:7" x14ac:dyDescent="0.2">
      <c r="B6" s="312" t="s">
        <v>27</v>
      </c>
      <c r="C6" s="313">
        <v>1306627.3717481471</v>
      </c>
      <c r="D6" s="313">
        <v>1303057.3516067585</v>
      </c>
      <c r="E6" s="313">
        <v>1325568.3254605709</v>
      </c>
      <c r="F6" s="313">
        <v>1325568.3254605709</v>
      </c>
      <c r="G6" s="313">
        <v>1329200.0195029289</v>
      </c>
    </row>
    <row r="7" spans="1:7" x14ac:dyDescent="0.2">
      <c r="B7" s="314" t="s">
        <v>28</v>
      </c>
      <c r="C7" s="315">
        <v>168595.54141376723</v>
      </c>
      <c r="D7" s="315">
        <v>168134.89785799189</v>
      </c>
      <c r="E7" s="315">
        <v>188563.60663032674</v>
      </c>
      <c r="F7" s="315">
        <v>188563.60663032674</v>
      </c>
      <c r="G7" s="315">
        <v>189080.21925123179</v>
      </c>
    </row>
    <row r="8" spans="1:7" x14ac:dyDescent="0.2">
      <c r="B8" s="285" t="s">
        <v>69</v>
      </c>
      <c r="C8" s="316">
        <v>21559.351633844428</v>
      </c>
      <c r="D8" s="316">
        <v>21500.446301511518</v>
      </c>
      <c r="E8" s="316">
        <v>21871.877370099421</v>
      </c>
      <c r="F8" s="316">
        <v>21871.877370099421</v>
      </c>
      <c r="G8" s="316">
        <v>21931.800321798328</v>
      </c>
    </row>
    <row r="9" spans="1:7" x14ac:dyDescent="0.2">
      <c r="B9" s="314" t="s">
        <v>70</v>
      </c>
      <c r="C9" s="315">
        <v>99303.68025285918</v>
      </c>
      <c r="D9" s="315">
        <v>99032.35872211364</v>
      </c>
      <c r="E9" s="315">
        <v>100743.19273500338</v>
      </c>
      <c r="F9" s="315">
        <v>100743.19273500338</v>
      </c>
      <c r="G9" s="315">
        <v>101019.20148222259</v>
      </c>
    </row>
    <row r="10" spans="1:7" x14ac:dyDescent="0.2">
      <c r="B10" s="285" t="s">
        <v>29</v>
      </c>
      <c r="C10" s="316">
        <v>0</v>
      </c>
      <c r="D10" s="316">
        <v>0</v>
      </c>
      <c r="E10" s="316">
        <v>0</v>
      </c>
      <c r="F10" s="316">
        <v>0</v>
      </c>
      <c r="G10" s="316">
        <v>0</v>
      </c>
    </row>
    <row r="11" spans="1:7" x14ac:dyDescent="0.2">
      <c r="B11" s="314" t="s">
        <v>25</v>
      </c>
      <c r="C11" s="315">
        <v>0</v>
      </c>
      <c r="D11" s="315">
        <v>0</v>
      </c>
      <c r="E11" s="315">
        <v>0</v>
      </c>
      <c r="F11" s="315">
        <v>0</v>
      </c>
      <c r="G11" s="315">
        <v>0</v>
      </c>
    </row>
    <row r="12" spans="1:7" x14ac:dyDescent="0.2">
      <c r="B12" s="312" t="s">
        <v>26</v>
      </c>
      <c r="C12" s="317">
        <v>1017168.7984476764</v>
      </c>
      <c r="D12" s="317">
        <v>1014389.6487251415</v>
      </c>
      <c r="E12" s="317">
        <v>1014389.6487251415</v>
      </c>
      <c r="F12" s="317">
        <v>1014389.6487251415</v>
      </c>
      <c r="G12" s="317">
        <v>1017168.7984476764</v>
      </c>
    </row>
    <row r="13" spans="1:7" x14ac:dyDescent="0.2">
      <c r="B13" s="314" t="s">
        <v>44</v>
      </c>
      <c r="C13" s="318">
        <v>141355.99005778169</v>
      </c>
      <c r="D13" s="318">
        <v>141355.99005778169</v>
      </c>
      <c r="E13" s="318">
        <v>141355.99005778169</v>
      </c>
      <c r="F13" s="318">
        <v>141355.99005778169</v>
      </c>
      <c r="G13" s="318">
        <v>141355.99005778169</v>
      </c>
    </row>
    <row r="14" spans="1:7" x14ac:dyDescent="0.2">
      <c r="B14" s="285" t="s">
        <v>45</v>
      </c>
      <c r="C14" s="319">
        <v>6100.6450882349809</v>
      </c>
      <c r="D14" s="319">
        <v>6041.9762898268673</v>
      </c>
      <c r="E14" s="319">
        <v>5446.3661049211696</v>
      </c>
      <c r="F14" s="319">
        <v>5446.3661049211696</v>
      </c>
      <c r="G14" s="319">
        <v>5446.3661049211696</v>
      </c>
    </row>
    <row r="15" spans="1:7" x14ac:dyDescent="0.2">
      <c r="B15" s="314" t="s">
        <v>46</v>
      </c>
      <c r="C15" s="318">
        <v>1833.2910126502463</v>
      </c>
      <c r="D15" s="318">
        <v>715.87762608858066</v>
      </c>
      <c r="E15" s="318">
        <v>715.87762608858066</v>
      </c>
      <c r="F15" s="318">
        <v>715.87762608858066</v>
      </c>
      <c r="G15" s="318">
        <v>715.87762608858066</v>
      </c>
    </row>
    <row r="16" spans="1:7" x14ac:dyDescent="0.2">
      <c r="B16" s="285" t="s">
        <v>47</v>
      </c>
      <c r="C16" s="319">
        <v>14785.83929338135</v>
      </c>
      <c r="D16" s="319">
        <v>14209.455011695272</v>
      </c>
      <c r="E16" s="319">
        <v>15237.264216855649</v>
      </c>
      <c r="F16" s="319">
        <v>14735.567904317273</v>
      </c>
      <c r="G16" s="319">
        <v>14516.463815189665</v>
      </c>
    </row>
    <row r="17" spans="1:7" x14ac:dyDescent="0.2">
      <c r="B17" s="314" t="s">
        <v>48</v>
      </c>
      <c r="C17" s="318">
        <v>12363.732553458751</v>
      </c>
      <c r="D17" s="318">
        <v>12496.995926930626</v>
      </c>
      <c r="E17" s="318">
        <v>12630.2593004025</v>
      </c>
      <c r="F17" s="318">
        <v>13200.531793376102</v>
      </c>
      <c r="G17" s="318">
        <v>12630.2593004025</v>
      </c>
    </row>
    <row r="18" spans="1:7" x14ac:dyDescent="0.2">
      <c r="B18" s="285" t="s">
        <v>49</v>
      </c>
      <c r="C18" s="319">
        <v>934.37165801934452</v>
      </c>
      <c r="D18" s="319">
        <v>934.3716580193427</v>
      </c>
      <c r="E18" s="319">
        <v>934.3716580193427</v>
      </c>
      <c r="F18" s="319">
        <v>934.3716580193427</v>
      </c>
      <c r="G18" s="319">
        <v>934.3716580193427</v>
      </c>
    </row>
    <row r="19" spans="1:7" x14ac:dyDescent="0.2">
      <c r="B19" s="314" t="s">
        <v>50</v>
      </c>
      <c r="C19" s="318">
        <v>0</v>
      </c>
      <c r="D19" s="318">
        <v>0</v>
      </c>
      <c r="E19" s="318">
        <v>0</v>
      </c>
      <c r="F19" s="318">
        <v>0</v>
      </c>
      <c r="G19" s="318">
        <v>0</v>
      </c>
    </row>
    <row r="20" spans="1:7" x14ac:dyDescent="0.2">
      <c r="B20" s="285" t="s">
        <v>51</v>
      </c>
      <c r="C20" s="319">
        <v>3940.9545924894437</v>
      </c>
      <c r="D20" s="319">
        <v>3940.9545924894437</v>
      </c>
      <c r="E20" s="319">
        <v>3382.9371608716783</v>
      </c>
      <c r="F20" s="319">
        <v>3382.9371608716783</v>
      </c>
      <c r="G20" s="319">
        <v>3382.9371608716783</v>
      </c>
    </row>
    <row r="21" spans="1:7" x14ac:dyDescent="0.2">
      <c r="B21" s="314" t="s">
        <v>52</v>
      </c>
      <c r="C21" s="318">
        <v>7645.6980710639154</v>
      </c>
      <c r="D21" s="318">
        <v>7645.6980710639154</v>
      </c>
      <c r="E21" s="318">
        <v>7645.6980710639154</v>
      </c>
      <c r="F21" s="318">
        <v>7645.6980710639154</v>
      </c>
      <c r="G21" s="318">
        <v>7645.6980710639154</v>
      </c>
    </row>
    <row r="22" spans="1:7" x14ac:dyDescent="0.2">
      <c r="B22" s="285" t="s">
        <v>53</v>
      </c>
      <c r="C22" s="319">
        <v>902.19303840458861</v>
      </c>
      <c r="D22" s="319">
        <v>4837.4604570290358</v>
      </c>
      <c r="E22" s="319">
        <v>3444.8582042479493</v>
      </c>
      <c r="F22" s="319">
        <v>10483.829591032349</v>
      </c>
      <c r="G22" s="319">
        <v>12534.086591897132</v>
      </c>
    </row>
    <row r="23" spans="1:7" x14ac:dyDescent="0.2">
      <c r="B23" s="314" t="s">
        <v>54</v>
      </c>
      <c r="C23" s="318">
        <v>27417.201987068238</v>
      </c>
      <c r="D23" s="318">
        <v>27424.876514569041</v>
      </c>
      <c r="E23" s="318">
        <v>27433.6474031414</v>
      </c>
      <c r="F23" s="318">
        <v>27433.6474031414</v>
      </c>
      <c r="G23" s="318">
        <v>27433.6474031414</v>
      </c>
    </row>
    <row r="24" spans="1:7" x14ac:dyDescent="0.2">
      <c r="B24" s="285" t="s">
        <v>55</v>
      </c>
      <c r="C24" s="319">
        <v>39058.981774989996</v>
      </c>
      <c r="D24" s="319">
        <v>30593.178549700027</v>
      </c>
      <c r="E24" s="319">
        <v>31433.717201444026</v>
      </c>
      <c r="F24" s="319">
        <v>31031.37074804883</v>
      </c>
      <c r="G24" s="319">
        <v>32424.151539804894</v>
      </c>
    </row>
    <row r="25" spans="1:7" ht="15" x14ac:dyDescent="0.2">
      <c r="B25" s="320" t="s">
        <v>373</v>
      </c>
      <c r="C25" s="321">
        <v>760829.89932013385</v>
      </c>
      <c r="D25" s="321">
        <v>764192.81396994775</v>
      </c>
      <c r="E25" s="321">
        <v>764728.66172030359</v>
      </c>
      <c r="F25" s="321">
        <v>758023.4606064792</v>
      </c>
      <c r="G25" s="321">
        <v>758148.94911849429</v>
      </c>
    </row>
    <row r="26" spans="1:7" x14ac:dyDescent="0.2">
      <c r="B26" s="285" t="s">
        <v>80</v>
      </c>
      <c r="C26" s="319">
        <v>100673.96527009721</v>
      </c>
      <c r="D26" s="319">
        <v>103176.27459568584</v>
      </c>
      <c r="E26" s="319">
        <v>105724.1304575839</v>
      </c>
      <c r="F26" s="319">
        <v>107350.934042558</v>
      </c>
      <c r="G26" s="319">
        <v>107497.90434300146</v>
      </c>
    </row>
    <row r="27" spans="1:7" x14ac:dyDescent="0.2">
      <c r="B27" s="314" t="s">
        <v>81</v>
      </c>
      <c r="C27" s="318">
        <v>3245.2244851645933</v>
      </c>
      <c r="D27" s="318">
        <v>3095.4481990450745</v>
      </c>
      <c r="E27" s="318">
        <v>3147.753470464781</v>
      </c>
      <c r="F27" s="318">
        <v>3154.0967671550393</v>
      </c>
      <c r="G27" s="318">
        <v>3081.0794333106778</v>
      </c>
    </row>
    <row r="28" spans="1:7" x14ac:dyDescent="0.2">
      <c r="B28" s="312" t="s">
        <v>79</v>
      </c>
      <c r="C28" s="317">
        <v>663401.15853520122</v>
      </c>
      <c r="D28" s="317">
        <v>664111.98757330689</v>
      </c>
      <c r="E28" s="317">
        <v>662152.28473318438</v>
      </c>
      <c r="F28" s="317">
        <v>653826.62333107623</v>
      </c>
      <c r="G28" s="317">
        <v>653732.12420880352</v>
      </c>
    </row>
    <row r="29" spans="1:7" x14ac:dyDescent="0.2">
      <c r="B29" s="314" t="s">
        <v>62</v>
      </c>
      <c r="C29" s="318">
        <v>0</v>
      </c>
      <c r="D29" s="318">
        <v>0</v>
      </c>
      <c r="E29" s="318">
        <v>0</v>
      </c>
      <c r="F29" s="318">
        <v>0</v>
      </c>
      <c r="G29" s="318">
        <v>0</v>
      </c>
    </row>
    <row r="30" spans="1:7" x14ac:dyDescent="0.2">
      <c r="A30" s="211" t="s">
        <v>40</v>
      </c>
      <c r="B30" s="285" t="s">
        <v>63</v>
      </c>
      <c r="C30" s="319">
        <v>0</v>
      </c>
      <c r="D30" s="319">
        <v>0</v>
      </c>
      <c r="E30" s="319">
        <v>0</v>
      </c>
      <c r="F30" s="319">
        <v>0</v>
      </c>
      <c r="G30" s="319">
        <v>0</v>
      </c>
    </row>
    <row r="31" spans="1:7" x14ac:dyDescent="0.2">
      <c r="B31" s="314" t="s">
        <v>67</v>
      </c>
      <c r="C31" s="318">
        <v>165850.2896338003</v>
      </c>
      <c r="D31" s="318">
        <v>166027.99689332672</v>
      </c>
      <c r="E31" s="318">
        <v>165538.0711832961</v>
      </c>
      <c r="F31" s="318">
        <v>163456.65583276906</v>
      </c>
      <c r="G31" s="318">
        <v>163433.03105220088</v>
      </c>
    </row>
    <row r="32" spans="1:7" x14ac:dyDescent="0.2">
      <c r="B32" s="285" t="s">
        <v>68</v>
      </c>
      <c r="C32" s="319">
        <v>59706.104268168107</v>
      </c>
      <c r="D32" s="319">
        <v>59770.078881597619</v>
      </c>
      <c r="E32" s="319">
        <v>59593.705625986593</v>
      </c>
      <c r="F32" s="319">
        <v>58844.396099796861</v>
      </c>
      <c r="G32" s="319">
        <v>58835.891178792313</v>
      </c>
    </row>
    <row r="33" spans="1:7" x14ac:dyDescent="0.2">
      <c r="B33" s="320" t="s">
        <v>32</v>
      </c>
      <c r="C33" s="321">
        <v>223890.22924601432</v>
      </c>
      <c r="D33" s="321">
        <v>232613.35696274723</v>
      </c>
      <c r="E33" s="321">
        <v>239060.15191825392</v>
      </c>
      <c r="F33" s="321">
        <v>241051.66450137174</v>
      </c>
      <c r="G33" s="321">
        <v>248266.9204964384</v>
      </c>
    </row>
    <row r="34" spans="1:7" s="124" customFormat="1" x14ac:dyDescent="0.2">
      <c r="B34" s="285" t="s">
        <v>30</v>
      </c>
      <c r="C34" s="319">
        <v>98939.042520527786</v>
      </c>
      <c r="D34" s="319">
        <v>72431.166824143045</v>
      </c>
      <c r="E34" s="316">
        <v>87385.156691992743</v>
      </c>
      <c r="F34" s="319">
        <v>58752.479303987129</v>
      </c>
      <c r="G34" s="319">
        <v>58066.342695619431</v>
      </c>
    </row>
    <row r="35" spans="1:7" x14ac:dyDescent="0.2">
      <c r="B35" s="314" t="s">
        <v>56</v>
      </c>
      <c r="C35" s="318">
        <v>311383.27617215115</v>
      </c>
      <c r="D35" s="318">
        <v>305781.38123227615</v>
      </c>
      <c r="E35" s="318">
        <v>300536.73299276695</v>
      </c>
      <c r="F35" s="318">
        <v>294670.7441725416</v>
      </c>
      <c r="G35" s="318">
        <v>287613.10639106273</v>
      </c>
    </row>
    <row r="36" spans="1:7" x14ac:dyDescent="0.2">
      <c r="B36" s="285" t="s">
        <v>31</v>
      </c>
      <c r="C36" s="319">
        <v>0</v>
      </c>
      <c r="D36" s="319">
        <v>0</v>
      </c>
      <c r="E36" s="319">
        <v>0</v>
      </c>
      <c r="F36" s="319">
        <v>0</v>
      </c>
      <c r="G36" s="403">
        <v>1869730.6776263323</v>
      </c>
    </row>
    <row r="37" spans="1:7" x14ac:dyDescent="0.2">
      <c r="B37" s="314" t="s">
        <v>64</v>
      </c>
      <c r="C37" s="318">
        <v>27779.9870458265</v>
      </c>
      <c r="D37" s="318">
        <v>-1120.4998475973407</v>
      </c>
      <c r="E37" s="318">
        <v>-31.958524971825682</v>
      </c>
      <c r="F37" s="318">
        <v>821.3857036699228</v>
      </c>
      <c r="G37" s="318">
        <v>389.74018430478827</v>
      </c>
    </row>
    <row r="38" spans="1:7" x14ac:dyDescent="0.2">
      <c r="B38" s="322" t="s">
        <v>43</v>
      </c>
      <c r="C38" s="323">
        <v>408554.47585181118</v>
      </c>
      <c r="D38" s="323">
        <v>467084.07121847768</v>
      </c>
      <c r="E38" s="323">
        <v>452243.68674399995</v>
      </c>
      <c r="F38" s="323">
        <v>476148.5436662563</v>
      </c>
      <c r="G38" s="323">
        <v>2347154.6216339092</v>
      </c>
    </row>
    <row r="39" spans="1:7" x14ac:dyDescent="0.2">
      <c r="B39" s="206" t="s">
        <v>57</v>
      </c>
      <c r="C39" s="212">
        <v>0</v>
      </c>
    </row>
    <row r="40" spans="1:7" ht="13.5" thickBot="1" x14ac:dyDescent="0.25">
      <c r="B40" s="404" t="s">
        <v>61</v>
      </c>
      <c r="C40" s="405" t="s">
        <v>432</v>
      </c>
      <c r="D40" s="406" t="s">
        <v>128</v>
      </c>
      <c r="E40" s="407" t="s">
        <v>58</v>
      </c>
      <c r="F40" s="408" t="s">
        <v>60</v>
      </c>
      <c r="G40" s="200"/>
    </row>
    <row r="41" spans="1:7" ht="13.5" thickTop="1" x14ac:dyDescent="0.2">
      <c r="B41" s="409"/>
      <c r="C41" s="410">
        <v>132.46346476655154</v>
      </c>
      <c r="D41" s="410"/>
      <c r="E41" s="412">
        <v>3.6311312404612224</v>
      </c>
      <c r="F41" s="411">
        <v>1.022853870552457</v>
      </c>
      <c r="G41" s="213"/>
    </row>
    <row r="42" spans="1:7" x14ac:dyDescent="0.2">
      <c r="B42" s="206" t="s">
        <v>76</v>
      </c>
      <c r="C42" s="214">
        <v>8.9700000000000002E-2</v>
      </c>
      <c r="G42" s="132"/>
    </row>
    <row r="43" spans="1:7" x14ac:dyDescent="0.2">
      <c r="B43" s="206" t="s">
        <v>126</v>
      </c>
      <c r="C43" s="215">
        <v>8.9699999999995894E-2</v>
      </c>
      <c r="D43" s="216"/>
      <c r="E43" s="216"/>
      <c r="G43" s="213"/>
    </row>
    <row r="44" spans="1:7" x14ac:dyDescent="0.2">
      <c r="B44" s="217" t="s">
        <v>311</v>
      </c>
      <c r="C44" s="218"/>
    </row>
    <row r="46" spans="1:7" x14ac:dyDescent="0.2">
      <c r="A46" s="132"/>
      <c r="B46" s="483" t="s">
        <v>99</v>
      </c>
      <c r="C46" s="484" t="s">
        <v>343</v>
      </c>
      <c r="D46" s="484" t="s">
        <v>344</v>
      </c>
      <c r="E46" s="484" t="s">
        <v>345</v>
      </c>
      <c r="F46" s="484" t="s">
        <v>346</v>
      </c>
      <c r="G46" s="484" t="s">
        <v>347</v>
      </c>
    </row>
    <row r="47" spans="1:7" x14ac:dyDescent="0.2">
      <c r="B47" s="485" t="s">
        <v>117</v>
      </c>
      <c r="C47" s="472">
        <v>20980.5</v>
      </c>
      <c r="D47" s="472">
        <v>20980.5</v>
      </c>
      <c r="E47" s="472">
        <v>20980.5</v>
      </c>
      <c r="F47" s="472">
        <v>20980.5</v>
      </c>
      <c r="G47" s="472">
        <v>20980.5</v>
      </c>
    </row>
    <row r="48" spans="1:7" x14ac:dyDescent="0.2">
      <c r="B48" s="486" t="s">
        <v>84</v>
      </c>
      <c r="C48" s="474">
        <v>7678863</v>
      </c>
      <c r="D48" s="475">
        <v>7657882.5</v>
      </c>
      <c r="E48" s="475">
        <v>7657882.5</v>
      </c>
      <c r="F48" s="475">
        <v>7657882.5</v>
      </c>
      <c r="G48" s="475">
        <v>7678863</v>
      </c>
    </row>
    <row r="49" spans="1:7" x14ac:dyDescent="0.2">
      <c r="B49" s="487" t="s">
        <v>92</v>
      </c>
      <c r="C49" s="477">
        <v>280124.49319195544</v>
      </c>
      <c r="D49" s="478">
        <v>279359.1257242178</v>
      </c>
      <c r="E49" s="478">
        <v>279359.1257242178</v>
      </c>
      <c r="F49" s="478">
        <v>279359.1257242178</v>
      </c>
      <c r="G49" s="478">
        <v>280124.49319195544</v>
      </c>
    </row>
    <row r="50" spans="1:7" x14ac:dyDescent="0.2">
      <c r="B50" s="486" t="s">
        <v>85</v>
      </c>
      <c r="C50" s="473">
        <v>366</v>
      </c>
      <c r="D50" s="479">
        <v>365</v>
      </c>
      <c r="E50" s="479">
        <v>365</v>
      </c>
      <c r="F50" s="479">
        <v>365</v>
      </c>
      <c r="G50" s="479">
        <v>366</v>
      </c>
    </row>
    <row r="51" spans="1:7" x14ac:dyDescent="0.2">
      <c r="B51" s="487" t="s">
        <v>42</v>
      </c>
      <c r="C51" s="476">
        <v>366</v>
      </c>
      <c r="D51" s="480">
        <v>365</v>
      </c>
      <c r="E51" s="480">
        <v>365</v>
      </c>
      <c r="F51" s="480">
        <v>365</v>
      </c>
      <c r="G51" s="480">
        <v>366</v>
      </c>
    </row>
    <row r="52" spans="1:7" x14ac:dyDescent="0.2">
      <c r="B52" s="488" t="s">
        <v>91</v>
      </c>
      <c r="C52" s="489">
        <v>3.6479944126097237E-2</v>
      </c>
      <c r="D52" s="490">
        <v>3.6479944126097237E-2</v>
      </c>
      <c r="E52" s="490">
        <v>3.6479944126097237E-2</v>
      </c>
      <c r="F52" s="490">
        <v>3.6479944126097237E-2</v>
      </c>
      <c r="G52" s="490">
        <v>3.6479944126097237E-2</v>
      </c>
    </row>
    <row r="54" spans="1:7" x14ac:dyDescent="0.2">
      <c r="B54" s="153" t="s">
        <v>226</v>
      </c>
      <c r="C54" s="224">
        <v>27891.347957919996</v>
      </c>
      <c r="D54" s="224">
        <v>27890.841401319998</v>
      </c>
      <c r="E54" s="224">
        <v>29635.292917352701</v>
      </c>
      <c r="F54" s="224">
        <v>29979.782098386102</v>
      </c>
      <c r="G54" s="224">
        <v>30284.480829958236</v>
      </c>
    </row>
    <row r="55" spans="1:7" x14ac:dyDescent="0.2">
      <c r="B55" s="153" t="s">
        <v>227</v>
      </c>
      <c r="C55" s="225">
        <v>0.75222251831118114</v>
      </c>
      <c r="D55" s="225">
        <v>0.75223618026120398</v>
      </c>
      <c r="E55" s="225">
        <v>0.70795655904298627</v>
      </c>
      <c r="F55" s="225">
        <v>0.69982163082931281</v>
      </c>
      <c r="G55" s="225">
        <v>0.6927805735816186</v>
      </c>
    </row>
    <row r="57" spans="1:7" ht="15" x14ac:dyDescent="0.25">
      <c r="A57" s="202" t="s">
        <v>184</v>
      </c>
    </row>
    <row r="59" spans="1:7" x14ac:dyDescent="0.2">
      <c r="B59" s="393" t="s">
        <v>337</v>
      </c>
      <c r="C59" s="398" t="s">
        <v>343</v>
      </c>
      <c r="D59" s="399" t="s">
        <v>344</v>
      </c>
      <c r="E59" s="399" t="s">
        <v>345</v>
      </c>
      <c r="F59" s="399" t="s">
        <v>346</v>
      </c>
      <c r="G59" s="399" t="s">
        <v>347</v>
      </c>
    </row>
    <row r="60" spans="1:7" x14ac:dyDescent="0.2">
      <c r="B60" s="350" t="s">
        <v>228</v>
      </c>
      <c r="C60" s="400">
        <v>12000</v>
      </c>
      <c r="D60" s="400">
        <v>12000</v>
      </c>
      <c r="E60" s="400">
        <v>12000</v>
      </c>
      <c r="F60" s="400">
        <v>12000</v>
      </c>
      <c r="G60" s="400">
        <v>12000</v>
      </c>
    </row>
    <row r="61" spans="1:7" x14ac:dyDescent="0.2">
      <c r="B61" s="391" t="s">
        <v>229</v>
      </c>
      <c r="C61" s="287">
        <v>11999.999999999998</v>
      </c>
      <c r="D61" s="287">
        <v>11999.999999999998</v>
      </c>
      <c r="E61" s="287">
        <v>12000.000000000004</v>
      </c>
      <c r="F61" s="287">
        <v>12000.000000000051</v>
      </c>
      <c r="G61" s="287">
        <v>12000.000000000015</v>
      </c>
    </row>
    <row r="62" spans="1:7" x14ac:dyDescent="0.2">
      <c r="B62" s="392" t="s">
        <v>230</v>
      </c>
      <c r="C62" s="288">
        <v>21144</v>
      </c>
      <c r="D62" s="288">
        <v>21144</v>
      </c>
      <c r="E62" s="288">
        <v>21144</v>
      </c>
      <c r="F62" s="288">
        <v>21144</v>
      </c>
      <c r="G62" s="288">
        <v>21144</v>
      </c>
    </row>
    <row r="63" spans="1:7" x14ac:dyDescent="0.2">
      <c r="B63" s="481" t="s">
        <v>231</v>
      </c>
      <c r="C63" s="482">
        <v>20817</v>
      </c>
      <c r="D63" s="482">
        <v>20817</v>
      </c>
      <c r="E63" s="482">
        <v>20817</v>
      </c>
      <c r="F63" s="482">
        <v>20817</v>
      </c>
      <c r="G63" s="482">
        <v>20817</v>
      </c>
    </row>
    <row r="64" spans="1:7" x14ac:dyDescent="0.2">
      <c r="C64" s="226"/>
      <c r="D64" s="226"/>
      <c r="E64" s="226"/>
      <c r="F64" s="226"/>
      <c r="G64" s="226"/>
    </row>
    <row r="65" spans="1:7" x14ac:dyDescent="0.2">
      <c r="B65" s="70" t="s">
        <v>235</v>
      </c>
      <c r="C65" s="121">
        <v>0.5</v>
      </c>
      <c r="D65" s="121">
        <v>0.5</v>
      </c>
      <c r="E65" s="121">
        <v>0.5</v>
      </c>
      <c r="F65" s="121">
        <v>0.5</v>
      </c>
      <c r="G65" s="121">
        <v>0.5</v>
      </c>
    </row>
    <row r="66" spans="1:7" x14ac:dyDescent="0.2">
      <c r="B66" s="70" t="s">
        <v>236</v>
      </c>
      <c r="C66" s="121">
        <v>0.5</v>
      </c>
      <c r="D66" s="121">
        <v>0.5</v>
      </c>
      <c r="E66" s="121">
        <v>0.5</v>
      </c>
      <c r="F66" s="121">
        <v>0.5</v>
      </c>
      <c r="G66" s="121">
        <v>0.5</v>
      </c>
    </row>
    <row r="71" spans="1:7" x14ac:dyDescent="0.2">
      <c r="B71" s="227"/>
      <c r="C71" s="228"/>
    </row>
    <row r="72" spans="1:7" x14ac:dyDescent="0.2">
      <c r="A72" s="229" t="s">
        <v>239</v>
      </c>
      <c r="B72" s="230">
        <v>-2983056.9614049494</v>
      </c>
      <c r="C72" s="231">
        <v>408554.47585181118</v>
      </c>
      <c r="D72" s="231">
        <v>467084.07121847768</v>
      </c>
      <c r="E72" s="231">
        <v>452243.68674399995</v>
      </c>
      <c r="F72" s="231">
        <v>476148.5436662563</v>
      </c>
      <c r="G72" s="231">
        <v>2347154.6216339092</v>
      </c>
    </row>
  </sheetData>
  <hyperlinks>
    <hyperlink ref="A57" location="'Fluxo de Caixa Regulado R 1'!A1" display="UP"/>
  </hyperlinks>
  <pageMargins left="0.51181102362204722" right="0.51181102362204722" top="0.78740157480314965" bottom="0.78740157480314965" header="0.31496062992125984" footer="0.31496062992125984"/>
  <pageSetup paperSize="9" scale="57" fitToHeight="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/>
    <pageSetUpPr fitToPage="1"/>
  </sheetPr>
  <dimension ref="A1:G73"/>
  <sheetViews>
    <sheetView showGridLines="0" zoomScale="110" zoomScaleNormal="110" workbookViewId="0">
      <pane xSplit="2" ySplit="5" topLeftCell="C14" activePane="bottomRight" state="frozen"/>
      <selection activeCell="B57" sqref="B57"/>
      <selection pane="topRight" activeCell="B57" sqref="B57"/>
      <selection pane="bottomLeft" activeCell="B57" sqref="B57"/>
      <selection pane="bottomRight"/>
    </sheetView>
  </sheetViews>
  <sheetFormatPr defaultRowHeight="12.75" x14ac:dyDescent="0.2"/>
  <cols>
    <col min="1" max="1" width="10.5703125" style="129" bestFit="1" customWidth="1"/>
    <col min="2" max="2" width="75.85546875" style="129" bestFit="1" customWidth="1"/>
    <col min="3" max="3" width="15.5703125" style="129" bestFit="1" customWidth="1"/>
    <col min="4" max="4" width="15.28515625" style="129" bestFit="1" customWidth="1"/>
    <col min="5" max="5" width="11.85546875" style="129" bestFit="1" customWidth="1"/>
    <col min="6" max="6" width="12.28515625" style="129" bestFit="1" customWidth="1"/>
    <col min="7" max="7" width="11.85546875" style="129" bestFit="1" customWidth="1"/>
    <col min="8" max="16384" width="9.140625" style="129"/>
  </cols>
  <sheetData>
    <row r="1" spans="1:7" s="132" customFormat="1" ht="16.5" thickBot="1" x14ac:dyDescent="0.3">
      <c r="A1" s="126"/>
      <c r="B1" s="208"/>
    </row>
    <row r="2" spans="1:7" ht="13.5" thickBot="1" x14ac:dyDescent="0.25">
      <c r="B2" s="209" t="s">
        <v>317</v>
      </c>
      <c r="C2" s="210"/>
      <c r="D2" s="210"/>
    </row>
    <row r="3" spans="1:7" x14ac:dyDescent="0.2">
      <c r="B3" s="122"/>
    </row>
    <row r="4" spans="1:7" ht="15.75" customHeight="1" thickBot="1" x14ac:dyDescent="0.25">
      <c r="B4" s="308" t="s">
        <v>237</v>
      </c>
      <c r="C4" s="309">
        <v>2020</v>
      </c>
      <c r="D4" s="309">
        <v>2021</v>
      </c>
      <c r="E4" s="309">
        <v>2022</v>
      </c>
      <c r="F4" s="309">
        <v>2023</v>
      </c>
      <c r="G4" s="309">
        <v>2024</v>
      </c>
    </row>
    <row r="5" spans="1:7" ht="15.75" customHeight="1" thickTop="1" x14ac:dyDescent="0.2">
      <c r="B5" s="310"/>
      <c r="C5" s="311"/>
      <c r="D5" s="311"/>
      <c r="E5" s="311"/>
      <c r="F5" s="311"/>
      <c r="G5" s="311"/>
    </row>
    <row r="6" spans="1:7" x14ac:dyDescent="0.2">
      <c r="B6" s="312" t="s">
        <v>27</v>
      </c>
      <c r="C6" s="313">
        <f>C12/(1-Premissas!B10-Premissas!B11-Premissas!B12)</f>
        <v>17962.922200945402</v>
      </c>
      <c r="D6" s="313">
        <f>D12/(1-Premissas!C10-Premissas!C11-Premissas!C12)</f>
        <v>17913.843178538442</v>
      </c>
      <c r="E6" s="313">
        <f>E12/(1-Premissas!D10-Premissas!D11-Premissas!D12)</f>
        <v>18223.313866774944</v>
      </c>
      <c r="F6" s="313">
        <f>F12/(1-Premissas!E10-Premissas!E11-Premissas!E12)</f>
        <v>18223.313866774944</v>
      </c>
      <c r="G6" s="313">
        <f>G12/(1-Premissas!F10-Premissas!F11-Premissas!F12)</f>
        <v>18273.24075408118</v>
      </c>
    </row>
    <row r="7" spans="1:7" x14ac:dyDescent="0.2">
      <c r="B7" s="314" t="s">
        <v>28</v>
      </c>
      <c r="C7" s="315">
        <v>2317.7752581364934</v>
      </c>
      <c r="D7" s="315">
        <v>2311.4425388519667</v>
      </c>
      <c r="E7" s="315">
        <v>2592.2871884265919</v>
      </c>
      <c r="F7" s="315">
        <v>2592.2871884265919</v>
      </c>
      <c r="G7" s="315">
        <v>2599.3893451072136</v>
      </c>
    </row>
    <row r="8" spans="1:7" x14ac:dyDescent="0.2">
      <c r="B8" s="285" t="s">
        <v>69</v>
      </c>
      <c r="C8" s="316">
        <v>296.38821631559915</v>
      </c>
      <c r="D8" s="316">
        <v>295.57841244588428</v>
      </c>
      <c r="E8" s="316">
        <v>300.68467880178662</v>
      </c>
      <c r="F8" s="316">
        <v>300.68467880178662</v>
      </c>
      <c r="G8" s="316">
        <v>301.5084724423395</v>
      </c>
    </row>
    <row r="9" spans="1:7" x14ac:dyDescent="0.2">
      <c r="B9" s="314" t="s">
        <v>70</v>
      </c>
      <c r="C9" s="315">
        <v>1365.1820872718506</v>
      </c>
      <c r="D9" s="315">
        <v>1361.4520815689216</v>
      </c>
      <c r="E9" s="315">
        <v>1384.9718538748957</v>
      </c>
      <c r="F9" s="315">
        <v>1384.9718538748957</v>
      </c>
      <c r="G9" s="315">
        <v>1388.7662973101696</v>
      </c>
    </row>
    <row r="10" spans="1:7" x14ac:dyDescent="0.2">
      <c r="B10" s="285" t="s">
        <v>29</v>
      </c>
      <c r="C10" s="316">
        <v>0</v>
      </c>
      <c r="D10" s="316">
        <v>0</v>
      </c>
      <c r="E10" s="316">
        <v>0</v>
      </c>
      <c r="F10" s="316">
        <v>0</v>
      </c>
      <c r="G10" s="316">
        <v>0</v>
      </c>
    </row>
    <row r="11" spans="1:7" x14ac:dyDescent="0.2">
      <c r="B11" s="314" t="s">
        <v>25</v>
      </c>
      <c r="C11" s="315">
        <v>0</v>
      </c>
      <c r="D11" s="315">
        <v>0</v>
      </c>
      <c r="E11" s="315">
        <v>0</v>
      </c>
      <c r="F11" s="315">
        <v>0</v>
      </c>
      <c r="G11" s="315">
        <v>0</v>
      </c>
    </row>
    <row r="12" spans="1:7" x14ac:dyDescent="0.2">
      <c r="B12" s="312" t="s">
        <v>26</v>
      </c>
      <c r="C12" s="317">
        <v>13983.576639221461</v>
      </c>
      <c r="D12" s="317">
        <v>13945.370145671672</v>
      </c>
      <c r="E12" s="317">
        <v>13945.370145671672</v>
      </c>
      <c r="F12" s="317">
        <v>13945.370145671672</v>
      </c>
      <c r="G12" s="317">
        <v>13983.576639221461</v>
      </c>
    </row>
    <row r="13" spans="1:7" x14ac:dyDescent="0.2">
      <c r="B13" s="314" t="s">
        <v>44</v>
      </c>
      <c r="C13" s="318"/>
      <c r="D13" s="318"/>
      <c r="E13" s="318"/>
      <c r="F13" s="318"/>
      <c r="G13" s="318"/>
    </row>
    <row r="14" spans="1:7" x14ac:dyDescent="0.2">
      <c r="B14" s="285" t="s">
        <v>45</v>
      </c>
      <c r="C14" s="319"/>
      <c r="D14" s="319"/>
      <c r="E14" s="319"/>
      <c r="F14" s="319"/>
      <c r="G14" s="319"/>
    </row>
    <row r="15" spans="1:7" x14ac:dyDescent="0.2">
      <c r="B15" s="314" t="s">
        <v>46</v>
      </c>
      <c r="C15" s="318"/>
      <c r="D15" s="318"/>
      <c r="E15" s="318"/>
      <c r="F15" s="318"/>
      <c r="G15" s="318"/>
    </row>
    <row r="16" spans="1:7" x14ac:dyDescent="0.2">
      <c r="B16" s="285" t="s">
        <v>47</v>
      </c>
      <c r="C16" s="319"/>
      <c r="D16" s="319"/>
      <c r="E16" s="319"/>
      <c r="F16" s="319"/>
      <c r="G16" s="319"/>
    </row>
    <row r="17" spans="1:7" x14ac:dyDescent="0.2">
      <c r="B17" s="314" t="s">
        <v>48</v>
      </c>
      <c r="C17" s="318"/>
      <c r="D17" s="318"/>
      <c r="E17" s="318"/>
      <c r="F17" s="318"/>
      <c r="G17" s="318"/>
    </row>
    <row r="18" spans="1:7" x14ac:dyDescent="0.2">
      <c r="B18" s="285" t="s">
        <v>49</v>
      </c>
      <c r="C18" s="319"/>
      <c r="D18" s="319"/>
      <c r="E18" s="319"/>
      <c r="F18" s="319"/>
      <c r="G18" s="319"/>
    </row>
    <row r="19" spans="1:7" x14ac:dyDescent="0.2">
      <c r="B19" s="314" t="s">
        <v>50</v>
      </c>
      <c r="C19" s="318"/>
      <c r="D19" s="318"/>
      <c r="E19" s="318"/>
      <c r="F19" s="318"/>
      <c r="G19" s="318"/>
    </row>
    <row r="20" spans="1:7" x14ac:dyDescent="0.2">
      <c r="B20" s="285" t="s">
        <v>51</v>
      </c>
      <c r="C20" s="319"/>
      <c r="D20" s="319"/>
      <c r="E20" s="319"/>
      <c r="F20" s="319"/>
      <c r="G20" s="319"/>
    </row>
    <row r="21" spans="1:7" x14ac:dyDescent="0.2">
      <c r="B21" s="314" t="s">
        <v>52</v>
      </c>
      <c r="C21" s="318"/>
      <c r="D21" s="318"/>
      <c r="E21" s="318"/>
      <c r="F21" s="318"/>
      <c r="G21" s="318"/>
    </row>
    <row r="22" spans="1:7" x14ac:dyDescent="0.2">
      <c r="B22" s="285" t="s">
        <v>53</v>
      </c>
      <c r="C22" s="319"/>
      <c r="D22" s="319"/>
      <c r="E22" s="319"/>
      <c r="F22" s="319"/>
      <c r="G22" s="319"/>
    </row>
    <row r="23" spans="1:7" x14ac:dyDescent="0.2">
      <c r="B23" s="314" t="s">
        <v>54</v>
      </c>
      <c r="C23" s="318"/>
      <c r="D23" s="318"/>
      <c r="E23" s="318"/>
      <c r="F23" s="318"/>
      <c r="G23" s="318"/>
    </row>
    <row r="24" spans="1:7" x14ac:dyDescent="0.2">
      <c r="B24" s="285" t="s">
        <v>55</v>
      </c>
      <c r="C24" s="319"/>
      <c r="D24" s="319"/>
      <c r="E24" s="319"/>
      <c r="F24" s="319"/>
      <c r="G24" s="319"/>
    </row>
    <row r="25" spans="1:7" ht="15" x14ac:dyDescent="0.2">
      <c r="B25" s="320" t="s">
        <v>309</v>
      </c>
      <c r="C25" s="321">
        <v>13983.576639221461</v>
      </c>
      <c r="D25" s="321">
        <v>13945.370145671672</v>
      </c>
      <c r="E25" s="321">
        <v>13945.370145671672</v>
      </c>
      <c r="F25" s="321">
        <v>13945.370145671672</v>
      </c>
      <c r="G25" s="321">
        <v>13983.576639221461</v>
      </c>
    </row>
    <row r="26" spans="1:7" x14ac:dyDescent="0.2">
      <c r="B26" s="285" t="s">
        <v>80</v>
      </c>
      <c r="C26" s="319">
        <v>5776.7448512834999</v>
      </c>
      <c r="D26" s="319">
        <v>5554.5623570033649</v>
      </c>
      <c r="E26" s="319">
        <v>5340.9253432724663</v>
      </c>
      <c r="F26" s="319">
        <v>5135.5051377619875</v>
      </c>
      <c r="G26" s="319">
        <v>4937.9857093865248</v>
      </c>
    </row>
    <row r="27" spans="1:7" x14ac:dyDescent="0.2">
      <c r="B27" s="314" t="s">
        <v>81</v>
      </c>
      <c r="C27" s="318">
        <v>0</v>
      </c>
      <c r="D27" s="318">
        <v>0</v>
      </c>
      <c r="E27" s="318">
        <v>0</v>
      </c>
      <c r="F27" s="318">
        <v>0</v>
      </c>
      <c r="G27" s="318">
        <v>0</v>
      </c>
    </row>
    <row r="28" spans="1:7" x14ac:dyDescent="0.2">
      <c r="B28" s="312" t="s">
        <v>79</v>
      </c>
      <c r="C28" s="317">
        <v>8206.8317879379611</v>
      </c>
      <c r="D28" s="317">
        <v>8390.8077886683059</v>
      </c>
      <c r="E28" s="317">
        <v>8604.4448023992045</v>
      </c>
      <c r="F28" s="317">
        <v>8809.8650079096842</v>
      </c>
      <c r="G28" s="317">
        <v>9045.5909298349361</v>
      </c>
    </row>
    <row r="29" spans="1:7" x14ac:dyDescent="0.2">
      <c r="B29" s="314" t="s">
        <v>62</v>
      </c>
      <c r="C29" s="318">
        <v>0</v>
      </c>
      <c r="D29" s="318">
        <v>0</v>
      </c>
      <c r="E29" s="318">
        <v>0</v>
      </c>
      <c r="F29" s="318">
        <v>0</v>
      </c>
      <c r="G29" s="318">
        <v>0</v>
      </c>
    </row>
    <row r="30" spans="1:7" x14ac:dyDescent="0.2">
      <c r="A30" s="211" t="s">
        <v>40</v>
      </c>
      <c r="B30" s="285" t="s">
        <v>63</v>
      </c>
      <c r="C30" s="319">
        <v>0</v>
      </c>
      <c r="D30" s="319">
        <v>0</v>
      </c>
      <c r="E30" s="319">
        <v>0</v>
      </c>
      <c r="F30" s="319">
        <v>0</v>
      </c>
      <c r="G30" s="319">
        <v>0</v>
      </c>
    </row>
    <row r="31" spans="1:7" x14ac:dyDescent="0.2">
      <c r="B31" s="314" t="s">
        <v>67</v>
      </c>
      <c r="C31" s="318">
        <v>2051.7079469844903</v>
      </c>
      <c r="D31" s="318">
        <v>2097.7019471670765</v>
      </c>
      <c r="E31" s="318">
        <v>2151.1112005998011</v>
      </c>
      <c r="F31" s="318">
        <v>2202.4662519774211</v>
      </c>
      <c r="G31" s="318">
        <v>2261.397732458734</v>
      </c>
    </row>
    <row r="32" spans="1:7" x14ac:dyDescent="0.2">
      <c r="B32" s="285" t="s">
        <v>68</v>
      </c>
      <c r="C32" s="319">
        <v>738.61486091441645</v>
      </c>
      <c r="D32" s="319">
        <v>755.17270098014751</v>
      </c>
      <c r="E32" s="319">
        <v>774.40003221592838</v>
      </c>
      <c r="F32" s="319">
        <v>792.88785071187158</v>
      </c>
      <c r="G32" s="319">
        <v>814.10318368514424</v>
      </c>
    </row>
    <row r="33" spans="1:7" x14ac:dyDescent="0.2">
      <c r="B33" s="320" t="s">
        <v>32</v>
      </c>
      <c r="C33" s="321">
        <v>5416.5089800390542</v>
      </c>
      <c r="D33" s="321">
        <v>5537.9331405210824</v>
      </c>
      <c r="E33" s="321">
        <v>5678.9335695834752</v>
      </c>
      <c r="F33" s="321">
        <v>5814.5109052203916</v>
      </c>
      <c r="G33" s="321">
        <v>5970.0900136910586</v>
      </c>
    </row>
    <row r="34" spans="1:7" s="124" customFormat="1" x14ac:dyDescent="0.2">
      <c r="B34" s="285" t="s">
        <v>30</v>
      </c>
      <c r="C34" s="319">
        <v>68852.217658745998</v>
      </c>
      <c r="D34" s="319">
        <v>0</v>
      </c>
      <c r="E34" s="316">
        <v>0</v>
      </c>
      <c r="F34" s="319">
        <v>0</v>
      </c>
      <c r="G34" s="319">
        <v>0</v>
      </c>
    </row>
    <row r="35" spans="1:7" x14ac:dyDescent="0.2">
      <c r="B35" s="314" t="s">
        <v>56</v>
      </c>
      <c r="C35" s="318">
        <v>5776.7448512834999</v>
      </c>
      <c r="D35" s="318">
        <v>5554.5623570033649</v>
      </c>
      <c r="E35" s="318">
        <v>5340.9253432724663</v>
      </c>
      <c r="F35" s="318">
        <v>5135.5051377619875</v>
      </c>
      <c r="G35" s="318">
        <v>4937.9857093865248</v>
      </c>
    </row>
    <row r="36" spans="1:7" x14ac:dyDescent="0.2">
      <c r="B36" s="285" t="s">
        <v>31</v>
      </c>
      <c r="C36" s="319"/>
      <c r="D36" s="319"/>
      <c r="E36" s="319"/>
      <c r="F36" s="319"/>
      <c r="G36" s="403">
        <v>31021.725114127152</v>
      </c>
    </row>
    <row r="37" spans="1:7" x14ac:dyDescent="0.2">
      <c r="B37" s="314" t="s">
        <v>64</v>
      </c>
      <c r="C37" s="318">
        <f>C13/12+SUM(C14:C23)/8+C24/6</f>
        <v>0</v>
      </c>
      <c r="D37" s="318">
        <f>D13/12+SUM(D14:D23)/8+D24/6-SUM($C$37:C37)</f>
        <v>0</v>
      </c>
      <c r="E37" s="318">
        <f>E13/12+SUM(E14:E23)/8+E24/6-SUM($C$37:D37)</f>
        <v>0</v>
      </c>
      <c r="F37" s="318">
        <f>F13/12+SUM(F14:F23)/8+F24/6-SUM($C$37:E37)</f>
        <v>0</v>
      </c>
      <c r="G37" s="318">
        <f>G13/12+SUM(G14:G23)/8+G24/6-SUM($C$37:F37)</f>
        <v>0</v>
      </c>
    </row>
    <row r="38" spans="1:7" x14ac:dyDescent="0.2">
      <c r="B38" s="322" t="s">
        <v>43</v>
      </c>
      <c r="C38" s="323">
        <f>C33-C34+C35+C36-C37</f>
        <v>-57658.963827423446</v>
      </c>
      <c r="D38" s="323">
        <f t="shared" ref="D38:G38" si="0">D33-D34+D35+D36-D37</f>
        <v>11092.495497524447</v>
      </c>
      <c r="E38" s="323">
        <f>E33-E34+E35+E36-E37</f>
        <v>11019.858912855942</v>
      </c>
      <c r="F38" s="323">
        <f>F33-F34+F35+F36-F37</f>
        <v>10950.016042982379</v>
      </c>
      <c r="G38" s="323">
        <f t="shared" si="0"/>
        <v>41929.800837204733</v>
      </c>
    </row>
    <row r="39" spans="1:7" x14ac:dyDescent="0.2">
      <c r="B39" s="206" t="s">
        <v>57</v>
      </c>
      <c r="C39" s="212">
        <f>+NPV(C42,C38:G38)</f>
        <v>8.3254295014605778E-4</v>
      </c>
    </row>
    <row r="40" spans="1:7" ht="15.75" thickBot="1" x14ac:dyDescent="0.25">
      <c r="B40" s="404" t="s">
        <v>61</v>
      </c>
      <c r="C40" s="405" t="s">
        <v>310</v>
      </c>
      <c r="D40" s="406" t="s">
        <v>128</v>
      </c>
      <c r="E40" s="407" t="s">
        <v>58</v>
      </c>
      <c r="F40" s="408" t="s">
        <v>60</v>
      </c>
      <c r="G40" s="200"/>
    </row>
    <row r="41" spans="1:7" ht="13.5" thickTop="1" x14ac:dyDescent="0.2">
      <c r="B41" s="409"/>
      <c r="C41" s="410">
        <v>1.8210478086692599</v>
      </c>
      <c r="D41" s="410"/>
      <c r="E41" s="412">
        <f>C41/(C52*1000)</f>
        <v>4.991915016027966E-2</v>
      </c>
      <c r="F41" s="411">
        <f>E41/Premissas!$B$66</f>
        <v>1.4061732439515398E-2</v>
      </c>
      <c r="G41" s="213"/>
    </row>
    <row r="42" spans="1:7" x14ac:dyDescent="0.2">
      <c r="B42" s="206" t="s">
        <v>76</v>
      </c>
      <c r="C42" s="214">
        <f>Premissas!$B$51/100</f>
        <v>8.9700000000000002E-2</v>
      </c>
      <c r="G42" s="132"/>
    </row>
    <row r="43" spans="1:7" x14ac:dyDescent="0.2">
      <c r="B43" s="206" t="s">
        <v>126</v>
      </c>
      <c r="C43" s="215">
        <f>IRR(B72:G72)</f>
        <v>8.9700005643342795E-2</v>
      </c>
      <c r="D43" s="216"/>
      <c r="E43" s="216"/>
      <c r="G43" s="213"/>
    </row>
    <row r="44" spans="1:7" x14ac:dyDescent="0.2">
      <c r="B44" s="217" t="s">
        <v>311</v>
      </c>
      <c r="C44" s="218"/>
    </row>
    <row r="46" spans="1:7" x14ac:dyDescent="0.2">
      <c r="A46" s="132"/>
      <c r="B46" s="219" t="s">
        <v>99</v>
      </c>
      <c r="C46" s="207">
        <v>2020</v>
      </c>
      <c r="D46" s="207">
        <v>2021</v>
      </c>
      <c r="E46" s="207">
        <v>2022</v>
      </c>
      <c r="F46" s="207">
        <v>2023</v>
      </c>
      <c r="G46" s="207">
        <v>2024</v>
      </c>
    </row>
    <row r="47" spans="1:7" x14ac:dyDescent="0.2">
      <c r="B47" s="220" t="s">
        <v>117</v>
      </c>
      <c r="C47" s="221">
        <f>+(C62*C65)+(C63*C66)</f>
        <v>20980.5</v>
      </c>
      <c r="D47" s="221">
        <f t="shared" ref="D47:G47" si="1">+(D62*D65)+(D63*D66)</f>
        <v>20980.5</v>
      </c>
      <c r="E47" s="221">
        <f t="shared" si="1"/>
        <v>20980.5</v>
      </c>
      <c r="F47" s="221">
        <f t="shared" si="1"/>
        <v>20980.5</v>
      </c>
      <c r="G47" s="221">
        <f t="shared" si="1"/>
        <v>20980.5</v>
      </c>
    </row>
    <row r="48" spans="1:7" x14ac:dyDescent="0.2">
      <c r="B48" s="222" t="s">
        <v>84</v>
      </c>
      <c r="C48" s="246">
        <f>C47*C51</f>
        <v>7678863</v>
      </c>
      <c r="D48" s="247">
        <f>D47*D51</f>
        <v>7657882.5</v>
      </c>
      <c r="E48" s="247">
        <f>E47*E51</f>
        <v>7657882.5</v>
      </c>
      <c r="F48" s="247">
        <f t="shared" ref="F48:G48" si="2">F47*F51</f>
        <v>7657882.5</v>
      </c>
      <c r="G48" s="247">
        <f t="shared" si="2"/>
        <v>7678863</v>
      </c>
    </row>
    <row r="49" spans="1:7" x14ac:dyDescent="0.2">
      <c r="B49" s="222" t="s">
        <v>92</v>
      </c>
      <c r="C49" s="246">
        <f>C48*C52</f>
        <v>280124.49319195544</v>
      </c>
      <c r="D49" s="247">
        <f t="shared" ref="D49:G49" si="3">D48*D52</f>
        <v>279359.1257242178</v>
      </c>
      <c r="E49" s="247">
        <f t="shared" si="3"/>
        <v>279359.1257242178</v>
      </c>
      <c r="F49" s="247">
        <f t="shared" si="3"/>
        <v>279359.1257242178</v>
      </c>
      <c r="G49" s="247">
        <f t="shared" si="3"/>
        <v>280124.49319195544</v>
      </c>
    </row>
    <row r="50" spans="1:7" x14ac:dyDescent="0.2">
      <c r="B50" s="222" t="s">
        <v>85</v>
      </c>
      <c r="C50" s="248">
        <f>Premissas!B59</f>
        <v>366</v>
      </c>
      <c r="D50" s="249">
        <f>Premissas!C59</f>
        <v>365</v>
      </c>
      <c r="E50" s="249">
        <f>Premissas!D59</f>
        <v>365</v>
      </c>
      <c r="F50" s="249">
        <f>Premissas!E59</f>
        <v>365</v>
      </c>
      <c r="G50" s="249">
        <f>Premissas!F59</f>
        <v>366</v>
      </c>
    </row>
    <row r="51" spans="1:7" x14ac:dyDescent="0.2">
      <c r="B51" s="222" t="s">
        <v>42</v>
      </c>
      <c r="C51" s="248">
        <f>Premissas!B60</f>
        <v>366</v>
      </c>
      <c r="D51" s="249">
        <f>Premissas!C60</f>
        <v>365</v>
      </c>
      <c r="E51" s="249">
        <f>Premissas!D60</f>
        <v>365</v>
      </c>
      <c r="F51" s="249">
        <f>Premissas!E60</f>
        <v>365</v>
      </c>
      <c r="G51" s="249">
        <f>Premissas!F60</f>
        <v>366</v>
      </c>
    </row>
    <row r="52" spans="1:7" x14ac:dyDescent="0.2">
      <c r="B52" s="223" t="s">
        <v>91</v>
      </c>
      <c r="C52" s="250">
        <f>Premissas!B57</f>
        <v>3.6479944126097237E-2</v>
      </c>
      <c r="D52" s="251">
        <f>Premissas!C57</f>
        <v>3.6479944126097237E-2</v>
      </c>
      <c r="E52" s="251">
        <f>Premissas!D57</f>
        <v>3.6479944126097237E-2</v>
      </c>
      <c r="F52" s="251">
        <f>Premissas!E57</f>
        <v>3.6479944126097237E-2</v>
      </c>
      <c r="G52" s="251">
        <f>Premissas!F57</f>
        <v>3.6479944126097237E-2</v>
      </c>
    </row>
    <row r="54" spans="1:7" x14ac:dyDescent="0.2">
      <c r="B54" s="153" t="s">
        <v>226</v>
      </c>
      <c r="C54" s="224">
        <f>-'Cenário Ref'!C59+'Cenário Ref'!C58</f>
        <v>27891.347957919996</v>
      </c>
      <c r="D54" s="224">
        <f>-'Cenário Ref'!D59+'Cenário Ref'!D58</f>
        <v>27890.841401319998</v>
      </c>
      <c r="E54" s="224">
        <f>-'Cenário Ref'!E59+'Cenário Ref'!E58</f>
        <v>29635.292917352701</v>
      </c>
      <c r="F54" s="224">
        <f>-'Cenário Ref'!F59+'Cenário Ref'!F58</f>
        <v>29979.782098386102</v>
      </c>
      <c r="G54" s="224">
        <f>-'Cenário Ref'!G59+'Cenário Ref'!G58</f>
        <v>30284.480829958236</v>
      </c>
    </row>
    <row r="55" spans="1:7" x14ac:dyDescent="0.2">
      <c r="B55" s="153" t="s">
        <v>227</v>
      </c>
      <c r="C55" s="225">
        <f>C47/C54</f>
        <v>0.75222251831118114</v>
      </c>
      <c r="D55" s="225">
        <f t="shared" ref="D55:G55" si="4">D47/D54</f>
        <v>0.75223618026120398</v>
      </c>
      <c r="E55" s="225">
        <f t="shared" si="4"/>
        <v>0.70795655904298627</v>
      </c>
      <c r="F55" s="225">
        <f t="shared" si="4"/>
        <v>0.69982163082931281</v>
      </c>
      <c r="G55" s="225">
        <f t="shared" si="4"/>
        <v>0.6927805735816186</v>
      </c>
    </row>
    <row r="57" spans="1:7" ht="15" x14ac:dyDescent="0.25">
      <c r="A57" s="202" t="s">
        <v>184</v>
      </c>
    </row>
    <row r="59" spans="1:7" x14ac:dyDescent="0.2">
      <c r="C59" s="174">
        <v>2020</v>
      </c>
      <c r="D59" s="175">
        <v>2021</v>
      </c>
      <c r="E59" s="175">
        <v>2022</v>
      </c>
      <c r="F59" s="175">
        <v>2023</v>
      </c>
      <c r="G59" s="175">
        <v>2024</v>
      </c>
    </row>
    <row r="60" spans="1:7" x14ac:dyDescent="0.2">
      <c r="B60" s="62" t="s">
        <v>228</v>
      </c>
      <c r="C60" s="74">
        <f>+'Cenário Ref'!C64</f>
        <v>12000</v>
      </c>
      <c r="D60" s="74">
        <f>+'Cenário Ref'!D64</f>
        <v>12000</v>
      </c>
      <c r="E60" s="74">
        <f>+'Cenário Ref'!E64</f>
        <v>12000</v>
      </c>
      <c r="F60" s="74">
        <f>+'Cenário Ref'!F64</f>
        <v>12000</v>
      </c>
      <c r="G60" s="74">
        <f>+'Cenário Ref'!G64</f>
        <v>12000</v>
      </c>
    </row>
    <row r="61" spans="1:7" x14ac:dyDescent="0.2">
      <c r="B61" s="63" t="s">
        <v>229</v>
      </c>
      <c r="C61" s="71">
        <f>-'Cenário Ref'!C60</f>
        <v>11999.999999999998</v>
      </c>
      <c r="D61" s="71">
        <f>-'Cenário Ref'!D60</f>
        <v>11999.999999999998</v>
      </c>
      <c r="E61" s="71">
        <f>-'Cenário Ref'!E60</f>
        <v>12000.000000000004</v>
      </c>
      <c r="F61" s="71">
        <f>-'Cenário Ref'!F60</f>
        <v>12000.000000000051</v>
      </c>
      <c r="G61" s="71">
        <f>-'Cenário Ref'!G60</f>
        <v>12000.000000000015</v>
      </c>
    </row>
    <row r="62" spans="1:7" x14ac:dyDescent="0.2">
      <c r="B62" s="63" t="s">
        <v>230</v>
      </c>
      <c r="C62" s="71">
        <f>'C. Capacidade'!N5</f>
        <v>21144</v>
      </c>
      <c r="D62" s="71">
        <f>'C. Capacidade'!O5</f>
        <v>21144</v>
      </c>
      <c r="E62" s="71">
        <f>'C. Capacidade'!P5</f>
        <v>21144</v>
      </c>
      <c r="F62" s="71">
        <f>'C. Capacidade'!Q5</f>
        <v>21144</v>
      </c>
      <c r="G62" s="71">
        <f>'C. Capacidade'!R5</f>
        <v>21144</v>
      </c>
    </row>
    <row r="63" spans="1:7" x14ac:dyDescent="0.2">
      <c r="B63" s="64" t="s">
        <v>231</v>
      </c>
      <c r="C63" s="95">
        <f>'C. Capacidade'!N11</f>
        <v>20817</v>
      </c>
      <c r="D63" s="95">
        <f>'C. Capacidade'!O11</f>
        <v>20817</v>
      </c>
      <c r="E63" s="95">
        <f>'C. Capacidade'!P11</f>
        <v>20817</v>
      </c>
      <c r="F63" s="95">
        <f>'C. Capacidade'!Q11</f>
        <v>20817</v>
      </c>
      <c r="G63" s="95">
        <f>'C. Capacidade'!R11</f>
        <v>20817</v>
      </c>
    </row>
    <row r="64" spans="1:7" x14ac:dyDescent="0.2">
      <c r="C64" s="226"/>
      <c r="D64" s="226"/>
      <c r="E64" s="226"/>
      <c r="F64" s="226"/>
      <c r="G64" s="226"/>
    </row>
    <row r="65" spans="1:7" x14ac:dyDescent="0.2">
      <c r="B65" s="70" t="s">
        <v>235</v>
      </c>
      <c r="C65" s="121">
        <f>+'Cálculo Tarifa CWD'!I134</f>
        <v>0.5</v>
      </c>
      <c r="D65" s="121">
        <f>+C65</f>
        <v>0.5</v>
      </c>
      <c r="E65" s="121">
        <f t="shared" ref="E65:G66" si="5">+D65</f>
        <v>0.5</v>
      </c>
      <c r="F65" s="121">
        <f t="shared" si="5"/>
        <v>0.5</v>
      </c>
      <c r="G65" s="121">
        <f t="shared" si="5"/>
        <v>0.5</v>
      </c>
    </row>
    <row r="66" spans="1:7" x14ac:dyDescent="0.2">
      <c r="B66" s="70" t="s">
        <v>236</v>
      </c>
      <c r="C66" s="121">
        <f>+'Cálculo Tarifa CWD'!I135</f>
        <v>0.5</v>
      </c>
      <c r="D66" s="121">
        <f>+C66</f>
        <v>0.5</v>
      </c>
      <c r="E66" s="121">
        <f t="shared" si="5"/>
        <v>0.5</v>
      </c>
      <c r="F66" s="121">
        <f t="shared" si="5"/>
        <v>0.5</v>
      </c>
      <c r="G66" s="121">
        <f t="shared" si="5"/>
        <v>0.5</v>
      </c>
    </row>
    <row r="71" spans="1:7" x14ac:dyDescent="0.2">
      <c r="B71" s="227"/>
      <c r="C71" s="228"/>
    </row>
    <row r="72" spans="1:7" x14ac:dyDescent="0.2">
      <c r="A72" s="229" t="s">
        <v>239</v>
      </c>
      <c r="B72" s="230">
        <v>-1.0000000000000001E-5</v>
      </c>
      <c r="C72" s="231">
        <f>+C38</f>
        <v>-57658.963827423446</v>
      </c>
      <c r="D72" s="231">
        <f t="shared" ref="D72:G72" si="6">+D38</f>
        <v>11092.495497524447</v>
      </c>
      <c r="E72" s="231">
        <f t="shared" si="6"/>
        <v>11019.858912855942</v>
      </c>
      <c r="F72" s="231">
        <f t="shared" si="6"/>
        <v>10950.016042982379</v>
      </c>
      <c r="G72" s="231">
        <f t="shared" si="6"/>
        <v>41929.800837204733</v>
      </c>
    </row>
    <row r="73" spans="1:7" x14ac:dyDescent="0.2">
      <c r="B73" s="216"/>
      <c r="C73" s="228"/>
    </row>
  </sheetData>
  <hyperlinks>
    <hyperlink ref="A57" location="'Fluxo de Caixa Regulado R 1'!A1" display="UP"/>
  </hyperlinks>
  <pageMargins left="0.51181102362204722" right="0.51181102362204722" top="0.78740157480314965" bottom="0.78740157480314965" header="0.31496062992125984" footer="0.31496062992125984"/>
  <pageSetup paperSize="9" scale="57" fitToHeight="2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/>
    <pageSetUpPr fitToPage="1"/>
  </sheetPr>
  <dimension ref="A1:H73"/>
  <sheetViews>
    <sheetView showGridLines="0" zoomScale="110" zoomScaleNormal="110" workbookViewId="0">
      <pane xSplit="2" ySplit="5" topLeftCell="C30" activePane="bottomRight" state="frozen"/>
      <selection activeCell="B57" sqref="B57"/>
      <selection pane="topRight" activeCell="B57" sqref="B57"/>
      <selection pane="bottomLeft" activeCell="B57" sqref="B57"/>
      <selection pane="bottomRight" activeCell="I51" sqref="I51"/>
    </sheetView>
  </sheetViews>
  <sheetFormatPr defaultRowHeight="12.75" x14ac:dyDescent="0.2"/>
  <cols>
    <col min="1" max="1" width="10.5703125" style="129" bestFit="1" customWidth="1"/>
    <col min="2" max="2" width="75.85546875" style="129" bestFit="1" customWidth="1"/>
    <col min="3" max="3" width="15.5703125" style="129" bestFit="1" customWidth="1"/>
    <col min="4" max="4" width="15.28515625" style="129" bestFit="1" customWidth="1"/>
    <col min="5" max="5" width="11.85546875" style="129" bestFit="1" customWidth="1"/>
    <col min="6" max="6" width="12.28515625" style="129" bestFit="1" customWidth="1"/>
    <col min="7" max="7" width="11.85546875" style="129" bestFit="1" customWidth="1"/>
    <col min="8" max="16384" width="9.140625" style="129"/>
  </cols>
  <sheetData>
    <row r="1" spans="1:7" s="132" customFormat="1" ht="16.5" thickBot="1" x14ac:dyDescent="0.3">
      <c r="A1" s="126"/>
      <c r="B1" s="208"/>
    </row>
    <row r="2" spans="1:7" ht="13.5" thickBot="1" x14ac:dyDescent="0.25">
      <c r="B2" s="209" t="s">
        <v>316</v>
      </c>
      <c r="C2" s="210"/>
      <c r="D2" s="210"/>
    </row>
    <row r="3" spans="1:7" x14ac:dyDescent="0.2">
      <c r="B3" s="122"/>
    </row>
    <row r="4" spans="1:7" ht="15.75" customHeight="1" thickBot="1" x14ac:dyDescent="0.25">
      <c r="B4" s="308" t="s">
        <v>237</v>
      </c>
      <c r="C4" s="309">
        <v>2020</v>
      </c>
      <c r="D4" s="309">
        <v>2021</v>
      </c>
      <c r="E4" s="309">
        <v>2022</v>
      </c>
      <c r="F4" s="309">
        <v>2023</v>
      </c>
      <c r="G4" s="309">
        <v>2024</v>
      </c>
    </row>
    <row r="5" spans="1:7" ht="15.75" customHeight="1" thickTop="1" x14ac:dyDescent="0.2">
      <c r="B5" s="310"/>
      <c r="C5" s="311"/>
      <c r="D5" s="311"/>
      <c r="E5" s="311"/>
      <c r="F5" s="311"/>
      <c r="G5" s="311"/>
    </row>
    <row r="6" spans="1:7" x14ac:dyDescent="0.2">
      <c r="B6" s="312" t="s">
        <v>27</v>
      </c>
      <c r="C6" s="313">
        <v>172.06034110160113</v>
      </c>
      <c r="D6" s="313">
        <v>171.59023088001203</v>
      </c>
      <c r="E6" s="313">
        <v>208.77871698058235</v>
      </c>
      <c r="F6" s="313">
        <v>213.06001420180843</v>
      </c>
      <c r="G6" s="313">
        <v>217.40521967034141</v>
      </c>
    </row>
    <row r="7" spans="1:7" x14ac:dyDescent="0.2">
      <c r="B7" s="314" t="s">
        <v>28</v>
      </c>
      <c r="C7" s="315">
        <v>22.201131700655456</v>
      </c>
      <c r="D7" s="315">
        <v>22.140472870872241</v>
      </c>
      <c r="E7" s="315">
        <v>29.699010684969668</v>
      </c>
      <c r="F7" s="315">
        <v>30.308030099197367</v>
      </c>
      <c r="G7" s="315">
        <v>30.926140534517035</v>
      </c>
    </row>
    <row r="8" spans="1:7" x14ac:dyDescent="0.2">
      <c r="B8" s="285" t="s">
        <v>69</v>
      </c>
      <c r="C8" s="316">
        <v>2.8389956281764186</v>
      </c>
      <c r="D8" s="316">
        <v>2.8312388095201988</v>
      </c>
      <c r="E8" s="316">
        <v>3.444848830179609</v>
      </c>
      <c r="F8" s="316">
        <v>3.5154902343298393</v>
      </c>
      <c r="G8" s="316">
        <v>3.5871861245606333</v>
      </c>
    </row>
    <row r="9" spans="1:7" x14ac:dyDescent="0.2">
      <c r="B9" s="314" t="s">
        <v>70</v>
      </c>
      <c r="C9" s="315">
        <v>13.076585923721685</v>
      </c>
      <c r="D9" s="315">
        <v>13.040857546880915</v>
      </c>
      <c r="E9" s="315">
        <v>15.867182490524257</v>
      </c>
      <c r="F9" s="315">
        <v>16.192561079337441</v>
      </c>
      <c r="G9" s="315">
        <v>16.522796694945946</v>
      </c>
    </row>
    <row r="10" spans="1:7" x14ac:dyDescent="0.2">
      <c r="B10" s="285" t="s">
        <v>29</v>
      </c>
      <c r="C10" s="316">
        <v>0</v>
      </c>
      <c r="D10" s="316">
        <v>0</v>
      </c>
      <c r="E10" s="316">
        <v>0</v>
      </c>
      <c r="F10" s="316">
        <v>0</v>
      </c>
      <c r="G10" s="316">
        <v>0</v>
      </c>
    </row>
    <row r="11" spans="1:7" x14ac:dyDescent="0.2">
      <c r="B11" s="314" t="s">
        <v>25</v>
      </c>
      <c r="C11" s="315">
        <v>0</v>
      </c>
      <c r="D11" s="315">
        <v>0</v>
      </c>
      <c r="E11" s="315">
        <v>0</v>
      </c>
      <c r="F11" s="315">
        <v>0</v>
      </c>
      <c r="G11" s="315">
        <v>0</v>
      </c>
    </row>
    <row r="12" spans="1:7" x14ac:dyDescent="0.2">
      <c r="B12" s="312" t="s">
        <v>26</v>
      </c>
      <c r="C12" s="317">
        <v>133.94362784904757</v>
      </c>
      <c r="D12" s="317">
        <v>133.5776616527387</v>
      </c>
      <c r="E12" s="317">
        <v>159.76767497490883</v>
      </c>
      <c r="F12" s="317">
        <v>163.04393278894381</v>
      </c>
      <c r="G12" s="317">
        <v>166.36909631631781</v>
      </c>
    </row>
    <row r="13" spans="1:7" x14ac:dyDescent="0.2">
      <c r="B13" s="314" t="s">
        <v>44</v>
      </c>
      <c r="C13" s="318"/>
      <c r="D13" s="318"/>
      <c r="E13" s="318"/>
      <c r="F13" s="318"/>
      <c r="G13" s="318"/>
    </row>
    <row r="14" spans="1:7" x14ac:dyDescent="0.2">
      <c r="B14" s="285" t="s">
        <v>45</v>
      </c>
      <c r="C14" s="319">
        <v>10.747780776252903</v>
      </c>
      <c r="D14" s="319">
        <v>10.644421315970153</v>
      </c>
      <c r="E14" s="319">
        <v>9.5951080707503813</v>
      </c>
      <c r="F14" s="319">
        <v>9.5951080707503813</v>
      </c>
      <c r="G14" s="319">
        <v>9.5951080707503813</v>
      </c>
    </row>
    <row r="15" spans="1:7" x14ac:dyDescent="0.2">
      <c r="B15" s="314" t="s">
        <v>46</v>
      </c>
      <c r="C15" s="318">
        <v>3.2297912135616755</v>
      </c>
      <c r="D15" s="318">
        <v>1.2611938043506874</v>
      </c>
      <c r="E15" s="318">
        <v>1.2611938043506874</v>
      </c>
      <c r="F15" s="318">
        <v>1.2611938043506874</v>
      </c>
      <c r="G15" s="318">
        <v>1.2611938043506874</v>
      </c>
    </row>
    <row r="16" spans="1:7" x14ac:dyDescent="0.2">
      <c r="B16" s="285" t="s">
        <v>47</v>
      </c>
      <c r="C16" s="319">
        <v>26.04887794974902</v>
      </c>
      <c r="D16" s="319">
        <v>25.033435842751736</v>
      </c>
      <c r="E16" s="319">
        <v>26.844173536406764</v>
      </c>
      <c r="F16" s="319">
        <v>25.960312583109289</v>
      </c>
      <c r="G16" s="319">
        <v>25.574307056961658</v>
      </c>
    </row>
    <row r="17" spans="1:7" x14ac:dyDescent="0.2">
      <c r="B17" s="314" t="s">
        <v>48</v>
      </c>
      <c r="C17" s="318">
        <v>21.781743592502831</v>
      </c>
      <c r="D17" s="318">
        <v>22.016519669928112</v>
      </c>
      <c r="E17" s="318">
        <v>22.251295747353399</v>
      </c>
      <c r="F17" s="318">
        <v>23.255970441350513</v>
      </c>
      <c r="G17" s="318">
        <v>22.251295747353399</v>
      </c>
    </row>
    <row r="18" spans="1:7" x14ac:dyDescent="0.2">
      <c r="B18" s="285" t="s">
        <v>49</v>
      </c>
      <c r="C18" s="319">
        <v>1.6461245653025365</v>
      </c>
      <c r="D18" s="319">
        <v>1.6461245653025334</v>
      </c>
      <c r="E18" s="319">
        <v>1.6461245653025334</v>
      </c>
      <c r="F18" s="319">
        <v>1.6461245653025334</v>
      </c>
      <c r="G18" s="319">
        <v>1.6461245653025334</v>
      </c>
    </row>
    <row r="19" spans="1:7" x14ac:dyDescent="0.2">
      <c r="B19" s="314" t="s">
        <v>50</v>
      </c>
      <c r="C19" s="318">
        <v>0</v>
      </c>
      <c r="D19" s="318">
        <v>0</v>
      </c>
      <c r="E19" s="318">
        <v>0</v>
      </c>
      <c r="F19" s="318">
        <v>0</v>
      </c>
      <c r="G19" s="318">
        <v>0</v>
      </c>
    </row>
    <row r="20" spans="1:7" x14ac:dyDescent="0.2">
      <c r="B20" s="285" t="s">
        <v>51</v>
      </c>
      <c r="C20" s="319">
        <v>6.9429569162985167</v>
      </c>
      <c r="D20" s="319">
        <v>6.9429569162985167</v>
      </c>
      <c r="E20" s="319">
        <v>5.9598725149584935</v>
      </c>
      <c r="F20" s="319">
        <v>5.9598725149584935</v>
      </c>
      <c r="G20" s="319">
        <v>5.9598725149584935</v>
      </c>
    </row>
    <row r="21" spans="1:7" x14ac:dyDescent="0.2">
      <c r="B21" s="314" t="s">
        <v>52</v>
      </c>
      <c r="C21" s="318">
        <v>13.469770091639448</v>
      </c>
      <c r="D21" s="318">
        <v>13.469770091639448</v>
      </c>
      <c r="E21" s="318">
        <v>13.469770091639448</v>
      </c>
      <c r="F21" s="318">
        <v>13.469770091639448</v>
      </c>
      <c r="G21" s="318">
        <v>13.469770091639448</v>
      </c>
    </row>
    <row r="22" spans="1:7" x14ac:dyDescent="0.2">
      <c r="B22" s="285" t="s">
        <v>53</v>
      </c>
      <c r="C22" s="319">
        <v>1.5894340441691577</v>
      </c>
      <c r="D22" s="319">
        <v>8.5223716105377303</v>
      </c>
      <c r="E22" s="319">
        <v>6.0689616014435339</v>
      </c>
      <c r="F22" s="319">
        <v>18.46983401104692</v>
      </c>
      <c r="G22" s="319">
        <v>22.08186396223488</v>
      </c>
    </row>
    <row r="23" spans="1:7" x14ac:dyDescent="0.2">
      <c r="B23" s="314" t="s">
        <v>54</v>
      </c>
      <c r="C23" s="318">
        <v>48.302117594667195</v>
      </c>
      <c r="D23" s="318">
        <v>48.315638154861567</v>
      </c>
      <c r="E23" s="318">
        <v>48.331090223655153</v>
      </c>
      <c r="F23" s="318">
        <v>48.331090223655153</v>
      </c>
      <c r="G23" s="318">
        <v>48.331090223655153</v>
      </c>
    </row>
    <row r="24" spans="1:7" x14ac:dyDescent="0.2">
      <c r="B24" s="285" t="s">
        <v>55</v>
      </c>
      <c r="C24" s="319"/>
      <c r="D24" s="319"/>
      <c r="E24" s="319"/>
      <c r="F24" s="319"/>
      <c r="G24" s="319"/>
    </row>
    <row r="25" spans="1:7" ht="15" x14ac:dyDescent="0.2">
      <c r="B25" s="320" t="s">
        <v>309</v>
      </c>
      <c r="C25" s="321">
        <v>0.18503110490428298</v>
      </c>
      <c r="D25" s="321">
        <v>-4.2747703189018011</v>
      </c>
      <c r="E25" s="321">
        <v>24.340084819048428</v>
      </c>
      <c r="F25" s="321">
        <v>15.09465648278038</v>
      </c>
      <c r="G25" s="321">
        <v>16.198470279111177</v>
      </c>
    </row>
    <row r="26" spans="1:7" x14ac:dyDescent="0.2">
      <c r="B26" s="285" t="s">
        <v>80</v>
      </c>
      <c r="C26" s="319"/>
      <c r="D26" s="319"/>
      <c r="E26" s="319"/>
      <c r="F26" s="319"/>
      <c r="G26" s="319"/>
    </row>
    <row r="27" spans="1:7" x14ac:dyDescent="0.2">
      <c r="B27" s="314" t="s">
        <v>81</v>
      </c>
      <c r="C27" s="318">
        <v>5.7172579017161445</v>
      </c>
      <c r="D27" s="318">
        <v>5.4533902835525634</v>
      </c>
      <c r="E27" s="318">
        <v>5.5455388321946639</v>
      </c>
      <c r="F27" s="318">
        <v>5.556714103209381</v>
      </c>
      <c r="G27" s="318">
        <v>5.4280761828459907</v>
      </c>
    </row>
    <row r="28" spans="1:7" x14ac:dyDescent="0.2">
      <c r="B28" s="312" t="s">
        <v>79</v>
      </c>
      <c r="C28" s="317">
        <v>5.9022890066204274</v>
      </c>
      <c r="D28" s="317">
        <v>1.1786199646507622</v>
      </c>
      <c r="E28" s="317">
        <v>29.885623651243094</v>
      </c>
      <c r="F28" s="317">
        <v>20.65137058598976</v>
      </c>
      <c r="G28" s="317">
        <v>21.626546461957169</v>
      </c>
    </row>
    <row r="29" spans="1:7" x14ac:dyDescent="0.2">
      <c r="B29" s="314" t="s">
        <v>62</v>
      </c>
      <c r="C29" s="318">
        <v>0</v>
      </c>
      <c r="D29" s="318">
        <v>0</v>
      </c>
      <c r="E29" s="318">
        <v>0</v>
      </c>
      <c r="F29" s="318">
        <v>0</v>
      </c>
      <c r="G29" s="318">
        <v>0</v>
      </c>
    </row>
    <row r="30" spans="1:7" x14ac:dyDescent="0.2">
      <c r="A30" s="211" t="s">
        <v>40</v>
      </c>
      <c r="B30" s="285" t="s">
        <v>63</v>
      </c>
      <c r="C30" s="319">
        <v>0</v>
      </c>
      <c r="D30" s="319">
        <v>0</v>
      </c>
      <c r="E30" s="319">
        <v>0</v>
      </c>
      <c r="F30" s="319">
        <v>0</v>
      </c>
      <c r="G30" s="319">
        <v>0</v>
      </c>
    </row>
    <row r="31" spans="1:7" x14ac:dyDescent="0.2">
      <c r="B31" s="314" t="s">
        <v>67</v>
      </c>
      <c r="C31" s="318">
        <v>1.4755722516551069</v>
      </c>
      <c r="D31" s="318">
        <v>0.29465499116269056</v>
      </c>
      <c r="E31" s="318">
        <v>7.4714059128107735</v>
      </c>
      <c r="F31" s="318">
        <v>5.16284264649744</v>
      </c>
      <c r="G31" s="318">
        <v>5.4066366154892922</v>
      </c>
    </row>
    <row r="32" spans="1:7" x14ac:dyDescent="0.2">
      <c r="B32" s="285" t="s">
        <v>68</v>
      </c>
      <c r="C32" s="319">
        <v>0.5312060105958385</v>
      </c>
      <c r="D32" s="319">
        <v>0.1060757968185686</v>
      </c>
      <c r="E32" s="319">
        <v>2.6897061286118782</v>
      </c>
      <c r="F32" s="319">
        <v>1.8586233527390783</v>
      </c>
      <c r="G32" s="319">
        <v>1.9463891815761452</v>
      </c>
    </row>
    <row r="33" spans="1:8" x14ac:dyDescent="0.2">
      <c r="B33" s="320" t="s">
        <v>32</v>
      </c>
      <c r="C33" s="321">
        <v>-1.8217471573466624</v>
      </c>
      <c r="D33" s="321">
        <v>-4.6755011068830612</v>
      </c>
      <c r="E33" s="321">
        <v>14.178972777625777</v>
      </c>
      <c r="F33" s="321">
        <v>8.0731904835438613</v>
      </c>
      <c r="G33" s="321">
        <v>8.845444482045739</v>
      </c>
    </row>
    <row r="34" spans="1:8" s="124" customFormat="1" x14ac:dyDescent="0.2">
      <c r="B34" s="285" t="s">
        <v>30</v>
      </c>
      <c r="C34" s="319"/>
      <c r="D34" s="319"/>
      <c r="E34" s="316"/>
      <c r="F34" s="319"/>
      <c r="G34" s="319"/>
      <c r="H34" s="129"/>
    </row>
    <row r="35" spans="1:8" x14ac:dyDescent="0.2">
      <c r="B35" s="314" t="s">
        <v>56</v>
      </c>
      <c r="C35" s="318">
        <v>0</v>
      </c>
      <c r="D35" s="318">
        <v>0</v>
      </c>
      <c r="E35" s="318">
        <v>0</v>
      </c>
      <c r="F35" s="318">
        <v>0</v>
      </c>
      <c r="G35" s="318">
        <v>0</v>
      </c>
    </row>
    <row r="36" spans="1:8" x14ac:dyDescent="0.2">
      <c r="B36" s="285" t="s">
        <v>31</v>
      </c>
      <c r="C36" s="319"/>
      <c r="D36" s="319"/>
      <c r="E36" s="319"/>
      <c r="F36" s="319"/>
      <c r="G36" s="403"/>
    </row>
    <row r="37" spans="1:8" x14ac:dyDescent="0.2">
      <c r="B37" s="314" t="s">
        <v>64</v>
      </c>
      <c r="C37" s="318">
        <v>16.719824593017911</v>
      </c>
      <c r="D37" s="318">
        <v>0.51172940343715112</v>
      </c>
      <c r="E37" s="318">
        <v>-0.3031052269725123</v>
      </c>
      <c r="F37" s="318">
        <v>1.5652107687878782</v>
      </c>
      <c r="G37" s="318">
        <v>0.27766871638040058</v>
      </c>
    </row>
    <row r="38" spans="1:8" x14ac:dyDescent="0.2">
      <c r="B38" s="322" t="s">
        <v>43</v>
      </c>
      <c r="C38" s="323">
        <v>-18.541571750364575</v>
      </c>
      <c r="D38" s="323">
        <v>-5.1872305103202123</v>
      </c>
      <c r="E38" s="323">
        <v>14.482078004598289</v>
      </c>
      <c r="F38" s="323">
        <v>6.507979714755983</v>
      </c>
      <c r="G38" s="323">
        <v>8.5677757656653384</v>
      </c>
    </row>
    <row r="39" spans="1:8" x14ac:dyDescent="0.2">
      <c r="B39" s="206" t="s">
        <v>57</v>
      </c>
      <c r="C39" s="212">
        <v>8.9657360894754307E-15</v>
      </c>
    </row>
    <row r="40" spans="1:8" ht="13.5" thickBot="1" x14ac:dyDescent="0.25">
      <c r="B40" s="404" t="s">
        <v>61</v>
      </c>
      <c r="C40" s="405" t="s">
        <v>432</v>
      </c>
      <c r="D40" s="406" t="s">
        <v>128</v>
      </c>
      <c r="E40" s="407" t="s">
        <v>58</v>
      </c>
      <c r="F40" s="408" t="s">
        <v>60</v>
      </c>
      <c r="G40" s="200"/>
    </row>
    <row r="41" spans="1:8" ht="13.5" thickTop="1" x14ac:dyDescent="0.2">
      <c r="B41" s="409"/>
      <c r="C41" s="410">
        <v>2.6187016201805854E-2</v>
      </c>
      <c r="D41" s="410"/>
      <c r="E41" s="413">
        <v>7.178469383419925E-4</v>
      </c>
      <c r="F41" s="411">
        <v>2.0221040516675846E-4</v>
      </c>
      <c r="G41" s="213"/>
    </row>
    <row r="42" spans="1:8" x14ac:dyDescent="0.2">
      <c r="B42" s="206" t="s">
        <v>76</v>
      </c>
      <c r="C42" s="214">
        <v>8.9700000000000002E-2</v>
      </c>
      <c r="G42" s="132"/>
    </row>
    <row r="43" spans="1:8" x14ac:dyDescent="0.2">
      <c r="B43" s="206" t="s">
        <v>126</v>
      </c>
      <c r="C43" s="215">
        <v>8.9699798825051191E-2</v>
      </c>
      <c r="D43" s="216"/>
      <c r="E43" s="216"/>
      <c r="G43" s="213"/>
    </row>
    <row r="44" spans="1:8" x14ac:dyDescent="0.2">
      <c r="B44" s="217" t="s">
        <v>311</v>
      </c>
      <c r="C44" s="218"/>
    </row>
    <row r="46" spans="1:8" x14ac:dyDescent="0.2">
      <c r="A46" s="132"/>
      <c r="B46" s="219" t="s">
        <v>99</v>
      </c>
      <c r="C46" s="207">
        <v>2020</v>
      </c>
      <c r="D46" s="207">
        <v>2021</v>
      </c>
      <c r="E46" s="207">
        <v>2022</v>
      </c>
      <c r="F46" s="207">
        <v>2023</v>
      </c>
      <c r="G46" s="207">
        <v>2024</v>
      </c>
    </row>
    <row r="47" spans="1:8" x14ac:dyDescent="0.2">
      <c r="B47" s="220" t="s">
        <v>117</v>
      </c>
      <c r="C47" s="221">
        <v>13975.100999999999</v>
      </c>
      <c r="D47" s="221">
        <v>13975.100999999999</v>
      </c>
      <c r="E47" s="221">
        <v>16715.140590752701</v>
      </c>
      <c r="F47" s="221">
        <v>17057.907736746074</v>
      </c>
      <c r="G47" s="221">
        <v>17358.234666598226</v>
      </c>
    </row>
    <row r="48" spans="1:8" x14ac:dyDescent="0.2">
      <c r="B48" s="222" t="s">
        <v>84</v>
      </c>
      <c r="C48" s="246">
        <v>5114886.9659999991</v>
      </c>
      <c r="D48" s="247">
        <v>5100911.8649999993</v>
      </c>
      <c r="E48" s="247">
        <v>6101026.3156247353</v>
      </c>
      <c r="F48" s="247">
        <v>6226136.3239123169</v>
      </c>
      <c r="G48" s="247">
        <v>6353113.8879749505</v>
      </c>
    </row>
    <row r="49" spans="1:7" x14ac:dyDescent="0.2">
      <c r="B49" s="222" t="s">
        <v>92</v>
      </c>
      <c r="C49" s="246">
        <v>186590.79073098299</v>
      </c>
      <c r="D49" s="247">
        <v>186080.97982734643</v>
      </c>
      <c r="E49" s="247">
        <v>222565.09910583924</v>
      </c>
      <c r="F49" s="247">
        <v>227129.10521778578</v>
      </c>
      <c r="G49" s="247">
        <v>231761.23966005858</v>
      </c>
    </row>
    <row r="50" spans="1:7" x14ac:dyDescent="0.2">
      <c r="B50" s="222" t="s">
        <v>85</v>
      </c>
      <c r="C50" s="248">
        <v>366</v>
      </c>
      <c r="D50" s="249">
        <v>365</v>
      </c>
      <c r="E50" s="249">
        <v>365</v>
      </c>
      <c r="F50" s="249">
        <v>365</v>
      </c>
      <c r="G50" s="249">
        <v>366</v>
      </c>
    </row>
    <row r="51" spans="1:7" x14ac:dyDescent="0.2">
      <c r="B51" s="222" t="s">
        <v>42</v>
      </c>
      <c r="C51" s="248">
        <v>366</v>
      </c>
      <c r="D51" s="249">
        <v>365</v>
      </c>
      <c r="E51" s="249">
        <v>365</v>
      </c>
      <c r="F51" s="249">
        <v>365</v>
      </c>
      <c r="G51" s="249">
        <v>366</v>
      </c>
    </row>
    <row r="52" spans="1:7" x14ac:dyDescent="0.2">
      <c r="B52" s="223" t="s">
        <v>91</v>
      </c>
      <c r="C52" s="250">
        <v>3.6479944126097237E-2</v>
      </c>
      <c r="D52" s="251">
        <v>3.6479944126097237E-2</v>
      </c>
      <c r="E52" s="251">
        <v>3.6479944126097237E-2</v>
      </c>
      <c r="F52" s="251">
        <v>3.6479944126097237E-2</v>
      </c>
      <c r="G52" s="251">
        <v>3.6479944126097237E-2</v>
      </c>
    </row>
    <row r="54" spans="1:7" x14ac:dyDescent="0.2">
      <c r="B54" s="153" t="s">
        <v>226</v>
      </c>
      <c r="C54" s="224">
        <v>27891.347957919996</v>
      </c>
      <c r="D54" s="224">
        <v>27890.841401319998</v>
      </c>
      <c r="E54" s="224">
        <v>29635.292917352701</v>
      </c>
      <c r="F54" s="224">
        <v>29979.782098386102</v>
      </c>
      <c r="G54" s="224">
        <v>30284.480829958236</v>
      </c>
    </row>
    <row r="55" spans="1:7" x14ac:dyDescent="0.2">
      <c r="B55" s="153" t="s">
        <v>227</v>
      </c>
      <c r="C55" s="225">
        <v>0.50105505912028336</v>
      </c>
      <c r="D55" s="225">
        <v>0.50106415933864923</v>
      </c>
      <c r="E55" s="225">
        <v>0.56402818886818862</v>
      </c>
      <c r="F55" s="225">
        <v>0.56898037753464359</v>
      </c>
      <c r="G55" s="225">
        <v>0.57317260163915329</v>
      </c>
    </row>
    <row r="57" spans="1:7" ht="15" x14ac:dyDescent="0.25">
      <c r="A57" s="202" t="s">
        <v>184</v>
      </c>
    </row>
    <row r="59" spans="1:7" x14ac:dyDescent="0.2">
      <c r="C59" s="174">
        <v>2020</v>
      </c>
      <c r="D59" s="175">
        <v>2021</v>
      </c>
      <c r="E59" s="175">
        <v>2022</v>
      </c>
      <c r="F59" s="175">
        <v>2023</v>
      </c>
      <c r="G59" s="175">
        <v>2024</v>
      </c>
    </row>
    <row r="60" spans="1:7" x14ac:dyDescent="0.2">
      <c r="B60" s="62" t="s">
        <v>228</v>
      </c>
      <c r="C60" s="74">
        <v>12000</v>
      </c>
      <c r="D60" s="74">
        <v>12000</v>
      </c>
      <c r="E60" s="74">
        <v>12000</v>
      </c>
      <c r="F60" s="74">
        <v>12000</v>
      </c>
      <c r="G60" s="74">
        <v>12000</v>
      </c>
    </row>
    <row r="61" spans="1:7" x14ac:dyDescent="0.2">
      <c r="B61" s="63" t="s">
        <v>229</v>
      </c>
      <c r="C61" s="71">
        <v>11999.999999999998</v>
      </c>
      <c r="D61" s="71">
        <v>11999.999999999998</v>
      </c>
      <c r="E61" s="71">
        <v>12000.000000000004</v>
      </c>
      <c r="F61" s="71">
        <v>12000.000000000051</v>
      </c>
      <c r="G61" s="71">
        <v>12000.000000000015</v>
      </c>
    </row>
    <row r="62" spans="1:7" x14ac:dyDescent="0.2">
      <c r="B62" s="63" t="s">
        <v>230</v>
      </c>
      <c r="C62" s="71">
        <v>13975.100999999999</v>
      </c>
      <c r="D62" s="71">
        <v>13975.100999999999</v>
      </c>
      <c r="E62" s="71">
        <v>16715.140590752701</v>
      </c>
      <c r="F62" s="71">
        <v>17057.9077367461</v>
      </c>
      <c r="G62" s="71">
        <v>17358.234666598233</v>
      </c>
    </row>
    <row r="63" spans="1:7" x14ac:dyDescent="0.2">
      <c r="B63" s="64" t="s">
        <v>231</v>
      </c>
      <c r="C63" s="95">
        <v>13975.101000000001</v>
      </c>
      <c r="D63" s="95">
        <v>13975.101000000001</v>
      </c>
      <c r="E63" s="95">
        <v>16715.140590752697</v>
      </c>
      <c r="F63" s="95">
        <v>17057.907736746049</v>
      </c>
      <c r="G63" s="95">
        <v>17358.234666598219</v>
      </c>
    </row>
    <row r="64" spans="1:7" x14ac:dyDescent="0.2">
      <c r="C64" s="226"/>
      <c r="D64" s="226"/>
      <c r="E64" s="226"/>
      <c r="F64" s="226"/>
      <c r="G64" s="226"/>
    </row>
    <row r="65" spans="1:7" x14ac:dyDescent="0.2">
      <c r="B65" s="70" t="s">
        <v>235</v>
      </c>
      <c r="C65" s="121">
        <v>0.5</v>
      </c>
      <c r="D65" s="121">
        <v>0.5</v>
      </c>
      <c r="E65" s="121">
        <v>0.5</v>
      </c>
      <c r="F65" s="121">
        <v>0.5</v>
      </c>
      <c r="G65" s="121">
        <v>0.5</v>
      </c>
    </row>
    <row r="66" spans="1:7" x14ac:dyDescent="0.2">
      <c r="B66" s="70" t="s">
        <v>236</v>
      </c>
      <c r="C66" s="121">
        <v>0.5</v>
      </c>
      <c r="D66" s="121">
        <v>0.5</v>
      </c>
      <c r="E66" s="121">
        <v>0.5</v>
      </c>
      <c r="F66" s="121">
        <v>0.5</v>
      </c>
      <c r="G66" s="121">
        <v>0.5</v>
      </c>
    </row>
    <row r="71" spans="1:7" x14ac:dyDescent="0.2">
      <c r="B71" s="227"/>
      <c r="C71" s="228"/>
    </row>
    <row r="72" spans="1:7" x14ac:dyDescent="0.2">
      <c r="A72" s="229" t="s">
        <v>239</v>
      </c>
      <c r="B72" s="230">
        <v>-1.0000000000000001E-5</v>
      </c>
      <c r="C72" s="231">
        <v>-18.541571750364575</v>
      </c>
      <c r="D72" s="231">
        <v>-5.1872305103202123</v>
      </c>
      <c r="E72" s="231">
        <v>14.482078004598289</v>
      </c>
      <c r="F72" s="231">
        <v>6.507979714755983</v>
      </c>
      <c r="G72" s="231">
        <v>8.5677757656653384</v>
      </c>
    </row>
    <row r="73" spans="1:7" x14ac:dyDescent="0.2">
      <c r="B73" s="216"/>
      <c r="C73" s="228"/>
    </row>
  </sheetData>
  <hyperlinks>
    <hyperlink ref="A57" location="'Fluxo de Caixa Regulado R 1'!A1" display="UP"/>
  </hyperlinks>
  <pageMargins left="0.51181102362204722" right="0.51181102362204722" top="0.78740157480314965" bottom="0.78740157480314965" header="0.31496062992125984" footer="0.31496062992125984"/>
  <pageSetup paperSize="9" scale="57" fitToHeight="2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/>
    <pageSetUpPr fitToPage="1"/>
  </sheetPr>
  <dimension ref="A1:G73"/>
  <sheetViews>
    <sheetView showGridLines="0" zoomScale="110" zoomScaleNormal="110" workbookViewId="0">
      <pane xSplit="2" ySplit="5" topLeftCell="C26" activePane="bottomRight" state="frozen"/>
      <selection activeCell="B57" sqref="B57"/>
      <selection pane="topRight" activeCell="B57" sqref="B57"/>
      <selection pane="bottomLeft" activeCell="B57" sqref="B57"/>
      <selection pane="bottomRight" activeCell="D45" sqref="D45"/>
    </sheetView>
  </sheetViews>
  <sheetFormatPr defaultRowHeight="12.75" x14ac:dyDescent="0.2"/>
  <cols>
    <col min="1" max="1" width="10.5703125" style="129" bestFit="1" customWidth="1"/>
    <col min="2" max="2" width="75.85546875" style="129" bestFit="1" customWidth="1"/>
    <col min="3" max="3" width="15.5703125" style="129" bestFit="1" customWidth="1"/>
    <col min="4" max="4" width="15.28515625" style="129" bestFit="1" customWidth="1"/>
    <col min="5" max="5" width="11.85546875" style="129" bestFit="1" customWidth="1"/>
    <col min="6" max="6" width="12.28515625" style="129" bestFit="1" customWidth="1"/>
    <col min="7" max="7" width="11.85546875" style="129" bestFit="1" customWidth="1"/>
    <col min="8" max="16384" width="9.140625" style="129"/>
  </cols>
  <sheetData>
    <row r="1" spans="1:7" s="132" customFormat="1" ht="16.5" thickBot="1" x14ac:dyDescent="0.3">
      <c r="A1" s="126"/>
      <c r="B1" s="208"/>
    </row>
    <row r="2" spans="1:7" ht="13.5" thickBot="1" x14ac:dyDescent="0.25">
      <c r="B2" s="209" t="s">
        <v>315</v>
      </c>
      <c r="C2" s="210"/>
      <c r="D2" s="210"/>
    </row>
    <row r="3" spans="1:7" x14ac:dyDescent="0.2">
      <c r="B3" s="122"/>
    </row>
    <row r="4" spans="1:7" ht="15.75" customHeight="1" thickBot="1" x14ac:dyDescent="0.25">
      <c r="B4" s="308" t="s">
        <v>237</v>
      </c>
      <c r="C4" s="309">
        <v>2020</v>
      </c>
      <c r="D4" s="309">
        <v>2021</v>
      </c>
      <c r="E4" s="309">
        <v>2022</v>
      </c>
      <c r="F4" s="309">
        <v>2023</v>
      </c>
      <c r="G4" s="309">
        <v>2024</v>
      </c>
    </row>
    <row r="5" spans="1:7" ht="15.75" customHeight="1" thickTop="1" x14ac:dyDescent="0.2">
      <c r="B5" s="310"/>
      <c r="C5" s="311"/>
      <c r="D5" s="311"/>
      <c r="E5" s="311"/>
      <c r="F5" s="311"/>
      <c r="G5" s="311"/>
    </row>
    <row r="6" spans="1:7" x14ac:dyDescent="0.2">
      <c r="B6" s="312" t="s">
        <v>27</v>
      </c>
      <c r="C6" s="313">
        <f>C12/(1-Premissas!B10-Premissas!B11-Premissas!B12)</f>
        <v>1324782.9268416925</v>
      </c>
      <c r="D6" s="313">
        <f>D12/(1-Premissas!C10-Premissas!C11-Premissas!C12)</f>
        <v>1321163.3013585182</v>
      </c>
      <c r="E6" s="313">
        <f>E12/(1-Premissas!D10-Premissas!D11-Premissas!D12)</f>
        <v>1343987.0646386424</v>
      </c>
      <c r="F6" s="313">
        <f>F12/(1-Premissas!E10-Premissas!E11-Premissas!E12)</f>
        <v>1343987.0646386424</v>
      </c>
      <c r="G6" s="313">
        <f>G12/(1-Premissas!F10-Premissas!F11-Premissas!F12)</f>
        <v>1347669.2209801183</v>
      </c>
    </row>
    <row r="7" spans="1:7" x14ac:dyDescent="0.2">
      <c r="B7" s="314" t="s">
        <v>28</v>
      </c>
      <c r="C7" s="315">
        <v>170938.17230215014</v>
      </c>
      <c r="D7" s="315">
        <v>170471.12811553219</v>
      </c>
      <c r="E7" s="315">
        <v>191183.69329224492</v>
      </c>
      <c r="F7" s="315">
        <v>191183.69329224492</v>
      </c>
      <c r="G7" s="315">
        <v>191707.48423277165</v>
      </c>
    </row>
    <row r="8" spans="1:7" x14ac:dyDescent="0.2">
      <c r="B8" s="285" t="s">
        <v>69</v>
      </c>
      <c r="C8" s="316">
        <v>21858.918292887927</v>
      </c>
      <c r="D8" s="316">
        <v>21799.194472415551</v>
      </c>
      <c r="E8" s="316">
        <v>22175.786566537601</v>
      </c>
      <c r="F8" s="316">
        <v>22175.786566537601</v>
      </c>
      <c r="G8" s="316">
        <v>22236.542146171952</v>
      </c>
    </row>
    <row r="9" spans="1:7" x14ac:dyDescent="0.2">
      <c r="B9" s="314" t="s">
        <v>70</v>
      </c>
      <c r="C9" s="315">
        <v>100683.50243996864</v>
      </c>
      <c r="D9" s="315">
        <v>100408.41090324738</v>
      </c>
      <c r="E9" s="315">
        <v>102143.01691253681</v>
      </c>
      <c r="F9" s="315">
        <v>102143.01691253681</v>
      </c>
      <c r="G9" s="315">
        <v>102422.86079448898</v>
      </c>
    </row>
    <row r="10" spans="1:7" x14ac:dyDescent="0.2">
      <c r="B10" s="285" t="s">
        <v>29</v>
      </c>
      <c r="C10" s="316">
        <v>0</v>
      </c>
      <c r="D10" s="316">
        <v>0</v>
      </c>
      <c r="E10" s="316">
        <v>0</v>
      </c>
      <c r="F10" s="316">
        <v>0</v>
      </c>
      <c r="G10" s="316">
        <v>0</v>
      </c>
    </row>
    <row r="11" spans="1:7" x14ac:dyDescent="0.2">
      <c r="B11" s="314" t="s">
        <v>25</v>
      </c>
      <c r="C11" s="315">
        <v>0</v>
      </c>
      <c r="D11" s="315">
        <v>0</v>
      </c>
      <c r="E11" s="315">
        <v>0</v>
      </c>
      <c r="F11" s="315">
        <v>0</v>
      </c>
      <c r="G11" s="315">
        <v>0</v>
      </c>
    </row>
    <row r="12" spans="1:7" x14ac:dyDescent="0.2">
      <c r="B12" s="312" t="s">
        <v>26</v>
      </c>
      <c r="C12" s="317">
        <f>($E$41*C49)</f>
        <v>1031302.3338066859</v>
      </c>
      <c r="D12" s="317">
        <f t="shared" ref="D12" si="0">($E$41*D49)</f>
        <v>1028484.5678673232</v>
      </c>
      <c r="E12" s="317">
        <f>($E$41*E49)</f>
        <v>1028484.5678673232</v>
      </c>
      <c r="F12" s="317">
        <f>($E$41*F49)</f>
        <v>1028484.5678673232</v>
      </c>
      <c r="G12" s="317">
        <f>($E$41*G49)</f>
        <v>1031302.3338066859</v>
      </c>
    </row>
    <row r="13" spans="1:7" x14ac:dyDescent="0.2">
      <c r="B13" s="314" t="s">
        <v>44</v>
      </c>
      <c r="C13" s="318">
        <v>141355.99005778169</v>
      </c>
      <c r="D13" s="318">
        <v>141355.99005778169</v>
      </c>
      <c r="E13" s="318">
        <v>141355.99005778169</v>
      </c>
      <c r="F13" s="318">
        <v>141355.99005778169</v>
      </c>
      <c r="G13" s="318">
        <v>141355.99005778169</v>
      </c>
    </row>
    <row r="14" spans="1:7" x14ac:dyDescent="0.2">
      <c r="B14" s="285" t="s">
        <v>45</v>
      </c>
      <c r="C14" s="319">
        <v>6111.3928690112334</v>
      </c>
      <c r="D14" s="319">
        <v>6052.6207111428375</v>
      </c>
      <c r="E14" s="319">
        <v>5455.9612129919196</v>
      </c>
      <c r="F14" s="319">
        <v>5455.9612129919196</v>
      </c>
      <c r="G14" s="319">
        <v>5455.9612129919196</v>
      </c>
    </row>
    <row r="15" spans="1:7" x14ac:dyDescent="0.2">
      <c r="B15" s="314" t="s">
        <v>46</v>
      </c>
      <c r="C15" s="318">
        <v>1836.5208038638079</v>
      </c>
      <c r="D15" s="318">
        <v>717.13881989293134</v>
      </c>
      <c r="E15" s="318">
        <v>717.13881989293134</v>
      </c>
      <c r="F15" s="318">
        <v>717.13881989293134</v>
      </c>
      <c r="G15" s="318">
        <v>717.13881989293134</v>
      </c>
    </row>
    <row r="16" spans="1:7" x14ac:dyDescent="0.2">
      <c r="B16" s="285" t="s">
        <v>47</v>
      </c>
      <c r="C16" s="319">
        <v>14811.888171331098</v>
      </c>
      <c r="D16" s="319">
        <v>14234.488447538024</v>
      </c>
      <c r="E16" s="319">
        <v>15264.108390392055</v>
      </c>
      <c r="F16" s="319">
        <v>14761.528216900382</v>
      </c>
      <c r="G16" s="319">
        <v>14542.038122246628</v>
      </c>
    </row>
    <row r="17" spans="1:7" x14ac:dyDescent="0.2">
      <c r="B17" s="314" t="s">
        <v>48</v>
      </c>
      <c r="C17" s="318">
        <v>12385.514297051253</v>
      </c>
      <c r="D17" s="318">
        <v>12519.012446600553</v>
      </c>
      <c r="E17" s="318">
        <v>12652.510596149854</v>
      </c>
      <c r="F17" s="318">
        <v>13223.787763817452</v>
      </c>
      <c r="G17" s="318">
        <v>12652.510596149854</v>
      </c>
    </row>
    <row r="18" spans="1:7" x14ac:dyDescent="0.2">
      <c r="B18" s="285" t="s">
        <v>49</v>
      </c>
      <c r="C18" s="319">
        <v>936.01778258464708</v>
      </c>
      <c r="D18" s="319">
        <v>936.01778258464526</v>
      </c>
      <c r="E18" s="319">
        <v>936.01778258464526</v>
      </c>
      <c r="F18" s="319">
        <v>936.01778258464526</v>
      </c>
      <c r="G18" s="319">
        <v>936.01778258464526</v>
      </c>
    </row>
    <row r="19" spans="1:7" x14ac:dyDescent="0.2">
      <c r="B19" s="314" t="s">
        <v>50</v>
      </c>
      <c r="C19" s="318">
        <v>0</v>
      </c>
      <c r="D19" s="318">
        <v>0</v>
      </c>
      <c r="E19" s="318">
        <v>0</v>
      </c>
      <c r="F19" s="318">
        <v>0</v>
      </c>
      <c r="G19" s="318">
        <v>0</v>
      </c>
    </row>
    <row r="20" spans="1:7" x14ac:dyDescent="0.2">
      <c r="B20" s="285" t="s">
        <v>51</v>
      </c>
      <c r="C20" s="319">
        <v>3947.8975494057422</v>
      </c>
      <c r="D20" s="319">
        <v>3947.8975494057422</v>
      </c>
      <c r="E20" s="319">
        <v>3388.8970333866368</v>
      </c>
      <c r="F20" s="319">
        <v>3388.8970333866368</v>
      </c>
      <c r="G20" s="319">
        <v>3388.8970333866368</v>
      </c>
    </row>
    <row r="21" spans="1:7" x14ac:dyDescent="0.2">
      <c r="B21" s="314" t="s">
        <v>52</v>
      </c>
      <c r="C21" s="318">
        <v>7659.1678411555549</v>
      </c>
      <c r="D21" s="318">
        <v>7659.1678411555549</v>
      </c>
      <c r="E21" s="318">
        <v>7659.1678411555549</v>
      </c>
      <c r="F21" s="318">
        <v>7659.1678411555549</v>
      </c>
      <c r="G21" s="318">
        <v>7659.1678411555549</v>
      </c>
    </row>
    <row r="22" spans="1:7" x14ac:dyDescent="0.2">
      <c r="B22" s="285" t="s">
        <v>53</v>
      </c>
      <c r="C22" s="319">
        <v>903.78247244875774</v>
      </c>
      <c r="D22" s="319">
        <v>4845.9828286395732</v>
      </c>
      <c r="E22" s="319">
        <v>3450.9271658493926</v>
      </c>
      <c r="F22" s="319">
        <v>10502.299425043395</v>
      </c>
      <c r="G22" s="319">
        <v>12556.168455859368</v>
      </c>
    </row>
    <row r="23" spans="1:7" x14ac:dyDescent="0.2">
      <c r="B23" s="314" t="s">
        <v>54</v>
      </c>
      <c r="C23" s="318">
        <v>27465.504104662905</v>
      </c>
      <c r="D23" s="318">
        <v>27473.192152723903</v>
      </c>
      <c r="E23" s="318">
        <v>27481.978493365055</v>
      </c>
      <c r="F23" s="318">
        <v>27481.978493365055</v>
      </c>
      <c r="G23" s="318">
        <v>27481.978493365055</v>
      </c>
    </row>
    <row r="24" spans="1:7" x14ac:dyDescent="0.2">
      <c r="B24" s="285" t="s">
        <v>55</v>
      </c>
      <c r="C24" s="319">
        <v>39058.981774989996</v>
      </c>
      <c r="D24" s="319">
        <v>30593.178549700027</v>
      </c>
      <c r="E24" s="319">
        <v>31433.717201444026</v>
      </c>
      <c r="F24" s="319">
        <v>31031.37074804883</v>
      </c>
      <c r="G24" s="319">
        <v>32424.151539804894</v>
      </c>
    </row>
    <row r="25" spans="1:7" ht="15" x14ac:dyDescent="0.2">
      <c r="B25" s="320" t="s">
        <v>309</v>
      </c>
      <c r="C25" s="321">
        <v>774829.67608239921</v>
      </c>
      <c r="D25" s="321">
        <v>778149.88068015769</v>
      </c>
      <c r="E25" s="321">
        <v>778688.15327232936</v>
      </c>
      <c r="F25" s="321">
        <v>771970.43047235475</v>
      </c>
      <c r="G25" s="321">
        <v>772132.31385146675</v>
      </c>
    </row>
    <row r="26" spans="1:7" x14ac:dyDescent="0.2">
      <c r="B26" s="285" t="s">
        <v>80</v>
      </c>
      <c r="C26" s="319">
        <v>106450.7101213807</v>
      </c>
      <c r="D26" s="319">
        <v>108730.83695268921</v>
      </c>
      <c r="E26" s="319">
        <v>111065.05580085637</v>
      </c>
      <c r="F26" s="319">
        <v>112486.43918031998</v>
      </c>
      <c r="G26" s="319">
        <v>112435.89005238799</v>
      </c>
    </row>
    <row r="27" spans="1:7" x14ac:dyDescent="0.2">
      <c r="B27" s="314" t="s">
        <v>81</v>
      </c>
      <c r="C27" s="318">
        <v>3250.9417430663093</v>
      </c>
      <c r="D27" s="318">
        <v>3100.9015893286269</v>
      </c>
      <c r="E27" s="318">
        <v>3153.2990092969753</v>
      </c>
      <c r="F27" s="318">
        <v>3159.6534812582481</v>
      </c>
      <c r="G27" s="318">
        <v>3086.5075094935232</v>
      </c>
    </row>
    <row r="28" spans="1:7" x14ac:dyDescent="0.2">
      <c r="B28" s="312" t="s">
        <v>79</v>
      </c>
      <c r="C28" s="317">
        <f>C25-C26+C27</f>
        <v>671629.90770408476</v>
      </c>
      <c r="D28" s="317">
        <f t="shared" ref="D28:G28" si="1">D25-D26+D27</f>
        <v>672519.94531679712</v>
      </c>
      <c r="E28" s="317">
        <f t="shared" si="1"/>
        <v>670776.39648076997</v>
      </c>
      <c r="F28" s="317">
        <f t="shared" si="1"/>
        <v>662643.64477329294</v>
      </c>
      <c r="G28" s="317">
        <f t="shared" si="1"/>
        <v>662782.9313085723</v>
      </c>
    </row>
    <row r="29" spans="1:7" x14ac:dyDescent="0.2">
      <c r="B29" s="314" t="s">
        <v>62</v>
      </c>
      <c r="C29" s="318">
        <v>0</v>
      </c>
      <c r="D29" s="318">
        <v>0</v>
      </c>
      <c r="E29" s="318">
        <v>0</v>
      </c>
      <c r="F29" s="318">
        <v>0</v>
      </c>
      <c r="G29" s="318">
        <v>0</v>
      </c>
    </row>
    <row r="30" spans="1:7" x14ac:dyDescent="0.2">
      <c r="A30" s="211" t="s">
        <v>40</v>
      </c>
      <c r="B30" s="285" t="s">
        <v>63</v>
      </c>
      <c r="C30" s="319">
        <v>0</v>
      </c>
      <c r="D30" s="319">
        <v>0</v>
      </c>
      <c r="E30" s="319">
        <v>0</v>
      </c>
      <c r="F30" s="319">
        <v>0</v>
      </c>
      <c r="G30" s="319">
        <v>0</v>
      </c>
    </row>
    <row r="31" spans="1:7" x14ac:dyDescent="0.2">
      <c r="B31" s="314" t="s">
        <v>67</v>
      </c>
      <c r="C31" s="318">
        <v>167907.47692602119</v>
      </c>
      <c r="D31" s="318">
        <v>168129.98632919928</v>
      </c>
      <c r="E31" s="318">
        <v>167694.09912019249</v>
      </c>
      <c r="F31" s="318">
        <v>165660.91119332323</v>
      </c>
      <c r="G31" s="318">
        <v>165695.73282714307</v>
      </c>
    </row>
    <row r="32" spans="1:7" x14ac:dyDescent="0.2">
      <c r="B32" s="285" t="s">
        <v>68</v>
      </c>
      <c r="C32" s="319">
        <v>60446.691693367626</v>
      </c>
      <c r="D32" s="319">
        <v>60526.795078511735</v>
      </c>
      <c r="E32" s="319">
        <v>60369.875683269296</v>
      </c>
      <c r="F32" s="319">
        <v>59637.928029596362</v>
      </c>
      <c r="G32" s="319">
        <v>59650.463817771502</v>
      </c>
    </row>
    <row r="33" spans="1:7" x14ac:dyDescent="0.2">
      <c r="B33" s="320" t="s">
        <v>32</v>
      </c>
      <c r="C33" s="321">
        <f>C25-C31-C32-C35</f>
        <v>229315.48643957573</v>
      </c>
      <c r="D33" s="321">
        <f t="shared" ref="D33:G33" si="2">D25-D31-D32-D35</f>
        <v>238157.15568316716</v>
      </c>
      <c r="E33" s="321">
        <f t="shared" si="2"/>
        <v>244746.52013282815</v>
      </c>
      <c r="F33" s="321">
        <f t="shared" si="2"/>
        <v>246865.34193913161</v>
      </c>
      <c r="G33" s="321">
        <f t="shared" si="2"/>
        <v>254235.02510610293</v>
      </c>
    </row>
    <row r="34" spans="1:7" s="124" customFormat="1" x14ac:dyDescent="0.2">
      <c r="B34" s="285" t="s">
        <v>30</v>
      </c>
      <c r="C34" s="319">
        <v>167791.26017927378</v>
      </c>
      <c r="D34" s="319">
        <v>72431.166824143045</v>
      </c>
      <c r="E34" s="316">
        <v>87385.156691992743</v>
      </c>
      <c r="F34" s="319">
        <v>58752.479303987129</v>
      </c>
      <c r="G34" s="319">
        <v>58066.342695619431</v>
      </c>
    </row>
    <row r="35" spans="1:7" x14ac:dyDescent="0.2">
      <c r="B35" s="314" t="s">
        <v>56</v>
      </c>
      <c r="C35" s="318">
        <v>317160.02102343465</v>
      </c>
      <c r="D35" s="318">
        <v>311335.94358927954</v>
      </c>
      <c r="E35" s="318">
        <v>305877.6583360394</v>
      </c>
      <c r="F35" s="318">
        <v>299806.2493103036</v>
      </c>
      <c r="G35" s="318">
        <v>292551.09210044926</v>
      </c>
    </row>
    <row r="36" spans="1:7" x14ac:dyDescent="0.2">
      <c r="B36" s="285" t="s">
        <v>31</v>
      </c>
      <c r="C36" s="319">
        <v>0</v>
      </c>
      <c r="D36" s="319">
        <v>0</v>
      </c>
      <c r="E36" s="319">
        <v>0</v>
      </c>
      <c r="F36" s="319">
        <v>0</v>
      </c>
      <c r="G36" s="403">
        <v>1900752.4027404594</v>
      </c>
    </row>
    <row r="37" spans="1:7" x14ac:dyDescent="0.2">
      <c r="B37" s="314" t="s">
        <v>64</v>
      </c>
      <c r="C37" s="318">
        <v>27796.706870419515</v>
      </c>
      <c r="D37" s="318">
        <v>-1119.9881181939018</v>
      </c>
      <c r="E37" s="318">
        <v>-32.26163019879823</v>
      </c>
      <c r="F37" s="318">
        <v>822.95091443870842</v>
      </c>
      <c r="G37" s="318">
        <v>390.01785302117423</v>
      </c>
    </row>
    <row r="38" spans="1:7" x14ac:dyDescent="0.2">
      <c r="B38" s="322" t="s">
        <v>43</v>
      </c>
      <c r="C38" s="323">
        <f>C33-C34+C35+C36-C37</f>
        <v>350887.5404133171</v>
      </c>
      <c r="D38" s="323">
        <f t="shared" ref="D38:G38" si="3">D33-D34+D35+D36-D37</f>
        <v>478181.9205664976</v>
      </c>
      <c r="E38" s="323">
        <f>E33-E34+E35+E36-E37</f>
        <v>463271.28340707358</v>
      </c>
      <c r="F38" s="323">
        <f>F33-F34+F35+F36-F37</f>
        <v>487096.1610310094</v>
      </c>
      <c r="G38" s="323">
        <f t="shared" si="3"/>
        <v>2389082.1593983709</v>
      </c>
    </row>
    <row r="39" spans="1:7" x14ac:dyDescent="0.2">
      <c r="B39" s="206" t="s">
        <v>57</v>
      </c>
      <c r="C39" s="212">
        <v>-5.9138983488082886E-8</v>
      </c>
    </row>
    <row r="40" spans="1:7" ht="15.75" thickBot="1" x14ac:dyDescent="0.25">
      <c r="B40" s="404" t="s">
        <v>61</v>
      </c>
      <c r="C40" s="405" t="s">
        <v>310</v>
      </c>
      <c r="D40" s="406" t="s">
        <v>128</v>
      </c>
      <c r="E40" s="407" t="s">
        <v>58</v>
      </c>
      <c r="F40" s="408" t="s">
        <v>60</v>
      </c>
      <c r="G40" s="200"/>
    </row>
    <row r="41" spans="1:7" ht="13.5" thickTop="1" x14ac:dyDescent="0.2">
      <c r="B41" s="409"/>
      <c r="C41" s="410">
        <v>134.304041341366</v>
      </c>
      <c r="D41" s="410"/>
      <c r="E41" s="412">
        <f>C41/(C52*1000)</f>
        <v>3.6815857194607595</v>
      </c>
      <c r="F41" s="411">
        <f>E41/Premissas!$B$66</f>
        <v>1.0370663998481013</v>
      </c>
      <c r="G41" s="213"/>
    </row>
    <row r="42" spans="1:7" x14ac:dyDescent="0.2">
      <c r="B42" s="206" t="s">
        <v>76</v>
      </c>
      <c r="C42" s="214">
        <f>Premissas!$B$51/100</f>
        <v>8.9700000000000002E-2</v>
      </c>
      <c r="E42" s="257">
        <f>'FC E-S'!E41+'FC ECTL'!E41+'FC EM'!E41</f>
        <v>3.6817682375598442</v>
      </c>
      <c r="G42" s="132"/>
    </row>
    <row r="43" spans="1:7" x14ac:dyDescent="0.2">
      <c r="B43" s="206" t="s">
        <v>126</v>
      </c>
      <c r="C43" s="215">
        <f>IRR(B72:G72)</f>
        <v>8.9699999999990121E-2</v>
      </c>
      <c r="D43" s="216"/>
      <c r="E43" s="216"/>
      <c r="G43" s="213"/>
    </row>
    <row r="44" spans="1:7" x14ac:dyDescent="0.2">
      <c r="B44" s="217" t="s">
        <v>311</v>
      </c>
      <c r="C44" s="218"/>
    </row>
    <row r="46" spans="1:7" x14ac:dyDescent="0.2">
      <c r="A46" s="132"/>
      <c r="B46" s="219" t="s">
        <v>99</v>
      </c>
      <c r="C46" s="207">
        <v>2020</v>
      </c>
      <c r="D46" s="207">
        <v>2021</v>
      </c>
      <c r="E46" s="207">
        <v>2022</v>
      </c>
      <c r="F46" s="207">
        <v>2023</v>
      </c>
      <c r="G46" s="207">
        <v>2024</v>
      </c>
    </row>
    <row r="47" spans="1:7" x14ac:dyDescent="0.2">
      <c r="B47" s="220" t="s">
        <v>117</v>
      </c>
      <c r="C47" s="221">
        <f>+(C62*C65)+(C63*C66)</f>
        <v>20980.5</v>
      </c>
      <c r="D47" s="221">
        <f t="shared" ref="D47:G47" si="4">+(D62*D65)+(D63*D66)</f>
        <v>20980.5</v>
      </c>
      <c r="E47" s="221">
        <f t="shared" si="4"/>
        <v>20980.5</v>
      </c>
      <c r="F47" s="221">
        <f t="shared" si="4"/>
        <v>20980.5</v>
      </c>
      <c r="G47" s="221">
        <f t="shared" si="4"/>
        <v>20980.5</v>
      </c>
    </row>
    <row r="48" spans="1:7" x14ac:dyDescent="0.2">
      <c r="B48" s="222" t="s">
        <v>84</v>
      </c>
      <c r="C48" s="246">
        <f>C47*C51</f>
        <v>7678863</v>
      </c>
      <c r="D48" s="247">
        <f>D47*D51</f>
        <v>7657882.5</v>
      </c>
      <c r="E48" s="247">
        <f>E47*E51</f>
        <v>7657882.5</v>
      </c>
      <c r="F48" s="247">
        <f t="shared" ref="F48:G48" si="5">F47*F51</f>
        <v>7657882.5</v>
      </c>
      <c r="G48" s="247">
        <f t="shared" si="5"/>
        <v>7678863</v>
      </c>
    </row>
    <row r="49" spans="1:7" x14ac:dyDescent="0.2">
      <c r="B49" s="222" t="s">
        <v>92</v>
      </c>
      <c r="C49" s="246">
        <f>C48*C52</f>
        <v>280124.49319195544</v>
      </c>
      <c r="D49" s="247">
        <f t="shared" ref="D49:G49" si="6">D48*D52</f>
        <v>279359.1257242178</v>
      </c>
      <c r="E49" s="247">
        <f t="shared" si="6"/>
        <v>279359.1257242178</v>
      </c>
      <c r="F49" s="247">
        <f t="shared" si="6"/>
        <v>279359.1257242178</v>
      </c>
      <c r="G49" s="247">
        <f t="shared" si="6"/>
        <v>280124.49319195544</v>
      </c>
    </row>
    <row r="50" spans="1:7" x14ac:dyDescent="0.2">
      <c r="B50" s="222" t="s">
        <v>85</v>
      </c>
      <c r="C50" s="248">
        <f>Premissas!B59</f>
        <v>366</v>
      </c>
      <c r="D50" s="249">
        <f>Premissas!C59</f>
        <v>365</v>
      </c>
      <c r="E50" s="249">
        <f>Premissas!D59</f>
        <v>365</v>
      </c>
      <c r="F50" s="249">
        <f>Premissas!E59</f>
        <v>365</v>
      </c>
      <c r="G50" s="249">
        <f>Premissas!F59</f>
        <v>366</v>
      </c>
    </row>
    <row r="51" spans="1:7" x14ac:dyDescent="0.2">
      <c r="B51" s="222" t="s">
        <v>42</v>
      </c>
      <c r="C51" s="248">
        <f>Premissas!B60</f>
        <v>366</v>
      </c>
      <c r="D51" s="249">
        <f>Premissas!C60</f>
        <v>365</v>
      </c>
      <c r="E51" s="249">
        <f>Premissas!D60</f>
        <v>365</v>
      </c>
      <c r="F51" s="249">
        <f>Premissas!E60</f>
        <v>365</v>
      </c>
      <c r="G51" s="249">
        <f>Premissas!F60</f>
        <v>366</v>
      </c>
    </row>
    <row r="52" spans="1:7" x14ac:dyDescent="0.2">
      <c r="B52" s="223" t="s">
        <v>91</v>
      </c>
      <c r="C52" s="250">
        <f>Premissas!B57</f>
        <v>3.6479944126097237E-2</v>
      </c>
      <c r="D52" s="251">
        <f>Premissas!C57</f>
        <v>3.6479944126097237E-2</v>
      </c>
      <c r="E52" s="251">
        <f>Premissas!D57</f>
        <v>3.6479944126097237E-2</v>
      </c>
      <c r="F52" s="251">
        <f>Premissas!E57</f>
        <v>3.6479944126097237E-2</v>
      </c>
      <c r="G52" s="251">
        <f>Premissas!F57</f>
        <v>3.6479944126097237E-2</v>
      </c>
    </row>
    <row r="54" spans="1:7" x14ac:dyDescent="0.2">
      <c r="B54" s="153" t="s">
        <v>226</v>
      </c>
      <c r="C54" s="224">
        <f>-'Cenário Ref'!C59+'Cenário Ref'!C58</f>
        <v>27891.347957919996</v>
      </c>
      <c r="D54" s="224">
        <f>-'Cenário Ref'!D59+'Cenário Ref'!D58</f>
        <v>27890.841401319998</v>
      </c>
      <c r="E54" s="224">
        <f>-'Cenário Ref'!E59+'Cenário Ref'!E58</f>
        <v>29635.292917352701</v>
      </c>
      <c r="F54" s="224">
        <f>-'Cenário Ref'!F59+'Cenário Ref'!F58</f>
        <v>29979.782098386102</v>
      </c>
      <c r="G54" s="224">
        <f>-'Cenário Ref'!G59+'Cenário Ref'!G58</f>
        <v>30284.480829958236</v>
      </c>
    </row>
    <row r="55" spans="1:7" x14ac:dyDescent="0.2">
      <c r="B55" s="153" t="s">
        <v>227</v>
      </c>
      <c r="C55" s="225">
        <f>C47/C54</f>
        <v>0.75222251831118114</v>
      </c>
      <c r="D55" s="225">
        <f t="shared" ref="D55:G55" si="7">D47/D54</f>
        <v>0.75223618026120398</v>
      </c>
      <c r="E55" s="225">
        <f t="shared" si="7"/>
        <v>0.70795655904298627</v>
      </c>
      <c r="F55" s="225">
        <f t="shared" si="7"/>
        <v>0.69982163082931281</v>
      </c>
      <c r="G55" s="225">
        <f t="shared" si="7"/>
        <v>0.6927805735816186</v>
      </c>
    </row>
    <row r="57" spans="1:7" ht="15" x14ac:dyDescent="0.25">
      <c r="A57" s="202" t="s">
        <v>184</v>
      </c>
    </row>
    <row r="59" spans="1:7" x14ac:dyDescent="0.2">
      <c r="C59" s="174">
        <v>2020</v>
      </c>
      <c r="D59" s="175">
        <v>2021</v>
      </c>
      <c r="E59" s="175">
        <v>2022</v>
      </c>
      <c r="F59" s="175">
        <v>2023</v>
      </c>
      <c r="G59" s="175">
        <v>2024</v>
      </c>
    </row>
    <row r="60" spans="1:7" x14ac:dyDescent="0.2">
      <c r="B60" s="62" t="s">
        <v>228</v>
      </c>
      <c r="C60" s="74">
        <f>+'Cenário Ref'!C64</f>
        <v>12000</v>
      </c>
      <c r="D60" s="74">
        <f>+'Cenário Ref'!D64</f>
        <v>12000</v>
      </c>
      <c r="E60" s="74">
        <f>+'Cenário Ref'!E64</f>
        <v>12000</v>
      </c>
      <c r="F60" s="74">
        <f>+'Cenário Ref'!F64</f>
        <v>12000</v>
      </c>
      <c r="G60" s="74">
        <f>+'Cenário Ref'!G64</f>
        <v>12000</v>
      </c>
    </row>
    <row r="61" spans="1:7" x14ac:dyDescent="0.2">
      <c r="B61" s="63" t="s">
        <v>229</v>
      </c>
      <c r="C61" s="71">
        <f>-'Cenário Ref'!C60</f>
        <v>11999.999999999998</v>
      </c>
      <c r="D61" s="71">
        <f>-'Cenário Ref'!D60</f>
        <v>11999.999999999998</v>
      </c>
      <c r="E61" s="71">
        <f>-'Cenário Ref'!E60</f>
        <v>12000.000000000004</v>
      </c>
      <c r="F61" s="71">
        <f>-'Cenário Ref'!F60</f>
        <v>12000.000000000051</v>
      </c>
      <c r="G61" s="71">
        <f>-'Cenário Ref'!G60</f>
        <v>12000.000000000015</v>
      </c>
    </row>
    <row r="62" spans="1:7" x14ac:dyDescent="0.2">
      <c r="B62" s="63" t="s">
        <v>230</v>
      </c>
      <c r="C62" s="71">
        <f>'C. Capacidade'!N5</f>
        <v>21144</v>
      </c>
      <c r="D62" s="71">
        <f>'C. Capacidade'!O5</f>
        <v>21144</v>
      </c>
      <c r="E62" s="71">
        <f>'C. Capacidade'!P5</f>
        <v>21144</v>
      </c>
      <c r="F62" s="71">
        <f>'C. Capacidade'!Q5</f>
        <v>21144</v>
      </c>
      <c r="G62" s="71">
        <f>'C. Capacidade'!R5</f>
        <v>21144</v>
      </c>
    </row>
    <row r="63" spans="1:7" x14ac:dyDescent="0.2">
      <c r="B63" s="64" t="s">
        <v>231</v>
      </c>
      <c r="C63" s="95">
        <f>'C. Capacidade'!N11</f>
        <v>20817</v>
      </c>
      <c r="D63" s="95">
        <f>'C. Capacidade'!O11</f>
        <v>20817</v>
      </c>
      <c r="E63" s="95">
        <f>'C. Capacidade'!P11</f>
        <v>20817</v>
      </c>
      <c r="F63" s="95">
        <f>'C. Capacidade'!Q11</f>
        <v>20817</v>
      </c>
      <c r="G63" s="95">
        <f>'C. Capacidade'!R11</f>
        <v>20817</v>
      </c>
    </row>
    <row r="64" spans="1:7" x14ac:dyDescent="0.2">
      <c r="C64" s="226"/>
      <c r="D64" s="226"/>
      <c r="E64" s="226"/>
      <c r="F64" s="226"/>
      <c r="G64" s="226"/>
    </row>
    <row r="65" spans="1:7" x14ac:dyDescent="0.2">
      <c r="B65" s="70" t="s">
        <v>235</v>
      </c>
      <c r="C65" s="121">
        <f>+'Cálculo Tarifa CWD'!I134</f>
        <v>0.5</v>
      </c>
      <c r="D65" s="121">
        <f>+C65</f>
        <v>0.5</v>
      </c>
      <c r="E65" s="121">
        <f t="shared" ref="E65:G66" si="8">+D65</f>
        <v>0.5</v>
      </c>
      <c r="F65" s="121">
        <f t="shared" si="8"/>
        <v>0.5</v>
      </c>
      <c r="G65" s="121">
        <f t="shared" si="8"/>
        <v>0.5</v>
      </c>
    </row>
    <row r="66" spans="1:7" x14ac:dyDescent="0.2">
      <c r="B66" s="70" t="s">
        <v>236</v>
      </c>
      <c r="C66" s="121">
        <f>+'Cálculo Tarifa CWD'!I135</f>
        <v>0.5</v>
      </c>
      <c r="D66" s="121">
        <f>+C66</f>
        <v>0.5</v>
      </c>
      <c r="E66" s="121">
        <f t="shared" si="8"/>
        <v>0.5</v>
      </c>
      <c r="F66" s="121">
        <f t="shared" si="8"/>
        <v>0.5</v>
      </c>
      <c r="G66" s="121">
        <f t="shared" si="8"/>
        <v>0.5</v>
      </c>
    </row>
    <row r="71" spans="1:7" x14ac:dyDescent="0.2">
      <c r="B71" s="227"/>
      <c r="C71" s="228"/>
    </row>
    <row r="72" spans="1:7" x14ac:dyDescent="0.2">
      <c r="A72" s="229" t="s">
        <v>239</v>
      </c>
      <c r="B72" s="230">
        <v>-2983056.9614049494</v>
      </c>
      <c r="C72" s="231">
        <f>+C38</f>
        <v>350887.5404133171</v>
      </c>
      <c r="D72" s="231">
        <f t="shared" ref="D72:G72" si="9">+D38</f>
        <v>478181.9205664976</v>
      </c>
      <c r="E72" s="231">
        <f t="shared" si="9"/>
        <v>463271.28340707358</v>
      </c>
      <c r="F72" s="231">
        <f t="shared" si="9"/>
        <v>487096.1610310094</v>
      </c>
      <c r="G72" s="231">
        <f t="shared" si="9"/>
        <v>2389082.1593983709</v>
      </c>
    </row>
    <row r="73" spans="1:7" x14ac:dyDescent="0.2">
      <c r="B73" s="216"/>
      <c r="C73" s="228"/>
    </row>
  </sheetData>
  <hyperlinks>
    <hyperlink ref="A57" location="'Fluxo de Caixa Regulado R 1'!A1" display="UP"/>
  </hyperlinks>
  <pageMargins left="0.51181102362204722" right="0.51181102362204722" top="0.78740157480314965" bottom="0.78740157480314965" header="0.31496062992125984" footer="0.31496062992125984"/>
  <pageSetup paperSize="9" scale="57" fitToHeight="2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zoomScaleNormal="100" workbookViewId="0">
      <selection activeCell="C4" sqref="C4"/>
    </sheetView>
  </sheetViews>
  <sheetFormatPr defaultColWidth="8.85546875" defaultRowHeight="12.75" x14ac:dyDescent="0.2"/>
  <cols>
    <col min="1" max="1" width="10.5703125" style="645" bestFit="1" customWidth="1"/>
    <col min="2" max="2" width="28" style="645" bestFit="1" customWidth="1"/>
    <col min="3" max="8" width="20.7109375" style="645" customWidth="1"/>
    <col min="9" max="9" width="19.85546875" style="645" customWidth="1"/>
    <col min="10" max="10" width="16.7109375" style="645" customWidth="1"/>
    <col min="11" max="11" width="18.42578125" style="645" customWidth="1"/>
    <col min="12" max="12" width="18.140625" style="645" customWidth="1"/>
    <col min="13" max="13" width="18.28515625" style="645" customWidth="1"/>
    <col min="14" max="16384" width="8.85546875" style="645"/>
  </cols>
  <sheetData>
    <row r="1" spans="1:8" ht="13.5" thickBot="1" x14ac:dyDescent="0.25"/>
    <row r="2" spans="1:8" ht="16.5" thickBot="1" x14ac:dyDescent="0.25">
      <c r="B2" s="678" t="s">
        <v>119</v>
      </c>
      <c r="C2" s="679"/>
    </row>
    <row r="4" spans="1:8" x14ac:dyDescent="0.2">
      <c r="A4" s="646"/>
    </row>
    <row r="5" spans="1:8" x14ac:dyDescent="0.2">
      <c r="A5" s="646"/>
      <c r="H5" s="646"/>
    </row>
    <row r="6" spans="1:8" ht="15" x14ac:dyDescent="0.2">
      <c r="A6" s="646"/>
      <c r="C6" s="647" t="s">
        <v>390</v>
      </c>
    </row>
    <row r="7" spans="1:8" ht="31.5" x14ac:dyDescent="0.2">
      <c r="A7" s="646"/>
      <c r="C7" s="648" t="s">
        <v>240</v>
      </c>
      <c r="D7" s="648" t="s">
        <v>242</v>
      </c>
      <c r="E7" s="648" t="s">
        <v>243</v>
      </c>
      <c r="F7" s="648" t="s">
        <v>244</v>
      </c>
      <c r="G7" s="648" t="s">
        <v>245</v>
      </c>
    </row>
    <row r="8" spans="1:8" ht="15.75" x14ac:dyDescent="0.2">
      <c r="A8" s="646"/>
      <c r="C8" s="649" t="s">
        <v>241</v>
      </c>
      <c r="D8" s="649" t="s">
        <v>241</v>
      </c>
      <c r="E8" s="649" t="s">
        <v>241</v>
      </c>
      <c r="F8" s="649" t="s">
        <v>241</v>
      </c>
      <c r="G8" s="649" t="s">
        <v>241</v>
      </c>
    </row>
    <row r="9" spans="1:8" ht="15" x14ac:dyDescent="0.2">
      <c r="A9" s="646"/>
      <c r="C9" s="650">
        <f>'FC Total'!C12</f>
        <v>1031302.3338066859</v>
      </c>
      <c r="D9" s="650">
        <f>'FC Total'!D12</f>
        <v>1028484.5678673232</v>
      </c>
      <c r="E9" s="650">
        <f>'FC Total'!E12</f>
        <v>1028484.5678673232</v>
      </c>
      <c r="F9" s="650">
        <f>'FC Total'!F12</f>
        <v>1028484.5678673232</v>
      </c>
      <c r="G9" s="650">
        <f>'FC Total'!G12</f>
        <v>1031302.3338066859</v>
      </c>
    </row>
    <row r="10" spans="1:8" x14ac:dyDescent="0.2">
      <c r="A10" s="646"/>
    </row>
    <row r="11" spans="1:8" x14ac:dyDescent="0.2">
      <c r="A11" s="646"/>
    </row>
  </sheetData>
  <mergeCells count="1">
    <mergeCell ref="B2:C2"/>
  </mergeCells>
  <pageMargins left="0.78740157499999996" right="0.78740157499999996" top="0.984251969" bottom="0.984251969" header="0.49212598499999999" footer="0.49212598499999999"/>
  <pageSetup paperSize="9" scale="6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17</vt:i4>
      </vt:variant>
    </vt:vector>
  </HeadingPairs>
  <TitlesOfParts>
    <vt:vector size="17" baseType="lpstr">
      <vt:lpstr>Premissas</vt:lpstr>
      <vt:lpstr>Cenário Ref</vt:lpstr>
      <vt:lpstr>Fluxo Ótimo</vt:lpstr>
      <vt:lpstr>Contratos Originais</vt:lpstr>
      <vt:lpstr>FC E-S</vt:lpstr>
      <vt:lpstr>FC ECTL</vt:lpstr>
      <vt:lpstr>FC EM</vt:lpstr>
      <vt:lpstr>FC Total</vt:lpstr>
      <vt:lpstr>Receita Anual Máxima</vt:lpstr>
      <vt:lpstr>Entrada e Saída CWD Zonal (TM)</vt:lpstr>
      <vt:lpstr>Entrada e Saída CWD Zonal (TR)</vt:lpstr>
      <vt:lpstr>TARIFAS (TM)</vt:lpstr>
      <vt:lpstr>TARIFAS (TR)</vt:lpstr>
      <vt:lpstr>Cálculo Tarifa CWD</vt:lpstr>
      <vt:lpstr>C. Capacidade</vt:lpstr>
      <vt:lpstr>C. Demanda</vt:lpstr>
      <vt:lpstr>Gasoduto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 Padrão</dc:creator>
  <cp:lastModifiedBy>SIM/ANP</cp:lastModifiedBy>
  <cp:lastPrinted>2019-01-15T16:54:59Z</cp:lastPrinted>
  <dcterms:created xsi:type="dcterms:W3CDTF">2005-02-18T15:10:11Z</dcterms:created>
  <dcterms:modified xsi:type="dcterms:W3CDTF">2019-03-01T15:31:46Z</dcterms:modified>
</cp:coreProperties>
</file>