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24226"/>
  <mc:AlternateContent xmlns:mc="http://schemas.openxmlformats.org/markup-compatibility/2006">
    <mc:Choice Requires="x15">
      <x15ac:absPath xmlns:x15ac="http://schemas.microsoft.com/office/spreadsheetml/2010/11/ac" url="D:\Documentos\Diversos\ATRIBUIÇÕES DIVPAQ - NOVO REGIMENTO 2025\48051.004918-15 - Limpeza ESPÍRITO SANTO\"/>
    </mc:Choice>
  </mc:AlternateContent>
  <xr:revisionPtr revIDLastSave="0" documentId="13_ncr:1_{C9535DFC-CC98-432A-8941-D66CEC488FFD}" xr6:coauthVersionLast="47" xr6:coauthVersionMax="47" xr10:uidLastSave="{00000000-0000-0000-0000-000000000000}"/>
  <bookViews>
    <workbookView xWindow="28680" yWindow="-120" windowWidth="29040" windowHeight="15720" tabRatio="924" firstSheet="1" activeTab="2" xr2:uid="{00000000-000D-0000-FFFF-FFFF00000000}"/>
  </bookViews>
  <sheets>
    <sheet name="Mód2.2" sheetId="9" state="hidden" r:id="rId1"/>
    <sheet name="Resumo" sheetId="18" r:id="rId2"/>
    <sheet name="Limpeza - Item 8" sheetId="20" r:id="rId3"/>
    <sheet name="Controle de pragas - Item 9" sheetId="4" r:id="rId4"/>
    <sheet name="Remanejamento- Item 10" sheetId="19" r:id="rId5"/>
    <sheet name="Mód2.3 " sheetId="12" r:id="rId6"/>
    <sheet name="Uniform&amp;EPIs " sheetId="11" r:id="rId7"/>
    <sheet name="Materiais" sheetId="14" r:id="rId8"/>
    <sheet name="Equipamentos e Laudo" sheetId="15" r:id="rId9"/>
    <sheet name="Mód3" sheetId="8" state="hidden" r:id="rId10"/>
    <sheet name="Mód6" sheetId="6" state="hidden" r:id="rId11"/>
    <sheet name="Mód4" sheetId="10" state="hidden" r:id="rId12"/>
    <sheet name="FatorK" sheetId="7" r:id="rId13"/>
    <sheet name="MemóriaCálculo" sheetId="16" r:id="rId1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4" i="15" l="1"/>
  <c r="I145" i="20" s="1"/>
  <c r="Z145" i="20" s="1"/>
  <c r="R175" i="20"/>
  <c r="E185" i="20"/>
  <c r="Z142" i="20"/>
  <c r="Z122" i="20"/>
  <c r="Z123" i="20"/>
  <c r="Z124" i="20"/>
  <c r="Z125" i="20"/>
  <c r="Z121" i="20"/>
  <c r="Z84" i="20"/>
  <c r="Z68" i="20"/>
  <c r="Z75" i="20" s="1"/>
  <c r="Z100" i="20" s="1"/>
  <c r="Z69" i="20"/>
  <c r="Z70" i="20"/>
  <c r="Z71" i="20"/>
  <c r="Z72" i="20"/>
  <c r="Z73" i="20"/>
  <c r="Z74" i="20"/>
  <c r="Z67" i="20"/>
  <c r="Z55" i="20"/>
  <c r="Z53" i="20"/>
  <c r="Z54" i="20" s="1"/>
  <c r="Z52" i="20"/>
  <c r="Z85" i="20"/>
  <c r="Z86" i="20"/>
  <c r="Z87" i="20"/>
  <c r="Z88" i="20"/>
  <c r="Z89" i="20"/>
  <c r="Y174" i="20"/>
  <c r="S171" i="20"/>
  <c r="S169" i="20"/>
  <c r="S168" i="20"/>
  <c r="S167" i="20"/>
  <c r="S166" i="20"/>
  <c r="S165" i="20"/>
  <c r="Y158" i="20"/>
  <c r="Z132" i="20"/>
  <c r="Z137" i="20" s="1"/>
  <c r="Y132" i="20"/>
  <c r="Y107" i="20"/>
  <c r="Y75" i="20"/>
  <c r="Y127" i="20" s="1"/>
  <c r="Y52" i="20"/>
  <c r="Y54" i="20" s="1"/>
  <c r="Z39" i="20"/>
  <c r="Z28" i="20"/>
  <c r="Z126" i="20" l="1"/>
  <c r="Z127" i="20" s="1"/>
  <c r="Z128" i="20" s="1"/>
  <c r="Z136" i="20" s="1"/>
  <c r="Z138" i="20" s="1"/>
  <c r="Z168" i="20" s="1"/>
  <c r="Z40" i="20"/>
  <c r="Z41" i="20"/>
  <c r="Z45" i="20" s="1"/>
  <c r="Y55" i="20"/>
  <c r="Z56" i="20"/>
  <c r="Z99" i="20" s="1"/>
  <c r="Y110" i="20"/>
  <c r="Z108" i="20" l="1"/>
  <c r="Z111" i="20"/>
  <c r="Z106" i="20"/>
  <c r="Z165" i="20"/>
  <c r="Z109" i="20"/>
  <c r="Z110" i="20" s="1"/>
  <c r="Z107" i="20"/>
  <c r="Y56" i="20"/>
  <c r="Z112" i="20" l="1"/>
  <c r="Z167" i="20" s="1"/>
  <c r="K21" i="15" l="1"/>
  <c r="L21" i="15" s="1"/>
  <c r="K29" i="14" l="1"/>
  <c r="D29" i="14"/>
  <c r="K16" i="14"/>
  <c r="L16" i="14" s="1"/>
  <c r="K12" i="15"/>
  <c r="L12" i="15" s="1"/>
  <c r="K13" i="15"/>
  <c r="L13" i="15" s="1"/>
  <c r="K14" i="15"/>
  <c r="L14" i="15" s="1"/>
  <c r="K15" i="15"/>
  <c r="L15" i="15" s="1"/>
  <c r="K16" i="15"/>
  <c r="L16" i="15" s="1"/>
  <c r="K17" i="15"/>
  <c r="L17" i="15" s="1"/>
  <c r="K18" i="15"/>
  <c r="L18" i="15" s="1"/>
  <c r="K19" i="15"/>
  <c r="L19" i="15" s="1"/>
  <c r="K20" i="15"/>
  <c r="L20" i="15" s="1"/>
  <c r="K22" i="15"/>
  <c r="L22" i="15" s="1"/>
  <c r="I11" i="19"/>
  <c r="I10" i="19"/>
  <c r="I10" i="4"/>
  <c r="I9" i="19"/>
  <c r="I9" i="4"/>
  <c r="L31" i="15"/>
  <c r="K34" i="15" s="1"/>
  <c r="L29" i="14" l="1"/>
  <c r="K66" i="15"/>
  <c r="L66" i="15" s="1"/>
  <c r="K69" i="15" l="1"/>
  <c r="K71" i="15" s="1"/>
  <c r="I144" i="4" s="1"/>
  <c r="I5" i="18" l="1"/>
  <c r="F185" i="20"/>
  <c r="A175" i="20"/>
  <c r="B171" i="20"/>
  <c r="B169" i="20"/>
  <c r="B168" i="20"/>
  <c r="B167" i="20"/>
  <c r="B166" i="20"/>
  <c r="B165" i="20"/>
  <c r="H158" i="20"/>
  <c r="I132" i="20"/>
  <c r="I137" i="20" s="1"/>
  <c r="H132" i="20"/>
  <c r="H107" i="20"/>
  <c r="I88" i="20"/>
  <c r="H75" i="20"/>
  <c r="H52" i="20"/>
  <c r="H54" i="20" s="1"/>
  <c r="I39" i="20"/>
  <c r="I28" i="20"/>
  <c r="H175" i="19"/>
  <c r="H174" i="19"/>
  <c r="B171" i="19"/>
  <c r="B169" i="19"/>
  <c r="B168" i="19"/>
  <c r="B167" i="19"/>
  <c r="B166" i="19"/>
  <c r="B165" i="19"/>
  <c r="H158" i="19"/>
  <c r="I132" i="19"/>
  <c r="I137" i="19" s="1"/>
  <c r="H132" i="19"/>
  <c r="H107" i="19"/>
  <c r="I88" i="19"/>
  <c r="H75" i="19"/>
  <c r="H127" i="19" s="1"/>
  <c r="H52" i="19"/>
  <c r="H54" i="19" s="1"/>
  <c r="I39" i="19"/>
  <c r="I40" i="19" s="1"/>
  <c r="I28" i="19"/>
  <c r="K23" i="14"/>
  <c r="E51" i="12"/>
  <c r="E52" i="12" s="1"/>
  <c r="I88" i="4" s="1"/>
  <c r="E59" i="12"/>
  <c r="E60" i="12"/>
  <c r="E42" i="12"/>
  <c r="I87" i="20" s="1"/>
  <c r="E9" i="12"/>
  <c r="H174" i="4"/>
  <c r="I87" i="19" l="1"/>
  <c r="I41" i="20"/>
  <c r="I40" i="20"/>
  <c r="I45" i="20" s="1"/>
  <c r="H55" i="20"/>
  <c r="H56" i="20" s="1"/>
  <c r="H127" i="20"/>
  <c r="H110" i="20"/>
  <c r="I41" i="19"/>
  <c r="I45" i="19" s="1"/>
  <c r="H110" i="19"/>
  <c r="H55" i="19"/>
  <c r="H56" i="19"/>
  <c r="H175" i="4"/>
  <c r="I165" i="20" l="1"/>
  <c r="I125" i="20"/>
  <c r="I124" i="20"/>
  <c r="I123" i="20"/>
  <c r="I122" i="20"/>
  <c r="I121" i="20"/>
  <c r="I111" i="20"/>
  <c r="I109" i="20"/>
  <c r="I110" i="20" s="1"/>
  <c r="I108" i="20"/>
  <c r="I106" i="20"/>
  <c r="I74" i="20"/>
  <c r="I73" i="20"/>
  <c r="I72" i="20"/>
  <c r="I71" i="20"/>
  <c r="I70" i="20"/>
  <c r="I69" i="20"/>
  <c r="I68" i="20"/>
  <c r="I67" i="20"/>
  <c r="I55" i="20"/>
  <c r="I53" i="20"/>
  <c r="I52" i="20"/>
  <c r="I54" i="20" s="1"/>
  <c r="I56" i="20" s="1"/>
  <c r="I99" i="20" s="1"/>
  <c r="I111" i="19"/>
  <c r="I124" i="19"/>
  <c r="I122" i="19"/>
  <c r="I73" i="19"/>
  <c r="I67" i="19"/>
  <c r="I52" i="19"/>
  <c r="I165" i="19"/>
  <c r="I71" i="19"/>
  <c r="I55" i="19"/>
  <c r="I53" i="19"/>
  <c r="I70" i="19"/>
  <c r="I109" i="19"/>
  <c r="I110" i="19" s="1"/>
  <c r="I121" i="19"/>
  <c r="I72" i="19"/>
  <c r="I123" i="19"/>
  <c r="I125" i="19"/>
  <c r="I68" i="19"/>
  <c r="I106" i="19"/>
  <c r="I108" i="19"/>
  <c r="I69" i="19"/>
  <c r="I74" i="19"/>
  <c r="I107" i="19"/>
  <c r="I112" i="19" l="1"/>
  <c r="I167" i="19" s="1"/>
  <c r="I75" i="19"/>
  <c r="I100" i="19" s="1"/>
  <c r="I54" i="19"/>
  <c r="I56" i="19" s="1"/>
  <c r="I99" i="19" s="1"/>
  <c r="I126" i="19"/>
  <c r="I75" i="20"/>
  <c r="I100" i="20" s="1"/>
  <c r="I126" i="20"/>
  <c r="I107" i="20"/>
  <c r="I112" i="20" s="1"/>
  <c r="I127" i="20"/>
  <c r="I128" i="20" s="1"/>
  <c r="I136" i="20" s="1"/>
  <c r="I138" i="20" s="1"/>
  <c r="I168" i="20" s="1"/>
  <c r="I127" i="19"/>
  <c r="I128" i="19" s="1"/>
  <c r="I136" i="19" s="1"/>
  <c r="I138" i="19" s="1"/>
  <c r="I6" i="18"/>
  <c r="I3" i="18"/>
  <c r="I167" i="20" l="1"/>
  <c r="I168" i="19"/>
  <c r="K11" i="15"/>
  <c r="L11" i="15" s="1"/>
  <c r="K26" i="14"/>
  <c r="K44" i="14"/>
  <c r="K11" i="14"/>
  <c r="K50" i="14" l="1"/>
  <c r="L50" i="14" s="1"/>
  <c r="K48" i="14"/>
  <c r="L48" i="14" s="1"/>
  <c r="K47" i="14"/>
  <c r="L47" i="14" s="1"/>
  <c r="K46" i="14"/>
  <c r="L46" i="14" s="1"/>
  <c r="K45" i="14"/>
  <c r="L45" i="14" s="1"/>
  <c r="L44" i="14"/>
  <c r="K43" i="14"/>
  <c r="L43" i="14" s="1"/>
  <c r="K42" i="14"/>
  <c r="L42" i="14" s="1"/>
  <c r="K41" i="14"/>
  <c r="L41" i="14" s="1"/>
  <c r="K40" i="14"/>
  <c r="L40" i="14" s="1"/>
  <c r="K30" i="14"/>
  <c r="L30" i="14" s="1"/>
  <c r="K28" i="14"/>
  <c r="L28" i="14" s="1"/>
  <c r="K27" i="14"/>
  <c r="L27" i="14" s="1"/>
  <c r="L26" i="14"/>
  <c r="K25" i="14"/>
  <c r="L25" i="14" s="1"/>
  <c r="K24" i="14"/>
  <c r="L24" i="14" s="1"/>
  <c r="L23" i="14"/>
  <c r="K22" i="14"/>
  <c r="L22" i="14" s="1"/>
  <c r="K21" i="14"/>
  <c r="L21" i="14" s="1"/>
  <c r="K20" i="14"/>
  <c r="L20" i="14" s="1"/>
  <c r="K19" i="14"/>
  <c r="L19" i="14" s="1"/>
  <c r="K18" i="14"/>
  <c r="L18" i="14" s="1"/>
  <c r="K17" i="14"/>
  <c r="L17" i="14" s="1"/>
  <c r="K15" i="14"/>
  <c r="L15" i="14" s="1"/>
  <c r="K14" i="14"/>
  <c r="L14" i="14" s="1"/>
  <c r="K13" i="14"/>
  <c r="L13" i="14" s="1"/>
  <c r="K12" i="14"/>
  <c r="L12" i="14" s="1"/>
  <c r="L11" i="14"/>
  <c r="K18" i="11" l="1"/>
  <c r="L18" i="11" s="1"/>
  <c r="K17" i="11"/>
  <c r="L17" i="11" s="1"/>
  <c r="K16" i="11"/>
  <c r="L16" i="11" s="1"/>
  <c r="K15" i="11"/>
  <c r="L15" i="11" s="1"/>
  <c r="K14" i="11"/>
  <c r="L14" i="11" s="1"/>
  <c r="K13" i="11"/>
  <c r="L13" i="11" s="1"/>
  <c r="K12" i="11"/>
  <c r="L12" i="11" s="1"/>
  <c r="K11" i="11"/>
  <c r="L11" i="11" s="1"/>
  <c r="I75" i="16" l="1"/>
  <c r="I74" i="16"/>
  <c r="I73" i="16"/>
  <c r="I72" i="16"/>
  <c r="I71" i="16"/>
  <c r="I21" i="16"/>
  <c r="I23" i="16" s="1"/>
  <c r="I25" i="16" s="1"/>
  <c r="G192" i="19" l="1"/>
  <c r="K31" i="14"/>
  <c r="K33" i="14" s="1"/>
  <c r="K19" i="11"/>
  <c r="K21" i="11" s="1"/>
  <c r="K24" i="11" s="1"/>
  <c r="I76" i="16"/>
  <c r="I77" i="16" s="1"/>
  <c r="I78" i="16" s="1"/>
  <c r="K51" i="14"/>
  <c r="K53" i="14" s="1"/>
  <c r="K23" i="15"/>
  <c r="K25" i="15" s="1"/>
  <c r="K37" i="15" l="1"/>
  <c r="I144" i="20" s="1"/>
  <c r="Z144" i="20" s="1"/>
  <c r="I142" i="20"/>
  <c r="I142" i="19"/>
  <c r="I146" i="19" s="1"/>
  <c r="I169" i="19" s="1"/>
  <c r="G201" i="19"/>
  <c r="I201" i="19" s="1"/>
  <c r="I202" i="19" s="1"/>
  <c r="I192" i="19"/>
  <c r="I193" i="19" s="1"/>
  <c r="I142" i="4"/>
  <c r="K57" i="14"/>
  <c r="K56" i="14"/>
  <c r="I19" i="10"/>
  <c r="I25" i="10"/>
  <c r="I23" i="10"/>
  <c r="I21" i="10"/>
  <c r="I17" i="10"/>
  <c r="H107" i="4"/>
  <c r="K58" i="14" l="1"/>
  <c r="I143" i="20" s="1"/>
  <c r="J27" i="10"/>
  <c r="P31" i="10"/>
  <c r="I146" i="20" l="1"/>
  <c r="I169" i="20" s="1"/>
  <c r="Z143" i="20"/>
  <c r="Z146" i="20" s="1"/>
  <c r="Z169" i="20" s="1"/>
  <c r="H132" i="4"/>
  <c r="I132" i="4"/>
  <c r="I137" i="4" s="1"/>
  <c r="H158" i="4" l="1"/>
  <c r="H1" i="6" l="1"/>
  <c r="E13" i="8"/>
  <c r="E12" i="8"/>
  <c r="E21" i="12"/>
  <c r="H75" i="4"/>
  <c r="H110" i="4" l="1"/>
  <c r="H127" i="4"/>
  <c r="P39" i="8"/>
  <c r="C26" i="8"/>
  <c r="G26" i="8"/>
  <c r="G39" i="8"/>
  <c r="E23" i="12"/>
  <c r="E25" i="12" s="1"/>
  <c r="I85" i="19" l="1"/>
  <c r="I85" i="20"/>
  <c r="I146" i="4"/>
  <c r="J91" i="8"/>
  <c r="G25" i="8"/>
  <c r="G51" i="8"/>
  <c r="C51" i="8"/>
  <c r="C25" i="8"/>
  <c r="B89" i="8"/>
  <c r="G76" i="8"/>
  <c r="B88" i="8"/>
  <c r="B87" i="8"/>
  <c r="B86" i="8"/>
  <c r="B85" i="8"/>
  <c r="P65" i="8"/>
  <c r="I85" i="4"/>
  <c r="C17" i="9"/>
  <c r="C16" i="9"/>
  <c r="H52" i="4"/>
  <c r="H54" i="4" s="1"/>
  <c r="I87" i="4" l="1"/>
  <c r="H55" i="4"/>
  <c r="H56" i="4" s="1"/>
  <c r="G52" i="8"/>
  <c r="G65" i="8" l="1"/>
  <c r="C52" i="8"/>
  <c r="I169" i="4" l="1"/>
  <c r="G63" i="8"/>
  <c r="G37" i="8"/>
  <c r="H9" i="9"/>
  <c r="C9" i="9"/>
  <c r="F19" i="9" l="1"/>
  <c r="I39" i="4"/>
  <c r="E10" i="12" s="1"/>
  <c r="E12" i="12" s="1"/>
  <c r="I28" i="4"/>
  <c r="I84" i="20" l="1"/>
  <c r="I84" i="19"/>
  <c r="I84" i="4"/>
  <c r="I40" i="4"/>
  <c r="I41" i="4"/>
  <c r="B171" i="4"/>
  <c r="B169" i="4"/>
  <c r="B168" i="4"/>
  <c r="B167" i="4"/>
  <c r="B165" i="4"/>
  <c r="B166" i="4"/>
  <c r="I45" i="4" l="1"/>
  <c r="E33" i="12" l="1"/>
  <c r="I121" i="4"/>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86" i="20" l="1"/>
  <c r="I90" i="20" s="1"/>
  <c r="I101" i="20" s="1"/>
  <c r="I102" i="20" s="1"/>
  <c r="I86" i="19"/>
  <c r="I90" i="19" s="1"/>
  <c r="I101" i="19" s="1"/>
  <c r="I102" i="19" s="1"/>
  <c r="I166" i="19" s="1"/>
  <c r="I170" i="19" s="1"/>
  <c r="I152" i="19" s="1"/>
  <c r="I153" i="19" s="1"/>
  <c r="I172" i="19" s="1"/>
  <c r="I86" i="4"/>
  <c r="I126" i="4"/>
  <c r="I127" i="4" s="1"/>
  <c r="I128" i="4" s="1"/>
  <c r="I136" i="4" s="1"/>
  <c r="I138" i="4" s="1"/>
  <c r="I168" i="4" s="1"/>
  <c r="I54" i="4"/>
  <c r="I56" i="4" s="1"/>
  <c r="I99" i="4" s="1"/>
  <c r="I107" i="4"/>
  <c r="I112" i="4" s="1"/>
  <c r="I167" i="4" s="1"/>
  <c r="I75" i="4"/>
  <c r="I87" i="8"/>
  <c r="I91" i="8" s="1"/>
  <c r="I157" i="19" l="1"/>
  <c r="I156" i="19"/>
  <c r="I155" i="19"/>
  <c r="I174" i="19"/>
  <c r="I166" i="20"/>
  <c r="I170" i="20" s="1"/>
  <c r="I152" i="20" s="1"/>
  <c r="I153" i="20" s="1"/>
  <c r="C6" i="9"/>
  <c r="C7" i="9" s="1"/>
  <c r="C11" i="9" s="1"/>
  <c r="G22" i="8" s="1"/>
  <c r="G74" i="8"/>
  <c r="G78" i="8" s="1"/>
  <c r="H89" i="8" s="1"/>
  <c r="G34" i="8"/>
  <c r="G35" i="8" s="1"/>
  <c r="G41" i="8" s="1"/>
  <c r="G60" i="8"/>
  <c r="G61" i="8" s="1"/>
  <c r="G67" i="8" s="1"/>
  <c r="H6" i="9"/>
  <c r="H7" i="9" s="1"/>
  <c r="H11" i="9" s="1"/>
  <c r="P33" i="8" s="1"/>
  <c r="P35" i="8" s="1"/>
  <c r="P41" i="8" s="1"/>
  <c r="I100" i="4"/>
  <c r="I158" i="19" l="1"/>
  <c r="I171" i="19" s="1"/>
  <c r="I172" i="20"/>
  <c r="I174" i="20" s="1"/>
  <c r="G219" i="19"/>
  <c r="I219" i="19" s="1"/>
  <c r="A175" i="19"/>
  <c r="G183" i="19" s="1"/>
  <c r="I183" i="19" s="1"/>
  <c r="I184" i="19" s="1"/>
  <c r="I90" i="4"/>
  <c r="I101" i="4" s="1"/>
  <c r="I102" i="4" s="1"/>
  <c r="I166" i="4" s="1"/>
  <c r="I170" i="4" s="1"/>
  <c r="C22" i="8"/>
  <c r="H86" i="8"/>
  <c r="P59" i="8"/>
  <c r="P61" i="8" s="1"/>
  <c r="P67" i="8" s="1"/>
  <c r="H88" i="8"/>
  <c r="K88" i="8"/>
  <c r="K86" i="8"/>
  <c r="F16" i="9"/>
  <c r="F17" i="9"/>
  <c r="I155" i="20" l="1"/>
  <c r="I156" i="20"/>
  <c r="I157" i="20"/>
  <c r="I220" i="19"/>
  <c r="J6" i="18" s="1"/>
  <c r="G193" i="20"/>
  <c r="I193" i="20" s="1"/>
  <c r="I194" i="20" s="1"/>
  <c r="F21" i="9"/>
  <c r="G48" i="8"/>
  <c r="G49" i="8" s="1"/>
  <c r="G54" i="8" s="1"/>
  <c r="K87" i="8" s="1"/>
  <c r="D8" i="10"/>
  <c r="G21" i="8"/>
  <c r="G23" i="8" s="1"/>
  <c r="G28" i="8" s="1"/>
  <c r="K85" i="8" s="1"/>
  <c r="C21" i="8"/>
  <c r="C23" i="8" s="1"/>
  <c r="C28" i="8" s="1"/>
  <c r="C48" i="8"/>
  <c r="C49" i="8" s="1"/>
  <c r="C54" i="8" s="1"/>
  <c r="H87" i="8" s="1"/>
  <c r="D47" i="10"/>
  <c r="I158" i="20" l="1"/>
  <c r="I171" i="20" s="1"/>
  <c r="K91" i="8"/>
  <c r="H85" i="8"/>
  <c r="H91" i="8" s="1"/>
  <c r="D48" i="10" l="1"/>
  <c r="D50" i="10" s="1"/>
  <c r="D54" i="10" s="1"/>
  <c r="D58" i="10" s="1"/>
  <c r="D9" i="10"/>
  <c r="D11" i="10" s="1"/>
  <c r="D15" i="10" s="1"/>
  <c r="E36" i="10" l="1"/>
  <c r="E30" i="10"/>
  <c r="E28" i="10"/>
  <c r="E34" i="10"/>
  <c r="E32" i="10"/>
  <c r="J38" i="10" l="1"/>
  <c r="I152" i="4" l="1"/>
  <c r="I153" i="4" l="1"/>
  <c r="I4" i="6" s="1"/>
  <c r="I6" i="6" s="1"/>
  <c r="I8" i="6" s="1"/>
  <c r="I172" i="4" l="1"/>
  <c r="I174" i="4" l="1"/>
  <c r="A175" i="4" s="1"/>
  <c r="G181" i="4" s="1"/>
  <c r="I181" i="4" s="1"/>
  <c r="I156" i="4"/>
  <c r="I155" i="4"/>
  <c r="I157" i="4"/>
  <c r="B3" i="7"/>
  <c r="J5" i="18" l="1"/>
  <c r="K5" i="18" s="1"/>
  <c r="I182" i="4"/>
  <c r="K6" i="18"/>
  <c r="I158" i="4"/>
  <c r="I171" i="4" s="1"/>
  <c r="Z90" i="20" l="1"/>
  <c r="Z101" i="20" s="1"/>
  <c r="Z102" i="20" s="1"/>
  <c r="Z166" i="20" l="1"/>
  <c r="Z170" i="20" s="1"/>
  <c r="Z152" i="20" s="1"/>
  <c r="Z153" i="20" l="1"/>
  <c r="Z172" i="20"/>
  <c r="Z174" i="20" l="1"/>
  <c r="G185" i="20" s="1"/>
  <c r="Z155" i="20"/>
  <c r="Z156" i="20"/>
  <c r="Z157" i="20"/>
  <c r="Z158" i="20"/>
  <c r="Z171" i="20" s="1"/>
  <c r="G202" i="20" l="1"/>
  <c r="I185" i="20"/>
  <c r="I186" i="20" s="1"/>
  <c r="J3" i="18" s="1"/>
  <c r="K3" i="18" s="1"/>
  <c r="K7" i="18" s="1"/>
  <c r="G211" i="20" l="1"/>
  <c r="I211" i="20" s="1"/>
  <c r="I212" i="20" s="1"/>
  <c r="I202" i="20"/>
  <c r="I203" i="20" s="1"/>
</calcChain>
</file>

<file path=xl/sharedStrings.xml><?xml version="1.0" encoding="utf-8"?>
<sst xmlns="http://schemas.openxmlformats.org/spreadsheetml/2006/main" count="1688" uniqueCount="544">
  <si>
    <t>GPS</t>
  </si>
  <si>
    <t>FGTS</t>
  </si>
  <si>
    <t>Base de Cálculo</t>
  </si>
  <si>
    <t>Módulo 1</t>
  </si>
  <si>
    <t>Submódulo 2.1</t>
  </si>
  <si>
    <t>Total</t>
  </si>
  <si>
    <t>Percentual</t>
  </si>
  <si>
    <t>Valor GPS</t>
  </si>
  <si>
    <t>Valor FGTS</t>
  </si>
  <si>
    <t>GPS, FGTS e Outras Contribuições</t>
  </si>
  <si>
    <t>Percentual total</t>
  </si>
  <si>
    <t>TOTAL SUBMÓDULO 2.2</t>
  </si>
  <si>
    <t>GRUPO</t>
  </si>
  <si>
    <t>ITEM</t>
  </si>
  <si>
    <t>ESPECIFICAÇÃO DOS SERVIÇOS</t>
  </si>
  <si>
    <t>CATSER</t>
  </si>
  <si>
    <t>UNIDADE DE MEDIDA</t>
  </si>
  <si>
    <t>Periodocidade</t>
  </si>
  <si>
    <t>Quantidade</t>
  </si>
  <si>
    <t>Periodicidade em 5 anos</t>
  </si>
  <si>
    <t>QUANTIDADE TOTAL NO CONTRATO (60 MESES)</t>
  </si>
  <si>
    <t>VALOR UNITÁRIO</t>
  </si>
  <si>
    <t>VALOR TOTAL DO CONTRATO (60 MESES)</t>
  </si>
  <si>
    <t>SERVIÇO PAGO MENSALMENTE</t>
  </si>
  <si>
    <t>Prestação de serviço de limpeza e conservação com dedicação de mão de obra exclusiva</t>
  </si>
  <si>
    <t>m²</t>
  </si>
  <si>
    <t>Mensal</t>
  </si>
  <si>
    <t>SERVIÇO PAGO QUANDO REALIZADO</t>
  </si>
  <si>
    <t>Controle de pragas - Desinsetização / Desratização / Dedetização - (sob demanda)</t>
  </si>
  <si>
    <t>Sob demanda</t>
  </si>
  <si>
    <r>
      <t xml:space="preserve">Remanejamento de equipamento / mobiliário </t>
    </r>
    <r>
      <rPr>
        <sz val="10"/>
        <color rgb="FFFF0000"/>
        <rFont val="Arial"/>
        <family val="2"/>
      </rPr>
      <t>(sob  demanda)</t>
    </r>
  </si>
  <si>
    <t>unidade (DIA)</t>
  </si>
  <si>
    <t>Valor total do contrato para 60 meses</t>
  </si>
  <si>
    <t>MODELO DE PLANILHA DE CUSTOS E FORMAÇÃO DE PREÇOS</t>
  </si>
  <si>
    <r>
      <rPr>
        <b/>
        <sz val="10"/>
        <color rgb="FF000000"/>
        <rFont val="Arial"/>
        <family val="2"/>
      </rPr>
      <t>Nº do Processo</t>
    </r>
    <r>
      <rPr>
        <sz val="10"/>
        <color rgb="FF000000"/>
        <rFont val="Arial"/>
        <family val="2"/>
      </rPr>
      <t>:   48051.004918/2025-15</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</si>
  <si>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</si>
  <si>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</si>
  <si>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</si>
  <si>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</si>
  <si>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</si>
  <si>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</si>
  <si>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</si>
  <si>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Vitória/ES</t>
  </si>
  <si>
    <t>C</t>
  </si>
  <si>
    <t>Número e ano do Acordo, Convenção ou Dissídio Coletivo:</t>
  </si>
  <si>
    <t>ES000055/2025</t>
  </si>
  <si>
    <t>D</t>
  </si>
  <si>
    <t>Número de meses de execução contratual:</t>
  </si>
  <si>
    <t>Identificação do Serviço</t>
  </si>
  <si>
    <t>Tipo de Serviço</t>
  </si>
  <si>
    <t>Unidade de Medida</t>
  </si>
  <si>
    <t>Quantidade total a contratar (em função da unidade de medida)</t>
  </si>
  <si>
    <t>Limpeza e Conservação</t>
  </si>
  <si>
    <t>Unidade</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</si>
  <si>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</si>
  <si>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</si>
  <si>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</si>
  <si>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</si>
  <si>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</si>
  <si>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</si>
  <si>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</si>
  <si>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</si>
  <si>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</si>
  <si>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</si>
  <si>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5143-20</t>
  </si>
  <si>
    <t>Salário Nominativo da Categoria Profissional</t>
  </si>
  <si>
    <t>Categoria profissional (vinculada à execução contratual)</t>
  </si>
  <si>
    <t>AUXILIAR DE SERVIÇOS GERAIS - LIMPEZA PREDIAL</t>
  </si>
  <si>
    <t>AUXILIAR DE SERVIÇOS GERAIS-BANHEIRISTA</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</si>
  <si>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</si>
  <si>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</si>
  <si>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</si>
  <si>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</si>
  <si>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</si>
  <si>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</si>
  <si>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</si>
  <si>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</si>
  <si>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</si>
  <si>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</si>
  <si>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</si>
  <si>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</si>
  <si>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</si>
  <si>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</si>
  <si>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</si>
  <si>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</si>
  <si>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</si>
  <si>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</si>
  <si>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</si>
  <si>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</si>
  <si>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</si>
  <si>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</si>
  <si>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</si>
  <si>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</si>
  <si>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</si>
  <si>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</si>
  <si>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</si>
  <si>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</si>
  <si>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</si>
  <si>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</si>
  <si>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</si>
  <si>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</si>
  <si>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</si>
  <si>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</si>
  <si>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</si>
  <si>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</si>
  <si>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</si>
  <si>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</si>
  <si>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</si>
  <si>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</si>
  <si>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</si>
  <si>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</si>
  <si>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</si>
  <si>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</si>
  <si>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</si>
  <si>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</si>
  <si>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</si>
  <si>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</si>
  <si>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</si>
  <si>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</si>
  <si>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</si>
  <si>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</si>
  <si>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</si>
  <si>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Adicional de assiduidade </t>
    </r>
    <r>
      <rPr>
        <i/>
        <sz val="8"/>
        <color rgb="FFFF0000"/>
        <rFont val="Arial"/>
        <family val="2"/>
      </rPr>
      <t>(ver CCT e preencher campos em amarelo na aba Mód 2.3)</t>
    </r>
  </si>
  <si>
    <r>
      <rPr>
        <i/>
        <sz val="10"/>
        <color rgb="FF000000"/>
        <rFont val="Arial"/>
        <family val="2"/>
      </rPr>
      <t>Aux. Saúde e Odontológico</t>
    </r>
    <r>
      <rPr>
        <i/>
        <sz val="10"/>
        <color rgb="FFFF0000"/>
        <rFont val="Arial"/>
        <family val="2"/>
      </rPr>
      <t xml:space="preserve"> </t>
    </r>
    <r>
      <rPr>
        <i/>
        <sz val="8"/>
        <color rgb="FFFF0000"/>
        <rFont val="Arial"/>
        <family val="2"/>
      </rPr>
      <t>(ver CCT e preencher campos em amarelo na aba Mód 2.3)</t>
    </r>
  </si>
  <si>
    <r>
      <t xml:space="preserve">BENEFÍCIO DE ASSISTÊNCIA AO TRABALHADOR (SAÚDE E QUALIFICAÇÃO PROFISSIONAL) </t>
    </r>
    <r>
      <rPr>
        <i/>
        <sz val="8"/>
        <color rgb="FFFF0000"/>
        <rFont val="Arial"/>
        <family val="2"/>
      </rPr>
      <t>(ver CCT e preencher campos em amarelo na aba Mód 2.3)</t>
    </r>
  </si>
  <si>
    <r>
      <t xml:space="preserve">Outros (Auxilo Creche) </t>
    </r>
    <r>
      <rPr>
        <i/>
        <sz val="8"/>
        <color rgb="FFFF0000"/>
        <rFont val="Arial"/>
        <family val="2"/>
      </rPr>
      <t>(ver CCT e preencher campos em amarelo na aba Mód 2.3)</t>
    </r>
  </si>
  <si>
    <t>Será pago conforme ocorrência</t>
  </si>
  <si>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</si>
  <si>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</si>
  <si>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</si>
  <si>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</si>
  <si>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</si>
  <si>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</si>
  <si>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</si>
  <si>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</si>
  <si>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</si>
  <si>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</si>
  <si>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</si>
  <si>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</si>
  <si>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</si>
  <si>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</si>
  <si>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</si>
  <si>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</si>
  <si>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</si>
  <si>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</si>
  <si>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</si>
  <si>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</si>
  <si>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</si>
  <si>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</si>
  <si>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</si>
  <si>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</si>
  <si>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</si>
  <si>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</si>
  <si>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</si>
  <si>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</si>
  <si>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</si>
  <si>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</si>
  <si>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</si>
  <si>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</si>
  <si>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</si>
  <si>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</si>
  <si>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</si>
  <si>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</si>
  <si>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</si>
  <si>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</si>
  <si>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</si>
  <si>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</si>
  <si>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</si>
  <si>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</si>
  <si>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</si>
  <si>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</si>
  <si>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</si>
  <si>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</si>
  <si>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</si>
  <si>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</si>
  <si>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</si>
  <si>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</si>
  <si>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Emissão de Programa de Gerenciamento de Riscos (PGR) e de Laudo de Insalubridade e Periculosidade (LIP) com ART</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</si>
  <si>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</si>
  <si>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</si>
  <si>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</si>
  <si>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</si>
  <si>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</si>
  <si>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</si>
  <si>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</si>
  <si>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</si>
  <si>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</si>
  <si>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</si>
  <si>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</si>
  <si>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</si>
  <si>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</si>
  <si>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</si>
  <si>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</si>
  <si>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</si>
  <si>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</si>
  <si>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</si>
  <si>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</si>
  <si>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</si>
  <si>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Custo mensal</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</si>
  <si>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</si>
  <si>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</si>
  <si>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</si>
  <si>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(m²/dia)</t>
  </si>
  <si>
    <t>Equipe de limpeza</t>
  </si>
  <si>
    <t>Limpeza/dia</t>
  </si>
  <si>
    <t>Custo Mensal
(R$)</t>
  </si>
  <si>
    <t>(1x2)
SUBTOTAL
(R$/m²)</t>
  </si>
  <si>
    <t>Servente</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</si>
  <si>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</si>
  <si>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</si>
  <si>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</si>
  <si>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(1)
PRODUTIVIDADE
(1/m²)</t>
  </si>
  <si>
    <t>(2)
PREÇO HOMEM-MÊS
(R$)</t>
  </si>
  <si>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</si>
  <si>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</si>
  <si>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</si>
  <si>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</si>
  <si>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</si>
  <si>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</si>
  <si>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</si>
  <si>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</si>
  <si>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</si>
  <si>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</si>
  <si>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</si>
  <si>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Nº do Processo:   48051.004918/2025-15</t>
  </si>
  <si>
    <t>Controle de pragas</t>
  </si>
  <si>
    <t>Desinsetizador</t>
  </si>
  <si>
    <t>Materias já inclusos no custos de limpeza</t>
  </si>
  <si>
    <t>Equipamentos, Ferramentas e Acessórios( pulverizador  Costal)</t>
  </si>
  <si>
    <t>Desinsetização / Desratização / Dedetização</t>
  </si>
  <si>
    <t xml:space="preserve">
PRODUTIVIDADE m²/dia</t>
  </si>
  <si>
    <t>Servente/Dedetização</t>
  </si>
  <si>
    <t>Materias e equipamentos já inclusos no custos de limpeza</t>
  </si>
  <si>
    <t>Remanejamento de moveis e equipamentos</t>
  </si>
  <si>
    <t>AUXILIAR DE SERVIÇOS GERAIS-CONVENCIONAL</t>
  </si>
  <si>
    <t>PREÇO UNITÁRIO</t>
  </si>
  <si>
    <t>Remanejamento de equipamento / mobiliário (sob  demanda)</t>
  </si>
  <si>
    <t>Outros serviços</t>
  </si>
  <si>
    <t>Vale Transporte - Servente de Limpeza</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</si>
  <si>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</si>
  <si>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</si>
  <si>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</si>
  <si>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</si>
  <si>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</si>
  <si>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</si>
  <si>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</si>
  <si>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</si>
  <si>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</si>
  <si>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</si>
  <si>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</si>
  <si>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</si>
  <si>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</si>
  <si>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Prêmio Assiduidade</t>
  </si>
  <si>
    <t>Adicional de assiduidade</t>
  </si>
  <si>
    <t>Percentual/Valor Desconto/Cota-Parte Funcionário</t>
  </si>
  <si>
    <t>Custo Efetivo</t>
  </si>
  <si>
    <t>Aux. Saúde e Odontológico</t>
  </si>
  <si>
    <t>Aux. Saúde</t>
  </si>
  <si>
    <t>Aux. Odontológico</t>
  </si>
  <si>
    <t>Custo Efetivo da Assistência Familiar</t>
  </si>
  <si>
    <t>Seguro de Vida</t>
  </si>
  <si>
    <t>Valor do Premio Morte 26xRem</t>
  </si>
  <si>
    <t>Valor do Premio Invalidez 52xRem</t>
  </si>
  <si>
    <t>Alíquota do Seguro (Incidência)</t>
  </si>
  <si>
    <t>Nº Empregados cobertos</t>
  </si>
  <si>
    <t>Custo Anual</t>
  </si>
  <si>
    <t>Custo Efetivo Mensal</t>
  </si>
  <si>
    <t>Benefício</t>
  </si>
  <si>
    <t>Incidência</t>
  </si>
  <si>
    <t>Meses de pagamento</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</si>
  <si>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</si>
  <si>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 xml:space="preserve">                Declaro que foi realizada pesquisa mercadológica conforme dados abaixo:</t>
  </si>
  <si>
    <t>Casas Bahia</t>
  </si>
  <si>
    <t>Contato</t>
  </si>
  <si>
    <t>Fone</t>
  </si>
  <si>
    <t>Loja do Guarda pó</t>
  </si>
  <si>
    <t>48 3247 4959</t>
  </si>
  <si>
    <t>Amazon</t>
  </si>
  <si>
    <t>Mercado Livre</t>
  </si>
  <si>
    <t>Item</t>
  </si>
  <si>
    <t>Fardamento e seus complementos</t>
  </si>
  <si>
    <t>Unid.</t>
  </si>
  <si>
    <t>Quant.</t>
  </si>
  <si>
    <t>Órgãos/Licitações/Contratos/Fornecedores/Sites consultados</t>
  </si>
  <si>
    <t>Custo estimado</t>
  </si>
  <si>
    <t>Custo médio Unit.</t>
  </si>
  <si>
    <t>Custo médio Total</t>
  </si>
  <si>
    <t>Valor Unit</t>
  </si>
  <si>
    <t>Camisa/bata curtas unissex, 100% algodão, preferencialmente na cor cinza, com gola, botões, manga curta, três bolsos e logomarca da empresa;</t>
  </si>
  <si>
    <t>Pç</t>
  </si>
  <si>
    <t>Calças compridas, tipo pijama, unissex, 100% algodão, preferencialmente na cor cinza, com cós elástico e três bolsos;</t>
  </si>
  <si>
    <t>Calçado de couro, tipo bota cano curto, preferencialmente na cor preta;</t>
  </si>
  <si>
    <t>Par</t>
  </si>
  <si>
    <t>Meias cano curto, preferencialmente na cor preta, 100% algodão, adequadas à prestação dos serviços.</t>
  </si>
  <si>
    <t>Crachá</t>
  </si>
  <si>
    <t>Óculos de proteção transparente</t>
  </si>
  <si>
    <t>Bota de borracha/PVC cano curto</t>
  </si>
  <si>
    <t>Respirador Descartável Concha, Classe PFF-2 (S) com Carvão Ativado Clipe Nasal Acoplado (com qualidade igual ou superior ao Respirador Descartável Concha 3M™ 8023, Carvão Ativado, CA: 9626. Eficaz para proteção contra poeiras, névoas, fumos e alívio de odores incômodos provenientes de Vapores Orgânicos. Especificações Atendidas: ABNT NBR 13698).</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</si>
  <si>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</si>
  <si>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</si>
  <si>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</si>
  <si>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</si>
  <si>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</si>
  <si>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</si>
  <si>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</si>
  <si>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Atacado Litoral</t>
  </si>
  <si>
    <t>48 3954 3100</t>
  </si>
  <si>
    <t>Atacado Catarinense</t>
  </si>
  <si>
    <t>48 3952 2500</t>
  </si>
  <si>
    <t>Kuerten Distribuidora</t>
  </si>
  <si>
    <t>48 9125-5407</t>
  </si>
  <si>
    <t>Descrição dos Materiais de Consumo
(Quantidade Mensal)</t>
  </si>
  <si>
    <r>
      <t>ALCOOL etílico</t>
    </r>
    <r>
      <rPr>
        <sz val="10"/>
        <color rgb="FF000000"/>
        <rFont val="Calibri"/>
        <family val="2"/>
      </rPr>
      <t xml:space="preserve"> líquido, 1 L, 70% INPM, para limpeza geral</t>
    </r>
  </si>
  <si>
    <t>Litro</t>
  </si>
  <si>
    <r>
      <t xml:space="preserve">CLORO </t>
    </r>
    <r>
      <rPr>
        <sz val="10"/>
        <color rgb="FF000000"/>
        <rFont val="Calibri"/>
        <family val="2"/>
      </rPr>
      <t>(água sanitária), uso doméstico, a base de hipoclorito de sódio. Embalagem plástica de 05 litros, com dados de identificação do produto, marca do fabricante, data de fabricação, prazo de validade e registro no Ministério da Saúde</t>
    </r>
  </si>
  <si>
    <t>Galão 5 L</t>
  </si>
  <si>
    <r>
      <t>DESINFETANTE l</t>
    </r>
    <r>
      <rPr>
        <sz val="10"/>
        <color rgb="FF000000"/>
        <rFont val="Calibri"/>
        <family val="2"/>
      </rPr>
      <t>íquido concentrado com poder desinfetante, super concentrado, fragrância pinho, aparência líquido viscoso, coloração verde, para limpeza geral e pesada e conservação da área, 5 Litros</t>
    </r>
  </si>
  <si>
    <r>
      <t>DETERGENTE</t>
    </r>
    <r>
      <rPr>
        <sz val="10"/>
        <color rgb="FF000000"/>
        <rFont val="Calibri"/>
        <family val="2"/>
      </rPr>
      <t xml:space="preserve"> líquido 5 litros, neutro, concentrado, inodoro, biodegradável, com dados de identificação do produto, marca do fabricante, data de fabricação e prazo de validade</t>
    </r>
  </si>
  <si>
    <r>
      <t>ESPONJA de lã de aço,</t>
    </r>
    <r>
      <rPr>
        <sz val="10"/>
        <color rgb="FF000000"/>
        <rFont val="Calibri"/>
        <family val="2"/>
      </rPr>
      <t xml:space="preserve"> para limpeza em geral. Embalagem: pacote com 8 unidades, marca do fabricante, data de fabricação e prazo de validade</t>
    </r>
  </si>
  <si>
    <t>Pacote com 8 Unid.</t>
  </si>
  <si>
    <r>
      <t>ESPONJA sintética</t>
    </r>
    <r>
      <rPr>
        <sz val="10"/>
        <color rgb="FF000000"/>
        <rFont val="Calibri"/>
        <family val="2"/>
      </rPr>
      <t>, dupla face, um lado em espuma poliuretano e outro em fibra sintética abrasiva, dimensões 100 x 70 x 20 mm, com variação de +/- 10 mm. Embalagem com dados de identificação do produto e marca do fabricante</t>
    </r>
  </si>
  <si>
    <r>
      <t xml:space="preserve">FLANELA </t>
    </r>
    <r>
      <rPr>
        <sz val="10"/>
        <color rgb="FF000000"/>
        <rFont val="Calibri"/>
        <family val="2"/>
      </rPr>
      <t>40 x 60, 100% algodão, para uso geral</t>
    </r>
  </si>
  <si>
    <r>
      <t>LIMPA MÓVEL</t>
    </r>
    <r>
      <rPr>
        <sz val="10"/>
        <color rgb="FF000000"/>
        <rFont val="Calibri"/>
        <family val="2"/>
      </rPr>
      <t xml:space="preserve"> de madeira, a base de óleo de peroba. Embalagem com 200 ml, com dados de identificação do produto, marca do fabricante, data de fabricação, prazo de validade</t>
    </r>
  </si>
  <si>
    <r>
      <t>LIMPADOR</t>
    </r>
    <r>
      <rPr>
        <sz val="10"/>
        <color rgb="FF000000"/>
        <rFont val="Calibri"/>
        <family val="2"/>
      </rPr>
      <t xml:space="preserve"> de vidros. Embalagem de 500ml na versão pulverizador, marca Veja ou similar</t>
    </r>
  </si>
  <si>
    <r>
      <t>PANO de chão</t>
    </r>
    <r>
      <rPr>
        <sz val="10"/>
        <color rgb="FF000000"/>
        <rFont val="Calibri"/>
        <family val="2"/>
      </rPr>
      <t xml:space="preserve"> cru alvejado</t>
    </r>
  </si>
  <si>
    <r>
      <rPr>
        <b/>
        <sz val="10"/>
        <rFont val="Arial"/>
        <family val="2"/>
      </rPr>
      <t>PAPEL HIGIÊNICO</t>
    </r>
    <r>
      <rPr>
        <sz val="10"/>
        <rFont val="Arial"/>
        <family val="2"/>
      </rPr>
      <t xml:space="preserve">. (Tipo: folha dupla. Metragem: mínima de </t>
    </r>
    <r>
      <rPr>
        <b/>
        <sz val="10"/>
        <rFont val="Arial"/>
        <family val="2"/>
      </rPr>
      <t>250 m/rol</t>
    </r>
    <r>
      <rPr>
        <sz val="10"/>
        <rFont val="Arial"/>
        <family val="2"/>
      </rPr>
      <t>o. Cor: extra branco. Característica adicional: macio). (De qualidade igual ou superior ao "PAPEL HIGIÊNICO EM ROLO FOLHA DUPLA EXCELLENCE da marca Elite Professional").</t>
    </r>
  </si>
  <si>
    <t>Fardo com 8 rolos de 250 metros</t>
  </si>
  <si>
    <r>
      <rPr>
        <b/>
        <sz val="10"/>
        <rFont val="Arial"/>
        <family val="2"/>
      </rPr>
      <t>PAPEL TOALHA</t>
    </r>
    <r>
      <rPr>
        <sz val="10"/>
        <rFont val="Arial"/>
        <family val="2"/>
      </rPr>
      <t xml:space="preserve"> em bobina de aproximadamente 20 cm de largura x </t>
    </r>
    <r>
      <rPr>
        <b/>
        <sz val="10"/>
        <rFont val="Arial"/>
        <family val="2"/>
      </rPr>
      <t>200metros</t>
    </r>
    <r>
      <rPr>
        <sz val="10"/>
        <rFont val="Arial"/>
        <family val="2"/>
      </rPr>
      <t xml:space="preserve"> . (Composição: 100% Fibras Naturais. Tipo: Folha Simples. Metragem: 200m/rolo. Cor: Extra Branco) (De qualidade igual ou superior ao "Papel Toalha Elite Plus Simples Dupla da marca Elite Professional").</t>
    </r>
  </si>
  <si>
    <t>Fardo com 6 rolos de 200 metros</t>
  </si>
  <si>
    <r>
      <t>SABÃO em barr</t>
    </r>
    <r>
      <rPr>
        <sz val="10"/>
        <color rgb="FF000000"/>
        <rFont val="Calibri"/>
        <family val="2"/>
      </rPr>
      <t>a, 1 kg</t>
    </r>
  </si>
  <si>
    <r>
      <t>SABONETE liquido</t>
    </r>
    <r>
      <rPr>
        <sz val="10"/>
        <color rgb="FF000000"/>
        <rFont val="Calibri"/>
        <family val="2"/>
      </rPr>
      <t>, cremoso, de fragrância erva-doce agradável, para saboneteiras acrílicas de banheiros, embalagem com 5 litros cada, com dados do fabricante, data de fabricação e prazo de validade e registro no Ministério da Saúde.</t>
    </r>
  </si>
  <si>
    <r>
      <t xml:space="preserve">SACO </t>
    </r>
    <r>
      <rPr>
        <sz val="10"/>
        <color rgb="FF000000"/>
        <rFont val="Calibri"/>
        <family val="2"/>
      </rPr>
      <t>de lixo preto, 100  litros, pacote com 100 unidades</t>
    </r>
  </si>
  <si>
    <t>Pacote</t>
  </si>
  <si>
    <r>
      <t xml:space="preserve">SACO </t>
    </r>
    <r>
      <rPr>
        <sz val="10"/>
        <color rgb="FF000000"/>
        <rFont val="Calibri"/>
        <family val="2"/>
      </rPr>
      <t>de amarelo , 40 litros, pacote com 100 unidades</t>
    </r>
  </si>
  <si>
    <r>
      <t>Veja Gold</t>
    </r>
    <r>
      <rPr>
        <sz val="10"/>
        <color rgb="FF000000"/>
        <rFont val="Calibri"/>
        <family val="2"/>
      </rPr>
      <t xml:space="preserve"> Original - Limpador Multiuso, 500ml</t>
    </r>
  </si>
  <si>
    <r>
      <t>Bom Ar</t>
    </r>
    <r>
      <rPr>
        <sz val="10"/>
        <rFont val="Arial"/>
        <family val="2"/>
      </rPr>
      <t>, purifcador de ar, spray automático, embalagem de 40 ml/250 gramas.</t>
    </r>
  </si>
  <si>
    <t>Inseticida/raticida para controle de pragas - Desinsetização / Desratização / Dedetização(previsto 4 litros por dedetização, 2 dedetizações por ano)</t>
  </si>
  <si>
    <r>
      <t>Tela Aromatizante, e</t>
    </r>
    <r>
      <rPr>
        <sz val="10"/>
        <rFont val="Arial"/>
        <family val="2"/>
      </rPr>
      <t>mbalegem com 1 unidade</t>
    </r>
  </si>
  <si>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</si>
  <si>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</si>
  <si>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Anual)</t>
  </si>
  <si>
    <r>
      <t>BALDE PLÁSTICO</t>
    </r>
    <r>
      <rPr>
        <sz val="10"/>
        <rFont val="Arial"/>
        <family val="2"/>
      </rPr>
      <t xml:space="preserve"> PARA LIMPEZA 20L</t>
    </r>
  </si>
  <si>
    <r>
      <t>DESENTUPIDOR DE VASO</t>
    </r>
    <r>
      <rPr>
        <sz val="10"/>
        <rFont val="Arial"/>
        <family val="2"/>
      </rPr>
      <t xml:space="preserve"> SANITÁRIO</t>
    </r>
  </si>
  <si>
    <r>
      <t>ESCOVA</t>
    </r>
    <r>
      <rPr>
        <sz val="10"/>
        <rFont val="Arial"/>
        <family val="2"/>
      </rPr>
      <t xml:space="preserve"> PARA LAVAR PANO</t>
    </r>
  </si>
  <si>
    <r>
      <t xml:space="preserve">ESCOVA </t>
    </r>
    <r>
      <rPr>
        <sz val="10"/>
        <rFont val="Arial"/>
        <family val="2"/>
      </rPr>
      <t>SANITÁRIA</t>
    </r>
  </si>
  <si>
    <r>
      <t>LUVA EM LÁTEX</t>
    </r>
    <r>
      <rPr>
        <sz val="10"/>
        <rFont val="Arial"/>
        <family val="2"/>
      </rPr>
      <t xml:space="preserve"> DE </t>
    </r>
    <r>
      <rPr>
        <sz val="11"/>
        <rFont val="Arial"/>
        <family val="2"/>
      </rPr>
      <t>BORRACHA NATURAL, </t>
    </r>
    <r>
      <rPr>
        <sz val="10"/>
        <rFont val="Arial"/>
        <family val="2"/>
      </rPr>
      <t>INTERNAMENTE FORRADA COM FLOCOS DE ALGODÃO, </t>
    </r>
    <r>
      <rPr>
        <sz val="11"/>
        <rFont val="Arial"/>
        <family val="2"/>
      </rPr>
      <t>TAMANHO M, COR AMARELO, PACOTE COM 1 PAR</t>
    </r>
  </si>
  <si>
    <r>
      <t xml:space="preserve">LUVA EM LÁTEX </t>
    </r>
    <r>
      <rPr>
        <sz val="10"/>
        <color rgb="FF000000"/>
        <rFont val="Arial"/>
        <family val="2"/>
      </rPr>
      <t>DE </t>
    </r>
    <r>
      <rPr>
        <sz val="11"/>
        <color rgb="FF000000"/>
        <rFont val="Arial"/>
        <family val="2"/>
      </rPr>
      <t>BORRACHA NATURAL, </t>
    </r>
    <r>
      <rPr>
        <sz val="10"/>
        <color rgb="FF000000"/>
        <rFont val="Arial"/>
        <family val="2"/>
      </rPr>
      <t>INTERNAMENTE FORRADA COM FLOCOS DE ALGODÃO, </t>
    </r>
    <r>
      <rPr>
        <sz val="11"/>
        <color rgb="FF000000"/>
        <rFont val="Arial"/>
        <family val="2"/>
      </rPr>
      <t>TAMANHO G, COR AMARELO, PACOTE COM 1 PAR</t>
    </r>
  </si>
  <si>
    <r>
      <t>RODO</t>
    </r>
    <r>
      <rPr>
        <sz val="10"/>
        <rFont val="Arial"/>
        <family val="2"/>
      </rPr>
      <t xml:space="preserve"> COM DUAS BORRACHAS 40 CM COM CABO LONGO</t>
    </r>
  </si>
  <si>
    <r>
      <t xml:space="preserve">RODO </t>
    </r>
    <r>
      <rPr>
        <sz val="10"/>
        <rFont val="Arial"/>
        <family val="2"/>
      </rPr>
      <t>COM DUAS BORRACHAS 60 CM COM CABO LONGO</t>
    </r>
  </si>
  <si>
    <r>
      <t>VASSOURA</t>
    </r>
    <r>
      <rPr>
        <sz val="10"/>
        <rFont val="Arial"/>
        <family val="2"/>
      </rPr>
      <t xml:space="preserve"> DE PELO COM CABO PARA PISO DE CERÂMICA</t>
    </r>
  </si>
  <si>
    <r>
      <t>PÁ</t>
    </r>
    <r>
      <rPr>
        <sz val="10"/>
        <rFont val="Arial"/>
        <family val="2"/>
      </rPr>
      <t xml:space="preserve"> PARA COLETA DE LIXO</t>
    </r>
  </si>
  <si>
    <r>
      <t>RODO</t>
    </r>
    <r>
      <rPr>
        <sz val="10"/>
        <rFont val="Arial"/>
        <family val="2"/>
      </rPr>
      <t xml:space="preserve"> LIMPA VIDRO COM CABO LONGO - MÍNIMO 1,5M</t>
    </r>
  </si>
  <si>
    <t>Custo total anual dos utensílios de consumo</t>
  </si>
  <si>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</si>
  <si>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</si>
  <si>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</si>
  <si>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</si>
  <si>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</si>
  <si>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Especificação dos Equipamentos, Ferramentas e Acessórios</t>
  </si>
  <si>
    <t>Carinho de mão</t>
  </si>
  <si>
    <t>Escada de alumínio com 7 degraus</t>
  </si>
  <si>
    <t>Lavadora de alta pressão</t>
  </si>
  <si>
    <t>Mangueira de jardim</t>
  </si>
  <si>
    <t>Suporte para papel higiênico</t>
  </si>
  <si>
    <t>Suporte para papel toalha</t>
  </si>
  <si>
    <t>Pá para jardim</t>
  </si>
  <si>
    <t>Enxada para jardim</t>
  </si>
  <si>
    <t xml:space="preserve">Rastelo para jardim </t>
  </si>
  <si>
    <t>Tesourão para Poda com Cabo Telescópico 66cm a 1M TS-40836 Trapp, Lâmina em aço Carbono teflonado           -Cabo telescópico facilmente ajustável
- Empunhadeira ergonômica em plástico aderente
- Ideal para serviços pesados de poda em árvores</t>
  </si>
  <si>
    <t>Carrinho de limpeza</t>
  </si>
  <si>
    <t>Saboneteira líquida de parede</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</si>
  <si>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</si>
  <si>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</si>
  <si>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Descrição</t>
  </si>
  <si>
    <t>60 meses</t>
  </si>
  <si>
    <t>Relógio Eletrônico de Ponto Biométrico</t>
  </si>
  <si>
    <t>Papel térmico compatível com o relógio biométrico de ponto;</t>
  </si>
  <si>
    <t>No-break com autonimia mínima de 4 horas e compatível com o relógio biométrico de ponto;</t>
  </si>
  <si>
    <t>Link de internet de titularidade da contratada, para conectar o relógio biométrico de ponto.</t>
  </si>
  <si>
    <t>Valor mensal por terceirizado - Equipamento depreciado em 60 meses, dividido pelo numero de terceirizados contratados</t>
  </si>
  <si>
    <t>Valor mensal por terceirizado - Laudo utilizado em 60 meses, dividido pelo numero de terceirizados contratados</t>
  </si>
  <si>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</si>
  <si>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Especificação dos Equipamentos, Ferramentas e Acessórios para dedetização</t>
  </si>
  <si>
    <t>Pulverizador Costal</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</si>
  <si>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</si>
  <si>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</si>
  <si>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</si>
  <si>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</si>
  <si>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</si>
  <si>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</si>
  <si>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</si>
  <si>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</si>
  <si>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</si>
  <si>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</si>
  <si>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</si>
  <si>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</si>
  <si>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</si>
  <si>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</si>
  <si>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</si>
  <si>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</si>
  <si>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</si>
  <si>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</si>
  <si>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</si>
  <si>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</si>
  <si>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</si>
  <si>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</si>
  <si>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</si>
  <si>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</si>
  <si>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</si>
  <si>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</si>
  <si>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</si>
  <si>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</si>
  <si>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</si>
  <si>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</si>
  <si>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</si>
  <si>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</si>
  <si>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</si>
  <si>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</si>
  <si>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</si>
  <si>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</si>
  <si>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</si>
  <si>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</si>
  <si>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</si>
  <si>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</si>
  <si>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</si>
  <si>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</si>
  <si>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</si>
  <si>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</si>
  <si>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</si>
  <si>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</si>
  <si>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</si>
  <si>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</si>
  <si>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</si>
  <si>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</si>
  <si>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</si>
  <si>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</si>
  <si>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</si>
  <si>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</si>
  <si>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</si>
  <si>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</si>
  <si>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</si>
  <si>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</si>
  <si>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</si>
  <si>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</si>
  <si>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</si>
  <si>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</si>
  <si>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</si>
  <si>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</si>
  <si>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</si>
  <si>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</si>
  <si>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</si>
  <si>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</si>
  <si>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</si>
  <si>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</si>
  <si>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</si>
  <si>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</si>
  <si>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</si>
  <si>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</si>
  <si>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</si>
  <si>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</si>
  <si>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</si>
  <si>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</si>
  <si>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</si>
  <si>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</si>
  <si>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</si>
  <si>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</si>
  <si>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</si>
  <si>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</si>
  <si>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</si>
  <si>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</si>
  <si>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</si>
  <si>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</si>
  <si>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</si>
  <si>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</si>
  <si>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</si>
  <si>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</si>
  <si>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</si>
  <si>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</si>
  <si>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</si>
  <si>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</si>
  <si>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</si>
  <si>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</si>
  <si>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</si>
  <si>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</si>
  <si>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</si>
  <si>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</si>
  <si>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</si>
  <si>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</si>
  <si>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</si>
  <si>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</si>
  <si>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</si>
  <si>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</si>
  <si>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</si>
  <si>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</si>
  <si>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</si>
  <si>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</si>
  <si>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</si>
  <si>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</si>
  <si>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</si>
  <si>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</si>
  <si>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</si>
  <si>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</si>
  <si>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</si>
  <si>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</si>
  <si>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</si>
  <si>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</si>
  <si>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</si>
  <si>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</si>
  <si>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</si>
  <si>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</si>
  <si>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</si>
  <si>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</si>
  <si>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</si>
  <si>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</si>
  <si>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</si>
  <si>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</si>
  <si>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</si>
  <si>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</si>
  <si>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</si>
  <si>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</si>
  <si>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</si>
  <si>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</si>
  <si>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</si>
  <si>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</si>
  <si>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</si>
  <si>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</si>
  <si>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</si>
  <si>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</si>
  <si>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</si>
  <si>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</si>
  <si>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</si>
  <si>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</si>
  <si>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</si>
  <si>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</si>
  <si>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</si>
  <si>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</si>
  <si>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</si>
  <si>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</si>
  <si>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</si>
  <si>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</si>
  <si>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</si>
  <si>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</si>
  <si>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Adicional Insalubridade (NR-15, da Portaria nº 3.124/1978, do MTE, Súmula 448 do TST e Parágrafo 1º da Cláusula 10ª da CCT)</t>
  </si>
  <si>
    <t>Item 4.40 do TR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</si>
</sst>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8" formatCode="&quot;R$&quot;\ #,##0.00;[Red]\-&quot;R$&quot;\ #,##0.0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0"/>
    <numFmt numFmtId="173" formatCode="&quot;R$&quot;\ #,##0.000000"/>
    <numFmt numFmtId="174" formatCode="0.000"/>
  </numFmts>
  <fonts count="58"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0"/>
      <color rgb="FF000000"/>
      <name val="Arial"/>
      <family val="2"/>
    </font>
    <font>
      <u/>
      <sz val="9"/>
      <color indexed="12"/>
      <name val="Arial"/>
      <family val="2"/>
    </font>
    <font>
      <sz val="12"/>
      <name val="Arial"/>
      <family val="2"/>
    </font>
    <font>
      <sz val="14"/>
      <color theme="1"/>
      <name val="Calibri"/>
      <family val="2"/>
      <scheme val="minor"/>
    </font>
    <font>
      <b/>
      <sz val="12"/>
      <color rgb="FF0000FF"/>
      <name val="Arial"/>
      <family val="2"/>
    </font>
    <font>
      <b/>
      <sz val="12"/>
      <name val="Arial"/>
      <family val="2"/>
    </font>
    <font>
      <i/>
      <sz val="10"/>
      <color rgb="FF000000"/>
      <name val="Arial"/>
      <family val="2"/>
    </font>
    <font>
      <sz val="10"/>
      <color theme="1"/>
      <name val="Arial"/>
      <family val="2"/>
    </font>
    <font>
      <b/>
      <sz val="9"/>
      <color theme="1"/>
      <name val="Arial"/>
      <family val="2"/>
    </font>
    <font>
      <sz val="10"/>
      <color rgb="FF000000"/>
      <name val="Calibri"/>
      <family val="2"/>
    </font>
    <font>
      <sz val="11"/>
      <color rgb="FF000000"/>
      <name val="Calibri"/>
      <family val="2"/>
      <charset val="1"/>
    </font>
    <font>
      <b/>
      <sz val="10"/>
      <color rgb="FF000000"/>
      <name val="Calibri"/>
      <family val="2"/>
    </font>
    <font>
      <sz val="11"/>
      <color rgb="FF000000"/>
      <name val="Arial"/>
      <family val="2"/>
    </font>
    <font>
      <sz val="10"/>
      <color theme="1"/>
      <name val="Calibri"/>
      <family val="2"/>
    </font>
  </fonts>
  <fills count="20">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FFC000"/>
        <bgColor indexed="64"/>
      </patternFill>
    </fill>
    <fill>
      <patternFill patternType="solid">
        <fgColor theme="4" tint="0.79998168889431442"/>
        <bgColor indexed="64"/>
      </patternFill>
    </fill>
    <fill>
      <patternFill patternType="solid">
        <fgColor rgb="FFFFFFFF"/>
        <bgColor rgb="FF000000"/>
      </patternFill>
    </fill>
  </fills>
  <borders count="8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
      <left/>
      <right style="thin">
        <color rgb="FF000000"/>
      </right>
      <top style="thin">
        <color rgb="FF000000"/>
      </top>
      <bottom style="thin">
        <color rgb="FF000000"/>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thin">
        <color indexed="64"/>
      </right>
      <top style="medium">
        <color indexed="64"/>
      </top>
      <bottom style="thin">
        <color rgb="FF000000"/>
      </bottom>
      <diagonal/>
    </border>
    <border>
      <left/>
      <right style="thin">
        <color rgb="FF000000"/>
      </right>
      <top style="thin">
        <color indexed="64"/>
      </top>
      <bottom/>
      <diagonal/>
    </border>
    <border>
      <left style="thin">
        <color indexed="64"/>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1">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1"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54" fillId="0" borderId="0"/>
  </cellStyleXfs>
  <cellXfs count="775">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10" fontId="0" fillId="0" borderId="1" xfId="0" applyNumberFormat="1" applyBorder="1"/>
    <xf numFmtId="0" fontId="5" fillId="0" borderId="0" xfId="0"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2" fillId="0" borderId="0" xfId="0" applyFont="1" applyAlignment="1">
      <alignment vertical="center"/>
    </xf>
    <xf numFmtId="10" fontId="1" fillId="4" borderId="1" xfId="2" applyNumberFormat="1" applyFill="1" applyBorder="1" applyAlignment="1"/>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19"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25" fillId="0" borderId="0" xfId="0" applyFont="1" applyAlignment="1">
      <alignment vertical="center"/>
    </xf>
    <xf numFmtId="0" fontId="26" fillId="0" borderId="0" xfId="0" applyFont="1"/>
    <xf numFmtId="0" fontId="25" fillId="0" borderId="0" xfId="0" applyFont="1"/>
    <xf numFmtId="2" fontId="26" fillId="0" borderId="0" xfId="0" applyNumberFormat="1" applyFont="1"/>
    <xf numFmtId="2" fontId="25" fillId="0" borderId="0" xfId="0" applyNumberFormat="1" applyFont="1"/>
    <xf numFmtId="0" fontId="26" fillId="0" borderId="22" xfId="0" applyFont="1" applyBorder="1"/>
    <xf numFmtId="0" fontId="26" fillId="0" borderId="20" xfId="0" applyFont="1" applyBorder="1"/>
    <xf numFmtId="0" fontId="26" fillId="0" borderId="14" xfId="0" applyFont="1" applyBorder="1" applyAlignment="1">
      <alignment horizontal="center" vertical="center"/>
    </xf>
    <xf numFmtId="0" fontId="26" fillId="0" borderId="0" xfId="0" applyFont="1" applyAlignment="1">
      <alignment horizontal="center" vertical="center"/>
    </xf>
    <xf numFmtId="0" fontId="25" fillId="4" borderId="22" xfId="0" applyFont="1" applyFill="1" applyBorder="1"/>
    <xf numFmtId="0" fontId="25" fillId="4" borderId="20" xfId="0" applyFont="1" applyFill="1" applyBorder="1"/>
    <xf numFmtId="2" fontId="25"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3" fillId="0" borderId="0" xfId="0" applyFont="1" applyAlignment="1">
      <alignment horizontal="justify" vertical="center" wrapText="1"/>
    </xf>
    <xf numFmtId="0" fontId="34" fillId="13" borderId="65" xfId="0" applyFont="1" applyFill="1" applyBorder="1" applyAlignment="1">
      <alignment horizontal="center" vertical="center" wrapText="1"/>
    </xf>
    <xf numFmtId="0" fontId="36" fillId="13" borderId="66" xfId="0" applyFont="1" applyFill="1" applyBorder="1" applyAlignment="1">
      <alignment horizontal="center" vertical="center" wrapText="1"/>
    </xf>
    <xf numFmtId="0" fontId="32" fillId="0" borderId="67" xfId="0" applyFont="1" applyBorder="1" applyAlignment="1">
      <alignment horizontal="center" vertical="center" wrapText="1"/>
    </xf>
    <xf numFmtId="10" fontId="32" fillId="0" borderId="68" xfId="0" applyNumberFormat="1" applyFont="1" applyBorder="1" applyAlignment="1">
      <alignment horizontal="center" vertical="center" wrapText="1"/>
    </xf>
    <xf numFmtId="0" fontId="36" fillId="14" borderId="67" xfId="0" applyFont="1" applyFill="1" applyBorder="1" applyAlignment="1">
      <alignment horizontal="center" vertical="center" wrapText="1"/>
    </xf>
    <xf numFmtId="10" fontId="36" fillId="14" borderId="68" xfId="0" applyNumberFormat="1" applyFont="1" applyFill="1" applyBorder="1" applyAlignment="1">
      <alignment horizontal="center" vertical="center" wrapText="1"/>
    </xf>
    <xf numFmtId="0" fontId="2" fillId="0" borderId="0" xfId="0" applyFont="1" applyAlignment="1">
      <alignment horizontal="center" vertic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15" fillId="6" borderId="9" xfId="0" applyFont="1" applyFill="1" applyBorder="1" applyAlignment="1">
      <alignment horizontal="center" vertical="center"/>
    </xf>
    <xf numFmtId="0" fontId="0" fillId="0" borderId="0" xfId="0" applyAlignment="1">
      <alignment horizontal="right" vertical="center"/>
    </xf>
    <xf numFmtId="0" fontId="15" fillId="6" borderId="5" xfId="0" applyFont="1" applyFill="1" applyBorder="1" applyAlignment="1">
      <alignment horizontal="center" vertical="center"/>
    </xf>
    <xf numFmtId="4"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48" xfId="0" applyFont="1" applyFill="1" applyBorder="1" applyAlignment="1">
      <alignment horizontal="center" vertical="center" wrapText="1"/>
    </xf>
    <xf numFmtId="0" fontId="18" fillId="6" borderId="62" xfId="0" applyFont="1" applyFill="1" applyBorder="1" applyAlignment="1">
      <alignment horizontal="center" vertical="center" wrapText="1"/>
    </xf>
    <xf numFmtId="0" fontId="18" fillId="6" borderId="49" xfId="0" applyFont="1" applyFill="1" applyBorder="1" applyAlignment="1">
      <alignment horizontal="center" vertical="center" wrapText="1"/>
    </xf>
    <xf numFmtId="0" fontId="15" fillId="6" borderId="1" xfId="0" applyFont="1" applyFill="1" applyBorder="1" applyAlignment="1">
      <alignment horizontal="center" vertical="center"/>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0" fillId="0" borderId="0" xfId="0" applyAlignment="1">
      <alignment horizontal="left" vertical="center" wrapText="1"/>
    </xf>
    <xf numFmtId="0" fontId="37" fillId="0" borderId="0" xfId="0" applyFont="1" applyAlignment="1">
      <alignment vertical="center"/>
    </xf>
    <xf numFmtId="0" fontId="38" fillId="0" borderId="0" xfId="0" applyFont="1" applyAlignment="1">
      <alignment wrapText="1"/>
    </xf>
    <xf numFmtId="44" fontId="0" fillId="0" borderId="0" xfId="0" applyNumberFormat="1"/>
    <xf numFmtId="44" fontId="0" fillId="0" borderId="42" xfId="0" applyNumberFormat="1" applyBorder="1"/>
    <xf numFmtId="44" fontId="7" fillId="0" borderId="0" xfId="0" applyNumberFormat="1" applyFont="1" applyAlignment="1">
      <alignment horizontal="center" vertical="center"/>
    </xf>
    <xf numFmtId="0" fontId="35"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0" fontId="0" fillId="0" borderId="1" xfId="0" applyBorder="1" applyAlignment="1">
      <alignment horizontal="center" vertical="center" wrapText="1"/>
    </xf>
    <xf numFmtId="0" fontId="41" fillId="6" borderId="2" xfId="0" applyFont="1" applyFill="1" applyBorder="1" applyAlignment="1">
      <alignment horizontal="center" vertical="center" wrapText="1"/>
    </xf>
    <xf numFmtId="0" fontId="42" fillId="6" borderId="46" xfId="0" applyFont="1" applyFill="1" applyBorder="1" applyAlignment="1">
      <alignment horizontal="center" vertical="center" wrapText="1"/>
    </xf>
    <xf numFmtId="0" fontId="41" fillId="0" borderId="5" xfId="0" applyFont="1" applyBorder="1" applyAlignment="1">
      <alignment horizontal="center" vertical="center" wrapText="1"/>
    </xf>
    <xf numFmtId="0" fontId="42" fillId="0" borderId="1" xfId="0" applyFont="1" applyBorder="1" applyAlignment="1">
      <alignment horizontal="center" vertical="center" wrapText="1"/>
    </xf>
    <xf numFmtId="0" fontId="41" fillId="6" borderId="5" xfId="0" applyFont="1" applyFill="1" applyBorder="1" applyAlignment="1">
      <alignment horizontal="center" vertical="center" wrapText="1"/>
    </xf>
    <xf numFmtId="0" fontId="42" fillId="6" borderId="1" xfId="0" applyFont="1" applyFill="1" applyBorder="1" applyAlignment="1">
      <alignment horizontal="center" vertical="center" wrapText="1"/>
    </xf>
    <xf numFmtId="0" fontId="41" fillId="7" borderId="5" xfId="0" applyFont="1" applyFill="1" applyBorder="1" applyAlignment="1">
      <alignment horizontal="center" vertical="center" wrapText="1"/>
    </xf>
    <xf numFmtId="0" fontId="42" fillId="7" borderId="1" xfId="0" applyFont="1" applyFill="1" applyBorder="1" applyAlignment="1">
      <alignment horizontal="center" vertical="center" wrapText="1"/>
    </xf>
    <xf numFmtId="0" fontId="41" fillId="0" borderId="6" xfId="0" applyFont="1" applyBorder="1" applyAlignment="1">
      <alignment horizontal="center" vertical="center" wrapText="1"/>
    </xf>
    <xf numFmtId="0" fontId="42" fillId="0" borderId="47" xfId="0" applyFont="1" applyBorder="1" applyAlignment="1">
      <alignment horizontal="center" vertical="center"/>
    </xf>
    <xf numFmtId="0" fontId="42" fillId="0" borderId="47" xfId="0" applyFont="1" applyBorder="1" applyAlignment="1">
      <alignment horizontal="center" vertical="center" wrapText="1"/>
    </xf>
    <xf numFmtId="0" fontId="41" fillId="6" borderId="2" xfId="0" applyFont="1" applyFill="1" applyBorder="1" applyAlignment="1">
      <alignment horizontal="center" vertical="justify" wrapText="1"/>
    </xf>
    <xf numFmtId="0" fontId="41" fillId="0" borderId="5" xfId="0" applyFont="1" applyBorder="1" applyAlignment="1">
      <alignment horizontal="center" vertical="justify" wrapText="1"/>
    </xf>
    <xf numFmtId="0" fontId="41" fillId="6" borderId="5" xfId="0" applyFont="1" applyFill="1" applyBorder="1" applyAlignment="1">
      <alignment horizontal="center" vertical="justify" wrapText="1"/>
    </xf>
    <xf numFmtId="0" fontId="41" fillId="6" borderId="54" xfId="0" applyFont="1" applyFill="1" applyBorder="1" applyAlignment="1">
      <alignment horizontal="center" vertical="justify" wrapText="1"/>
    </xf>
    <xf numFmtId="0" fontId="41" fillId="0" borderId="28" xfId="0" applyFont="1" applyBorder="1" applyAlignment="1">
      <alignment horizontal="center" vertical="justify" wrapText="1"/>
    </xf>
    <xf numFmtId="0" fontId="41" fillId="6" borderId="28" xfId="0" applyFont="1" applyFill="1" applyBorder="1" applyAlignment="1">
      <alignment horizontal="center" vertical="justify" wrapText="1"/>
    </xf>
    <xf numFmtId="0" fontId="1" fillId="0" borderId="0" xfId="0" applyFont="1" applyAlignment="1">
      <alignment horizontal="center"/>
    </xf>
    <xf numFmtId="0" fontId="1" fillId="0" borderId="0" xfId="0" applyFont="1" applyAlignment="1">
      <alignment horizontal="left"/>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xf numFmtId="43" fontId="0" fillId="0" borderId="0" xfId="0" applyNumberFormat="1" applyAlignment="1">
      <alignment horizontal="center" vertical="center"/>
    </xf>
    <xf numFmtId="0" fontId="15" fillId="6" borderId="46" xfId="0" applyFont="1" applyFill="1" applyBorder="1" applyAlignment="1">
      <alignment horizontal="center" vertical="center" wrapText="1"/>
    </xf>
    <xf numFmtId="0" fontId="15" fillId="6" borderId="10" xfId="0" applyFont="1" applyFill="1" applyBorder="1" applyAlignment="1">
      <alignment horizontal="center" vertical="center"/>
    </xf>
    <xf numFmtId="4" fontId="1" fillId="0" borderId="10" xfId="0" applyNumberFormat="1" applyFont="1" applyBorder="1" applyAlignment="1">
      <alignment horizontal="center" vertical="center" wrapText="1"/>
    </xf>
    <xf numFmtId="0" fontId="15" fillId="0" borderId="1" xfId="0" applyFont="1" applyBorder="1" applyAlignment="1">
      <alignment horizontal="center" vertical="center"/>
    </xf>
    <xf numFmtId="2" fontId="0" fillId="0" borderId="0" xfId="0" applyNumberFormat="1" applyAlignment="1">
      <alignment horizontal="center" vertical="center"/>
    </xf>
    <xf numFmtId="171" fontId="1" fillId="0" borderId="0" xfId="2" applyNumberFormat="1" applyAlignment="1">
      <alignment horizontal="center" vertical="center"/>
    </xf>
    <xf numFmtId="164" fontId="2" fillId="0" borderId="0" xfId="1" applyFont="1" applyAlignment="1">
      <alignment horizontal="center" vertical="center"/>
    </xf>
    <xf numFmtId="43" fontId="2" fillId="0" borderId="0" xfId="0" applyNumberFormat="1"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left" vertical="center" wrapText="1"/>
    </xf>
    <xf numFmtId="2" fontId="0" fillId="0" borderId="0" xfId="0" applyNumberFormat="1" applyAlignment="1">
      <alignment horizontal="left" vertical="center" wrapText="1"/>
    </xf>
    <xf numFmtId="169" fontId="0" fillId="0" borderId="0" xfId="0" applyNumberFormat="1"/>
    <xf numFmtId="0" fontId="0" fillId="0" borderId="0" xfId="0" applyAlignment="1">
      <alignment horizontal="justify" vertical="justify" wrapText="1"/>
    </xf>
    <xf numFmtId="0" fontId="0" fillId="0" borderId="0" xfId="0" applyAlignment="1">
      <alignment horizontal="justify" vertical="justify"/>
    </xf>
    <xf numFmtId="0" fontId="15" fillId="6" borderId="28" xfId="0" applyFont="1" applyFill="1" applyBorder="1" applyAlignment="1">
      <alignment horizontal="center" vertical="center"/>
    </xf>
    <xf numFmtId="0" fontId="15" fillId="6" borderId="54" xfId="0" applyFont="1" applyFill="1" applyBorder="1" applyAlignment="1">
      <alignment horizontal="center" vertical="center"/>
    </xf>
    <xf numFmtId="2" fontId="0" fillId="0" borderId="70" xfId="0" applyNumberFormat="1" applyBorder="1" applyAlignment="1">
      <alignment horizontal="center" vertical="center"/>
    </xf>
    <xf numFmtId="0" fontId="40" fillId="0" borderId="59" xfId="0" applyFont="1" applyBorder="1" applyAlignment="1">
      <alignment horizontal="center" vertical="center" wrapText="1"/>
    </xf>
    <xf numFmtId="0" fontId="40" fillId="0" borderId="58" xfId="0" applyFont="1" applyBorder="1" applyAlignment="1">
      <alignment horizontal="center" vertical="center" wrapText="1"/>
    </xf>
    <xf numFmtId="2" fontId="7" fillId="15" borderId="70" xfId="0" applyNumberFormat="1" applyFont="1" applyFill="1" applyBorder="1" applyAlignment="1">
      <alignment horizontal="center" vertical="center" wrapText="1"/>
    </xf>
    <xf numFmtId="2" fontId="7" fillId="15" borderId="55" xfId="0" applyNumberFormat="1" applyFont="1" applyFill="1" applyBorder="1" applyAlignment="1">
      <alignment horizontal="center" vertical="center" wrapText="1"/>
    </xf>
    <xf numFmtId="2" fontId="7" fillId="15" borderId="71" xfId="0" applyNumberFormat="1" applyFont="1" applyFill="1" applyBorder="1" applyAlignment="1">
      <alignment horizontal="center" vertical="center" wrapText="1"/>
    </xf>
    <xf numFmtId="2" fontId="7" fillId="15" borderId="72" xfId="0" applyNumberFormat="1" applyFont="1" applyFill="1" applyBorder="1" applyAlignment="1">
      <alignment horizontal="center" vertical="center" wrapText="1"/>
    </xf>
    <xf numFmtId="2" fontId="7" fillId="15" borderId="25" xfId="0" applyNumberFormat="1" applyFont="1" applyFill="1" applyBorder="1" applyAlignment="1">
      <alignment horizontal="center" vertical="center" wrapText="1"/>
    </xf>
    <xf numFmtId="2" fontId="7" fillId="15" borderId="8" xfId="0" applyNumberFormat="1" applyFont="1" applyFill="1" applyBorder="1" applyAlignment="1">
      <alignment horizontal="center" vertical="center" wrapText="1"/>
    </xf>
    <xf numFmtId="2" fontId="7" fillId="12" borderId="73" xfId="0" applyNumberFormat="1" applyFont="1" applyFill="1" applyBorder="1" applyAlignment="1">
      <alignment horizontal="center" vertical="center" wrapText="1"/>
    </xf>
    <xf numFmtId="2" fontId="7" fillId="12" borderId="3" xfId="0" applyNumberFormat="1" applyFont="1" applyFill="1" applyBorder="1" applyAlignment="1">
      <alignment horizontal="center" vertical="center" wrapText="1"/>
    </xf>
    <xf numFmtId="2" fontId="7" fillId="12" borderId="27" xfId="0" applyNumberFormat="1" applyFont="1" applyFill="1" applyBorder="1" applyAlignment="1">
      <alignment horizontal="center" vertical="center" wrapText="1"/>
    </xf>
    <xf numFmtId="2" fontId="7" fillId="12" borderId="4" xfId="0" applyNumberFormat="1" applyFont="1" applyFill="1" applyBorder="1" applyAlignment="1">
      <alignment horizontal="center" vertical="center" wrapText="1"/>
    </xf>
    <xf numFmtId="0" fontId="0" fillId="0" borderId="1" xfId="0" applyBorder="1" applyAlignment="1">
      <alignment horizontal="left" vertical="center" wrapText="1"/>
    </xf>
    <xf numFmtId="0" fontId="46" fillId="0" borderId="1" xfId="0" applyFont="1" applyBorder="1" applyAlignment="1">
      <alignment horizontal="center" vertical="center" wrapText="1"/>
    </xf>
    <xf numFmtId="169" fontId="0" fillId="0" borderId="1" xfId="0" applyNumberFormat="1" applyBorder="1" applyAlignment="1">
      <alignment horizontal="right" vertical="center"/>
    </xf>
    <xf numFmtId="0" fontId="0" fillId="0" borderId="1" xfId="0" quotePrefix="1" applyBorder="1" applyAlignment="1">
      <alignment horizontal="center" vertical="center" wrapText="1"/>
    </xf>
    <xf numFmtId="0" fontId="0" fillId="0" borderId="5" xfId="0" applyBorder="1" applyAlignment="1">
      <alignment horizontal="center" vertical="center"/>
    </xf>
    <xf numFmtId="43" fontId="0" fillId="0" borderId="1" xfId="0" applyNumberFormat="1" applyBorder="1" applyAlignment="1">
      <alignment horizontal="center" vertical="center"/>
    </xf>
    <xf numFmtId="0" fontId="2" fillId="0" borderId="2" xfId="0" applyFont="1" applyBorder="1" applyAlignment="1">
      <alignment horizontal="center" vertical="center" wrapText="1"/>
    </xf>
    <xf numFmtId="0" fontId="2" fillId="0" borderId="46" xfId="0" applyFont="1" applyBorder="1" applyAlignment="1">
      <alignment horizontal="center" vertical="center" wrapText="1"/>
    </xf>
    <xf numFmtId="0" fontId="14" fillId="0" borderId="46" xfId="0" applyFont="1" applyBorder="1" applyAlignment="1">
      <alignment horizontal="center" vertical="center" wrapText="1"/>
    </xf>
    <xf numFmtId="0" fontId="2" fillId="0" borderId="3" xfId="0" applyFont="1" applyBorder="1" applyAlignment="1">
      <alignment horizontal="center" vertical="center" wrapText="1"/>
    </xf>
    <xf numFmtId="169" fontId="0" fillId="0" borderId="4" xfId="0" applyNumberFormat="1" applyBorder="1" applyAlignment="1">
      <alignment horizontal="right" vertical="center"/>
    </xf>
    <xf numFmtId="0" fontId="0" fillId="0" borderId="47" xfId="0" applyBorder="1" applyAlignment="1">
      <alignment horizontal="center" vertical="center"/>
    </xf>
    <xf numFmtId="169" fontId="0" fillId="0" borderId="7" xfId="0" applyNumberFormat="1" applyBorder="1" applyAlignment="1">
      <alignment horizontal="center" vertical="center"/>
    </xf>
    <xf numFmtId="166" fontId="13" fillId="0" borderId="1" xfId="0" applyNumberFormat="1" applyFont="1" applyBorder="1" applyAlignment="1">
      <alignment horizontal="center" vertical="center"/>
    </xf>
    <xf numFmtId="0" fontId="46" fillId="9" borderId="32" xfId="0" applyFont="1" applyFill="1" applyBorder="1" applyAlignment="1">
      <alignment vertical="center"/>
    </xf>
    <xf numFmtId="0" fontId="46" fillId="0" borderId="0" xfId="0" applyFont="1" applyAlignment="1">
      <alignment vertical="center"/>
    </xf>
    <xf numFmtId="0" fontId="46" fillId="9" borderId="20" xfId="0" applyFont="1" applyFill="1" applyBorder="1" applyAlignment="1">
      <alignment vertical="center"/>
    </xf>
    <xf numFmtId="0" fontId="0" fillId="10" borderId="12" xfId="0" applyFill="1" applyBorder="1" applyAlignment="1">
      <alignment vertical="center"/>
    </xf>
    <xf numFmtId="0" fontId="1" fillId="0" borderId="38" xfId="0" applyFont="1" applyBorder="1" applyAlignment="1">
      <alignment horizontal="center"/>
    </xf>
    <xf numFmtId="0" fontId="1" fillId="0" borderId="42" xfId="0" applyFont="1" applyBorder="1" applyAlignment="1">
      <alignment horizontal="center"/>
    </xf>
    <xf numFmtId="0" fontId="1" fillId="0" borderId="38" xfId="0" applyFont="1" applyBorder="1" applyAlignment="1">
      <alignment horizontal="left"/>
    </xf>
    <xf numFmtId="0" fontId="1" fillId="0" borderId="42" xfId="0" applyFont="1" applyBorder="1" applyAlignment="1">
      <alignment horizontal="left"/>
    </xf>
    <xf numFmtId="0" fontId="2" fillId="4" borderId="4" xfId="0" applyFont="1" applyFill="1" applyBorder="1" applyAlignment="1">
      <alignment horizontal="center"/>
    </xf>
    <xf numFmtId="0" fontId="1" fillId="0" borderId="5" xfId="0" applyFont="1" applyBorder="1" applyAlignment="1">
      <alignment horizontal="center"/>
    </xf>
    <xf numFmtId="14" fontId="0" fillId="10" borderId="4" xfId="0" applyNumberFormat="1" applyFill="1" applyBorder="1" applyAlignment="1">
      <alignment horizontal="center"/>
    </xf>
    <xf numFmtId="0" fontId="0" fillId="10" borderId="4" xfId="0" applyFill="1" applyBorder="1" applyAlignment="1">
      <alignment horizontal="center"/>
    </xf>
    <xf numFmtId="0" fontId="1" fillId="10" borderId="4" xfId="0" applyFont="1" applyFill="1" applyBorder="1" applyAlignment="1">
      <alignment horizontal="center"/>
    </xf>
    <xf numFmtId="0" fontId="2" fillId="0" borderId="5" xfId="0" applyFont="1" applyBorder="1" applyAlignment="1">
      <alignment horizontal="center"/>
    </xf>
    <xf numFmtId="0" fontId="2" fillId="0" borderId="4" xfId="0" applyFont="1" applyBorder="1" applyAlignment="1">
      <alignment horizontal="center"/>
    </xf>
    <xf numFmtId="0" fontId="0" fillId="0" borderId="38" xfId="0" applyBorder="1" applyAlignment="1">
      <alignment horizontal="center" wrapText="1"/>
    </xf>
    <xf numFmtId="0" fontId="1" fillId="0" borderId="42" xfId="0" applyFont="1" applyBorder="1" applyAlignment="1">
      <alignment horizontal="center" vertical="center"/>
    </xf>
    <xf numFmtId="0" fontId="0" fillId="0" borderId="38" xfId="0" applyBorder="1" applyAlignment="1">
      <alignment horizontal="left" vertical="center"/>
    </xf>
    <xf numFmtId="0" fontId="9" fillId="0" borderId="38" xfId="0" applyFont="1" applyBorder="1" applyAlignment="1">
      <alignment vertical="center"/>
    </xf>
    <xf numFmtId="0" fontId="1" fillId="0" borderId="42" xfId="0" applyFont="1" applyBorder="1" applyAlignment="1">
      <alignment horizontal="right" vertical="center"/>
    </xf>
    <xf numFmtId="0" fontId="2" fillId="0" borderId="38" xfId="0" applyFont="1" applyBorder="1" applyAlignment="1">
      <alignment horizontal="left" vertical="center"/>
    </xf>
    <xf numFmtId="0" fontId="1" fillId="0" borderId="5" xfId="0" applyFont="1" applyBorder="1" applyAlignment="1">
      <alignment horizontal="center" vertical="center"/>
    </xf>
    <xf numFmtId="0" fontId="1" fillId="0" borderId="4" xfId="0" applyFont="1" applyBorder="1" applyAlignment="1">
      <alignment horizontal="center" vertical="center" wrapText="1"/>
    </xf>
    <xf numFmtId="0" fontId="0" fillId="0" borderId="4" xfId="0" applyBorder="1" applyAlignment="1">
      <alignment horizontal="center"/>
    </xf>
    <xf numFmtId="169" fontId="1" fillId="10" borderId="4" xfId="1" applyNumberFormat="1" applyFill="1" applyBorder="1" applyAlignment="1">
      <alignment horizontal="center"/>
    </xf>
    <xf numFmtId="0" fontId="0" fillId="17" borderId="4" xfId="0" applyFill="1" applyBorder="1" applyAlignment="1">
      <alignment horizontal="center" vertical="center" wrapText="1"/>
    </xf>
    <xf numFmtId="14" fontId="1" fillId="0" borderId="42" xfId="0" applyNumberFormat="1" applyFont="1" applyBorder="1" applyAlignment="1">
      <alignment horizontal="center"/>
    </xf>
    <xf numFmtId="4" fontId="0" fillId="0" borderId="4" xfId="0" applyNumberFormat="1" applyBorder="1"/>
    <xf numFmtId="4" fontId="2" fillId="4" borderId="4" xfId="0" applyNumberFormat="1" applyFont="1" applyFill="1" applyBorder="1"/>
    <xf numFmtId="0" fontId="2" fillId="0" borderId="38" xfId="0" applyFont="1" applyBorder="1" applyAlignment="1">
      <alignment horizontal="center"/>
    </xf>
    <xf numFmtId="0" fontId="2" fillId="0" borderId="5" xfId="0" applyFont="1" applyBorder="1" applyAlignment="1">
      <alignment horizontal="center" vertical="center"/>
    </xf>
    <xf numFmtId="2" fontId="2" fillId="4" borderId="4" xfId="0" applyNumberFormat="1" applyFont="1" applyFill="1" applyBorder="1"/>
    <xf numFmtId="0" fontId="2" fillId="0" borderId="75" xfId="0" applyFont="1" applyBorder="1"/>
    <xf numFmtId="0" fontId="2" fillId="4" borderId="5" xfId="0" applyFont="1" applyFill="1" applyBorder="1" applyAlignment="1">
      <alignment horizontal="center" vertical="center"/>
    </xf>
    <xf numFmtId="2" fontId="0" fillId="0" borderId="4" xfId="0" applyNumberFormat="1" applyBorder="1" applyAlignment="1">
      <alignment horizontal="right"/>
    </xf>
    <xf numFmtId="2" fontId="0" fillId="0" borderId="4" xfId="0" applyNumberFormat="1" applyBorder="1" applyAlignment="1">
      <alignment horizontal="right" vertical="center"/>
    </xf>
    <xf numFmtId="0" fontId="2" fillId="4" borderId="4" xfId="0" applyFont="1" applyFill="1" applyBorder="1"/>
    <xf numFmtId="2" fontId="13" fillId="4" borderId="4" xfId="0" applyNumberFormat="1" applyFont="1" applyFill="1" applyBorder="1"/>
    <xf numFmtId="0" fontId="2" fillId="0" borderId="42" xfId="0" applyFont="1" applyBorder="1" applyAlignment="1">
      <alignment horizontal="center"/>
    </xf>
    <xf numFmtId="0" fontId="2" fillId="2" borderId="5" xfId="0" applyFont="1" applyFill="1" applyBorder="1" applyAlignment="1">
      <alignment horizontal="center"/>
    </xf>
    <xf numFmtId="0" fontId="2" fillId="0" borderId="38" xfId="0" applyFont="1" applyBorder="1" applyAlignment="1">
      <alignment vertical="center"/>
    </xf>
    <xf numFmtId="0" fontId="2" fillId="0" borderId="42" xfId="0" applyFont="1" applyBorder="1" applyAlignment="1">
      <alignment vertical="center"/>
    </xf>
    <xf numFmtId="0" fontId="3" fillId="0" borderId="38" xfId="0" applyFont="1" applyBorder="1" applyAlignment="1">
      <alignment vertical="center"/>
    </xf>
    <xf numFmtId="2" fontId="1" fillId="0" borderId="4" xfId="0" applyNumberFormat="1" applyFont="1" applyBorder="1"/>
    <xf numFmtId="2" fontId="0" fillId="0" borderId="4" xfId="0" applyNumberFormat="1" applyBorder="1" applyAlignment="1">
      <alignment horizontal="center"/>
    </xf>
    <xf numFmtId="0" fontId="1" fillId="0" borderId="42" xfId="0" applyFont="1" applyBorder="1"/>
    <xf numFmtId="0" fontId="0" fillId="0" borderId="5" xfId="0" applyBorder="1" applyAlignment="1">
      <alignment horizontal="center"/>
    </xf>
    <xf numFmtId="2" fontId="2" fillId="0" borderId="4" xfId="0" applyNumberFormat="1" applyFont="1" applyBorder="1"/>
    <xf numFmtId="2" fontId="13" fillId="4" borderId="7" xfId="0" applyNumberFormat="1" applyFont="1" applyFill="1" applyBorder="1"/>
    <xf numFmtId="2" fontId="46" fillId="9" borderId="13" xfId="0" applyNumberFormat="1" applyFont="1" applyFill="1" applyBorder="1" applyAlignment="1">
      <alignment horizontal="right" vertical="center"/>
    </xf>
    <xf numFmtId="172" fontId="0" fillId="0" borderId="0" xfId="0" applyNumberFormat="1"/>
    <xf numFmtId="173" fontId="0" fillId="0" borderId="0" xfId="0" applyNumberFormat="1"/>
    <xf numFmtId="0" fontId="46" fillId="9" borderId="22" xfId="0" applyFont="1" applyFill="1" applyBorder="1" applyAlignment="1">
      <alignment vertical="center"/>
    </xf>
    <xf numFmtId="0" fontId="46" fillId="9" borderId="31" xfId="0" applyFont="1" applyFill="1" applyBorder="1" applyAlignment="1">
      <alignment vertical="center"/>
    </xf>
    <xf numFmtId="174" fontId="0" fillId="0" borderId="1" xfId="0" applyNumberFormat="1" applyBorder="1" applyAlignment="1">
      <alignment horizontal="center" vertical="center"/>
    </xf>
    <xf numFmtId="174" fontId="13" fillId="0" borderId="1" xfId="0" applyNumberFormat="1" applyFont="1" applyBorder="1" applyAlignment="1">
      <alignment horizontal="center" vertical="center"/>
    </xf>
    <xf numFmtId="0" fontId="0" fillId="0" borderId="1" xfId="0" applyBorder="1" applyAlignment="1">
      <alignment vertical="center"/>
    </xf>
    <xf numFmtId="0" fontId="0" fillId="10" borderId="1" xfId="0" applyFill="1" applyBorder="1" applyAlignment="1">
      <alignment horizontal="center" vertical="center" wrapText="1"/>
    </xf>
    <xf numFmtId="0" fontId="46" fillId="9" borderId="21" xfId="0" applyFont="1" applyFill="1" applyBorder="1" applyAlignment="1">
      <alignment horizontal="center" vertical="center"/>
    </xf>
    <xf numFmtId="0" fontId="0" fillId="10" borderId="1" xfId="0" quotePrefix="1" applyFill="1" applyBorder="1" applyAlignment="1">
      <alignment horizontal="right" vertical="center" wrapText="1"/>
    </xf>
    <xf numFmtId="43" fontId="0" fillId="10" borderId="1" xfId="0" applyNumberFormat="1" applyFill="1" applyBorder="1" applyAlignment="1">
      <alignment horizontal="right" vertical="center"/>
    </xf>
    <xf numFmtId="0" fontId="0" fillId="10" borderId="71" xfId="0" applyFill="1" applyBorder="1" applyAlignment="1">
      <alignment horizontal="center" vertical="center"/>
    </xf>
    <xf numFmtId="4" fontId="1" fillId="0" borderId="77" xfId="0" applyNumberFormat="1" applyFont="1" applyBorder="1" applyAlignment="1">
      <alignment horizontal="center" vertical="center" wrapText="1"/>
    </xf>
    <xf numFmtId="1" fontId="7" fillId="10" borderId="77" xfId="0" applyNumberFormat="1" applyFont="1" applyFill="1" applyBorder="1" applyAlignment="1">
      <alignment horizontal="center" vertical="center" wrapText="1"/>
    </xf>
    <xf numFmtId="1" fontId="7" fillId="10" borderId="10"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51" fillId="3" borderId="1" xfId="0" applyNumberFormat="1" applyFont="1" applyFill="1" applyBorder="1" applyAlignment="1">
      <alignment horizontal="center" vertical="center" wrapText="1"/>
    </xf>
    <xf numFmtId="1" fontId="52" fillId="10" borderId="1" xfId="0" applyNumberFormat="1" applyFont="1" applyFill="1" applyBorder="1" applyAlignment="1">
      <alignment horizontal="center" vertical="center" wrapText="1"/>
    </xf>
    <xf numFmtId="2" fontId="15" fillId="0" borderId="1" xfId="0" applyNumberFormat="1" applyFont="1" applyBorder="1" applyAlignment="1">
      <alignment horizontal="center" vertical="center"/>
    </xf>
    <xf numFmtId="2" fontId="15" fillId="0" borderId="10" xfId="0" applyNumberFormat="1" applyFont="1" applyBorder="1" applyAlignment="1">
      <alignment horizontal="center" vertical="center"/>
    </xf>
    <xf numFmtId="0" fontId="18" fillId="6" borderId="70" xfId="0" applyFont="1" applyFill="1" applyBorder="1" applyAlignment="1">
      <alignment horizontal="center" vertical="center" wrapText="1"/>
    </xf>
    <xf numFmtId="0" fontId="17" fillId="6" borderId="70" xfId="0" applyFont="1" applyFill="1" applyBorder="1" applyAlignment="1">
      <alignment horizontal="center" vertical="center" wrapText="1"/>
    </xf>
    <xf numFmtId="0" fontId="17" fillId="6" borderId="70" xfId="0" applyFont="1" applyFill="1" applyBorder="1" applyAlignment="1">
      <alignment horizontal="center" vertical="center"/>
    </xf>
    <xf numFmtId="0" fontId="15" fillId="6" borderId="70" xfId="0" applyFont="1" applyFill="1" applyBorder="1" applyAlignment="1">
      <alignment horizontal="center" vertical="center"/>
    </xf>
    <xf numFmtId="1" fontId="7" fillId="10" borderId="70" xfId="0" applyNumberFormat="1" applyFont="1" applyFill="1" applyBorder="1" applyAlignment="1">
      <alignment horizontal="center" vertical="center"/>
    </xf>
    <xf numFmtId="0" fontId="0" fillId="0" borderId="70" xfId="0" applyBorder="1" applyAlignment="1">
      <alignment horizontal="center" vertical="center"/>
    </xf>
    <xf numFmtId="2" fontId="7" fillId="0" borderId="70" xfId="0" applyNumberFormat="1" applyFont="1" applyBorder="1" applyAlignment="1">
      <alignment horizontal="center" vertical="center"/>
    </xf>
    <xf numFmtId="0" fontId="44" fillId="0" borderId="1" xfId="0" applyFont="1" applyBorder="1" applyAlignment="1">
      <alignment horizontal="justify" vertical="center"/>
    </xf>
    <xf numFmtId="4" fontId="0" fillId="0" borderId="1" xfId="0" applyNumberFormat="1" applyBorder="1" applyAlignment="1">
      <alignment vertical="center" wrapText="1"/>
    </xf>
    <xf numFmtId="0" fontId="53" fillId="0" borderId="1" xfId="0" applyFont="1" applyBorder="1" applyAlignment="1">
      <alignment horizontal="center" vertical="center"/>
    </xf>
    <xf numFmtId="0" fontId="53" fillId="0" borderId="46" xfId="0" applyFont="1" applyBorder="1" applyAlignment="1">
      <alignment horizontal="center" vertical="center"/>
    </xf>
    <xf numFmtId="0" fontId="53" fillId="10" borderId="46" xfId="0" applyFont="1" applyFill="1" applyBorder="1" applyAlignment="1">
      <alignment horizontal="center" vertical="center"/>
    </xf>
    <xf numFmtId="0" fontId="53" fillId="10" borderId="1" xfId="0" applyFont="1" applyFill="1" applyBorder="1" applyAlignment="1">
      <alignment horizontal="center" vertical="center"/>
    </xf>
    <xf numFmtId="0" fontId="1" fillId="10" borderId="70" xfId="0" applyFont="1" applyFill="1" applyBorder="1" applyAlignment="1">
      <alignment horizontal="center" vertical="center" wrapText="1"/>
    </xf>
    <xf numFmtId="0" fontId="54" fillId="0" borderId="62" xfId="10" applyBorder="1" applyAlignment="1">
      <alignment horizontal="left" vertical="center" wrapText="1"/>
    </xf>
    <xf numFmtId="4" fontId="1" fillId="0" borderId="62" xfId="0" applyNumberFormat="1" applyFont="1" applyBorder="1" applyAlignment="1">
      <alignment horizontal="center" vertical="center" wrapText="1"/>
    </xf>
    <xf numFmtId="2" fontId="0" fillId="0" borderId="4" xfId="0" applyNumberFormat="1" applyBorder="1" applyAlignment="1">
      <alignment horizontal="center" vertical="center"/>
    </xf>
    <xf numFmtId="2" fontId="13" fillId="0" borderId="7" xfId="0" applyNumberFormat="1" applyFont="1" applyBorder="1" applyAlignment="1">
      <alignment horizontal="center" vertical="center"/>
    </xf>
    <xf numFmtId="0" fontId="2" fillId="0" borderId="25" xfId="0" applyFont="1" applyBorder="1" applyAlignment="1">
      <alignment wrapText="1"/>
    </xf>
    <xf numFmtId="0" fontId="5" fillId="0" borderId="0" xfId="0" applyFont="1" applyAlignment="1">
      <alignment horizontal="center" vertical="center" wrapText="1"/>
    </xf>
    <xf numFmtId="44" fontId="2" fillId="0" borderId="46" xfId="0" applyNumberFormat="1" applyFont="1" applyBorder="1" applyAlignment="1">
      <alignment horizontal="center"/>
    </xf>
    <xf numFmtId="44" fontId="2" fillId="0" borderId="3" xfId="0" applyNumberFormat="1" applyFont="1" applyBorder="1" applyAlignment="1">
      <alignment horizontal="center"/>
    </xf>
    <xf numFmtId="44" fontId="2" fillId="0" borderId="4" xfId="0" applyNumberFormat="1" applyFont="1" applyBorder="1"/>
    <xf numFmtId="44" fontId="2" fillId="0" borderId="4" xfId="0" applyNumberFormat="1" applyFont="1" applyBorder="1" applyAlignment="1">
      <alignment horizontal="center"/>
    </xf>
    <xf numFmtId="0" fontId="0" fillId="0" borderId="4" xfId="0" applyBorder="1" applyAlignment="1">
      <alignment horizontal="center" vertical="center"/>
    </xf>
    <xf numFmtId="0" fontId="44" fillId="19" borderId="46" xfId="0" applyFont="1" applyFill="1" applyBorder="1" applyAlignment="1">
      <alignment horizontal="justify" vertical="center"/>
    </xf>
    <xf numFmtId="0" fontId="44" fillId="19" borderId="1" xfId="0" applyFont="1" applyFill="1" applyBorder="1" applyAlignment="1">
      <alignment horizontal="justify" vertical="center"/>
    </xf>
    <xf numFmtId="0" fontId="0" fillId="19" borderId="1" xfId="0" applyFill="1" applyBorder="1" applyAlignment="1">
      <alignment vertical="center" wrapText="1"/>
    </xf>
    <xf numFmtId="0" fontId="44" fillId="0" borderId="1" xfId="0" applyFont="1" applyBorder="1"/>
    <xf numFmtId="0" fontId="0" fillId="0" borderId="1" xfId="0" applyBorder="1" applyAlignment="1">
      <alignment vertical="center" wrapText="1"/>
    </xf>
    <xf numFmtId="0" fontId="44" fillId="0" borderId="1" xfId="0" applyFont="1" applyBorder="1" applyAlignment="1">
      <alignment horizontal="justify" vertical="center" wrapText="1"/>
    </xf>
    <xf numFmtId="0" fontId="55" fillId="0" borderId="1" xfId="0" applyFont="1" applyBorder="1" applyAlignment="1">
      <alignment horizontal="justify" vertical="center" wrapText="1"/>
    </xf>
    <xf numFmtId="0" fontId="55" fillId="0" borderId="46" xfId="0" applyFont="1" applyBorder="1" applyAlignment="1">
      <alignment horizontal="justify" vertical="center" wrapText="1"/>
    </xf>
    <xf numFmtId="0" fontId="55" fillId="0" borderId="1" xfId="0" applyFont="1" applyBorder="1" applyAlignment="1">
      <alignment vertical="center" wrapText="1"/>
    </xf>
    <xf numFmtId="0" fontId="2" fillId="0" borderId="1" xfId="0" applyFont="1" applyBorder="1" applyAlignment="1">
      <alignment vertical="center" wrapText="1"/>
    </xf>
    <xf numFmtId="0" fontId="2" fillId="0" borderId="70" xfId="0" applyFont="1" applyBorder="1" applyAlignment="1">
      <alignment vertical="center" wrapText="1"/>
    </xf>
    <xf numFmtId="0" fontId="36" fillId="0" borderId="70" xfId="0" applyFont="1" applyBorder="1" applyAlignment="1">
      <alignment vertical="center" wrapText="1"/>
    </xf>
    <xf numFmtId="0" fontId="15" fillId="19" borderId="1" xfId="0" applyFont="1" applyFill="1" applyBorder="1" applyAlignment="1">
      <alignment horizontal="center" vertical="center"/>
    </xf>
    <xf numFmtId="0" fontId="0" fillId="0" borderId="10" xfId="0" applyBorder="1" applyAlignment="1">
      <alignment horizontal="center" vertical="center"/>
    </xf>
    <xf numFmtId="8" fontId="0" fillId="0" borderId="0" xfId="0" applyNumberFormat="1"/>
    <xf numFmtId="8" fontId="15" fillId="19" borderId="46" xfId="0" applyNumberFormat="1" applyFont="1" applyFill="1" applyBorder="1" applyAlignment="1">
      <alignment horizontal="center" vertical="center"/>
    </xf>
    <xf numFmtId="8" fontId="15" fillId="0" borderId="46" xfId="0" applyNumberFormat="1" applyFont="1" applyBorder="1" applyAlignment="1">
      <alignment horizontal="center" vertical="center"/>
    </xf>
    <xf numFmtId="8" fontId="0" fillId="19" borderId="1" xfId="0" applyNumberFormat="1" applyFill="1" applyBorder="1" applyAlignment="1">
      <alignment horizontal="center" vertical="center"/>
    </xf>
    <xf numFmtId="8" fontId="15" fillId="19" borderId="1" xfId="0" applyNumberFormat="1" applyFont="1" applyFill="1" applyBorder="1" applyAlignment="1">
      <alignment horizontal="center" vertical="center"/>
    </xf>
    <xf numFmtId="8" fontId="0" fillId="0" borderId="1" xfId="0" applyNumberFormat="1" applyBorder="1" applyAlignment="1">
      <alignment horizontal="center" vertical="center"/>
    </xf>
    <xf numFmtId="8" fontId="15" fillId="0" borderId="1" xfId="0" applyNumberFormat="1" applyFont="1" applyBorder="1" applyAlignment="1">
      <alignment horizontal="center" vertical="center"/>
    </xf>
    <xf numFmtId="8" fontId="0" fillId="0" borderId="0" xfId="0" applyNumberFormat="1" applyAlignment="1">
      <alignment horizontal="right" vertical="center"/>
    </xf>
    <xf numFmtId="8" fontId="0" fillId="19" borderId="10" xfId="0" applyNumberFormat="1" applyFill="1" applyBorder="1" applyAlignment="1">
      <alignment horizontal="center" vertical="center"/>
    </xf>
    <xf numFmtId="8" fontId="0" fillId="0" borderId="10" xfId="0" applyNumberFormat="1" applyBorder="1" applyAlignment="1">
      <alignment horizontal="center" vertical="center"/>
    </xf>
    <xf numFmtId="8" fontId="15" fillId="0" borderId="10" xfId="0" applyNumberFormat="1" applyFont="1" applyBorder="1" applyAlignment="1">
      <alignment horizontal="center" vertical="center"/>
    </xf>
    <xf numFmtId="8" fontId="0" fillId="0" borderId="70" xfId="0" applyNumberFormat="1" applyBorder="1" applyAlignment="1">
      <alignment horizontal="center" vertical="center"/>
    </xf>
    <xf numFmtId="8" fontId="15" fillId="0" borderId="41" xfId="0" applyNumberFormat="1" applyFont="1" applyBorder="1" applyAlignment="1">
      <alignment horizontal="center" vertical="center"/>
    </xf>
    <xf numFmtId="0" fontId="46" fillId="10" borderId="21" xfId="0" applyFont="1" applyFill="1" applyBorder="1" applyAlignment="1">
      <alignment horizontal="center" vertical="center"/>
    </xf>
    <xf numFmtId="169" fontId="0" fillId="0" borderId="25" xfId="0" applyNumberFormat="1" applyBorder="1" applyAlignment="1">
      <alignment horizontal="center" vertical="center"/>
    </xf>
    <xf numFmtId="169" fontId="13" fillId="0" borderId="25" xfId="0" applyNumberFormat="1" applyFont="1" applyBorder="1" applyAlignment="1">
      <alignment horizontal="center" vertical="center"/>
    </xf>
    <xf numFmtId="2" fontId="36" fillId="10" borderId="1" xfId="0" applyNumberFormat="1" applyFont="1" applyFill="1" applyBorder="1" applyAlignment="1">
      <alignment horizontal="center" vertical="center"/>
    </xf>
    <xf numFmtId="0" fontId="44" fillId="0" borderId="1" xfId="0" applyFont="1" applyBorder="1" applyAlignment="1">
      <alignment horizontal="left" vertical="center" wrapText="1"/>
    </xf>
    <xf numFmtId="0" fontId="53" fillId="0" borderId="70" xfId="0" applyFont="1" applyBorder="1" applyAlignment="1">
      <alignment horizontal="center" vertical="center"/>
    </xf>
    <xf numFmtId="8" fontId="15" fillId="0" borderId="62" xfId="0" applyNumberFormat="1" applyFont="1" applyBorder="1" applyAlignment="1">
      <alignment horizontal="center" vertical="center"/>
    </xf>
    <xf numFmtId="2" fontId="0" fillId="0" borderId="10" xfId="0" applyNumberFormat="1" applyBorder="1" applyAlignment="1">
      <alignment horizontal="center" vertical="center"/>
    </xf>
    <xf numFmtId="2" fontId="7" fillId="15" borderId="70" xfId="0" applyNumberFormat="1" applyFont="1" applyFill="1" applyBorder="1" applyAlignment="1">
      <alignment horizontal="center" vertical="center"/>
    </xf>
    <xf numFmtId="0" fontId="53" fillId="0" borderId="1" xfId="0" applyFont="1" applyBorder="1" applyAlignment="1">
      <alignment horizontal="center" vertical="center" wrapText="1"/>
    </xf>
    <xf numFmtId="0" fontId="44" fillId="0" borderId="1" xfId="0" applyFont="1" applyBorder="1" applyAlignment="1">
      <alignment horizontal="center" vertical="center" wrapText="1"/>
    </xf>
    <xf numFmtId="169" fontId="15" fillId="3" borderId="1" xfId="0" applyNumberFormat="1" applyFont="1" applyFill="1" applyBorder="1" applyAlignment="1">
      <alignment horizontal="center" vertical="center"/>
    </xf>
    <xf numFmtId="169" fontId="15" fillId="0" borderId="1" xfId="0" applyNumberFormat="1" applyFont="1" applyBorder="1" applyAlignment="1">
      <alignment horizontal="center" vertical="center"/>
    </xf>
    <xf numFmtId="0" fontId="57" fillId="10" borderId="1" xfId="0" applyFont="1" applyFill="1" applyBorder="1" applyAlignment="1">
      <alignment horizontal="center" vertical="center"/>
    </xf>
    <xf numFmtId="2" fontId="0" fillId="10" borderId="1" xfId="0" quotePrefix="1" applyNumberFormat="1" applyFill="1" applyBorder="1" applyAlignment="1">
      <alignment horizontal="right" vertical="center" wrapText="1"/>
    </xf>
    <xf numFmtId="0" fontId="0" fillId="0" borderId="0" xfId="0" applyAlignment="1">
      <alignment horizontal="justify" vertical="center" wrapText="1"/>
    </xf>
    <xf numFmtId="8" fontId="15" fillId="19" borderId="1" xfId="0" applyNumberFormat="1" applyFont="1" applyFill="1" applyBorder="1"/>
    <xf numFmtId="0" fontId="0" fillId="10" borderId="12" xfId="0" applyFill="1" applyBorder="1" applyAlignment="1">
      <alignment horizontal="right" vertical="center"/>
    </xf>
    <xf numFmtId="2" fontId="46" fillId="9" borderId="13" xfId="0" applyNumberFormat="1" applyFont="1" applyFill="1" applyBorder="1" applyAlignment="1">
      <alignment vertical="center"/>
    </xf>
    <xf numFmtId="10" fontId="1" fillId="0" borderId="1" xfId="2" applyNumberFormat="1" applyBorder="1" applyAlignment="1">
      <alignment horizontal="center" vertical="center"/>
    </xf>
    <xf numFmtId="4" fontId="0" fillId="0" borderId="4" xfId="0" applyNumberFormat="1" applyBorder="1" applyAlignment="1">
      <alignment vertical="center"/>
    </xf>
    <xf numFmtId="0" fontId="5" fillId="0" borderId="0" xfId="0" applyFont="1" applyAlignment="1">
      <alignment vertical="center"/>
    </xf>
    <xf numFmtId="0" fontId="2" fillId="2" borderId="5" xfId="0" applyFont="1" applyFill="1" applyBorder="1" applyAlignment="1">
      <alignment horizontal="center" vertical="center"/>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5" xfId="0" applyBorder="1" applyAlignment="1">
      <alignment horizontal="center" vertical="center"/>
    </xf>
    <xf numFmtId="43" fontId="2" fillId="0" borderId="6" xfId="0" applyNumberFormat="1" applyFont="1" applyBorder="1" applyAlignment="1">
      <alignment horizontal="center" vertical="center"/>
    </xf>
    <xf numFmtId="43" fontId="2" fillId="0" borderId="47" xfId="0" applyNumberFormat="1" applyFont="1" applyBorder="1" applyAlignment="1">
      <alignment horizontal="center" vertical="center"/>
    </xf>
    <xf numFmtId="0" fontId="47" fillId="16" borderId="1" xfId="0" applyFont="1" applyFill="1" applyBorder="1" applyAlignment="1">
      <alignment horizontal="center" vertical="center"/>
    </xf>
    <xf numFmtId="0" fontId="47" fillId="16" borderId="4" xfId="0" applyFont="1" applyFill="1" applyBorder="1" applyAlignment="1">
      <alignment horizontal="center" vertic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44" fillId="10" borderId="5" xfId="0" applyFont="1" applyFill="1" applyBorder="1" applyAlignment="1">
      <alignment horizontal="left" vertical="center"/>
    </xf>
    <xf numFmtId="0" fontId="0" fillId="10" borderId="1" xfId="0" applyFill="1" applyBorder="1" applyAlignment="1">
      <alignment horizontal="left" vertical="center"/>
    </xf>
    <xf numFmtId="0" fontId="0" fillId="10" borderId="5" xfId="0" applyFill="1" applyBorder="1" applyAlignment="1">
      <alignment horizontal="left" vertical="center"/>
    </xf>
    <xf numFmtId="0" fontId="0" fillId="0" borderId="1" xfId="0" applyBorder="1" applyAlignment="1">
      <alignment horizontal="left"/>
    </xf>
    <xf numFmtId="0" fontId="1" fillId="0" borderId="1" xfId="0" applyFont="1" applyBorder="1" applyAlignment="1">
      <alignment horizontal="left"/>
    </xf>
    <xf numFmtId="0" fontId="2" fillId="4" borderId="5" xfId="0" applyFont="1" applyFill="1" applyBorder="1" applyAlignment="1">
      <alignment horizontal="center"/>
    </xf>
    <xf numFmtId="0" fontId="2" fillId="4" borderId="1" xfId="0" applyFont="1" applyFill="1" applyBorder="1" applyAlignment="1">
      <alignment horizontal="center"/>
    </xf>
    <xf numFmtId="0" fontId="2" fillId="4" borderId="4" xfId="0" applyFont="1" applyFill="1" applyBorder="1" applyAlignment="1">
      <alignment horizontal="center"/>
    </xf>
    <xf numFmtId="0" fontId="0" fillId="0" borderId="5"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1" fillId="0" borderId="26" xfId="0" applyFont="1" applyBorder="1" applyAlignment="1">
      <alignment horizontal="center" vertical="center" wrapText="1"/>
    </xf>
    <xf numFmtId="0" fontId="0" fillId="10" borderId="70" xfId="0" applyFill="1" applyBorder="1" applyAlignment="1">
      <alignment horizontal="center" vertical="center"/>
    </xf>
    <xf numFmtId="0" fontId="1" fillId="0" borderId="1" xfId="0" applyFont="1" applyBorder="1" applyAlignment="1">
      <alignment horizontal="left" vertical="center"/>
    </xf>
    <xf numFmtId="0" fontId="2" fillId="0" borderId="5" xfId="0" applyFont="1" applyBorder="1" applyAlignment="1">
      <alignment horizontal="center"/>
    </xf>
    <xf numFmtId="0" fontId="2" fillId="0" borderId="1" xfId="0" applyFont="1" applyBorder="1" applyAlignment="1">
      <alignment horizontal="center"/>
    </xf>
    <xf numFmtId="0" fontId="2" fillId="0" borderId="62" xfId="0" applyFont="1" applyBorder="1" applyAlignment="1">
      <alignment horizontal="center"/>
    </xf>
    <xf numFmtId="0" fontId="2" fillId="0" borderId="4" xfId="0" applyFont="1" applyBorder="1" applyAlignment="1">
      <alignment horizontal="center"/>
    </xf>
    <xf numFmtId="0" fontId="2" fillId="5" borderId="5" xfId="0" applyFont="1" applyFill="1" applyBorder="1" applyAlignment="1">
      <alignment horizontal="center"/>
    </xf>
    <xf numFmtId="0" fontId="2" fillId="5" borderId="1" xfId="0" applyFont="1" applyFill="1" applyBorder="1" applyAlignment="1">
      <alignment horizontal="center"/>
    </xf>
    <xf numFmtId="0" fontId="2" fillId="5" borderId="4" xfId="0" applyFont="1" applyFill="1" applyBorder="1" applyAlignment="1">
      <alignment horizontal="center"/>
    </xf>
    <xf numFmtId="0" fontId="13" fillId="4" borderId="5" xfId="0" applyFont="1" applyFill="1" applyBorder="1" applyAlignment="1">
      <alignment horizontal="center"/>
    </xf>
    <xf numFmtId="0" fontId="0" fillId="0" borderId="1" xfId="0" applyBorder="1" applyAlignment="1">
      <alignment horizontal="left" vertical="center"/>
    </xf>
    <xf numFmtId="0" fontId="0" fillId="0" borderId="1" xfId="0" applyBorder="1" applyAlignment="1">
      <alignment horizontal="left" wrapText="1"/>
    </xf>
    <xf numFmtId="0" fontId="24" fillId="0" borderId="26" xfId="0" applyFont="1" applyBorder="1" applyAlignment="1">
      <alignment horizontal="center"/>
    </xf>
    <xf numFmtId="0" fontId="24" fillId="0" borderId="12" xfId="0" applyFont="1" applyBorder="1" applyAlignment="1">
      <alignment horizontal="center"/>
    </xf>
    <xf numFmtId="0" fontId="24"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1" xfId="0" applyBorder="1"/>
    <xf numFmtId="0" fontId="20" fillId="0" borderId="1" xfId="0" applyFont="1" applyBorder="1"/>
    <xf numFmtId="0" fontId="0" fillId="0" borderId="1" xfId="0" applyBorder="1" applyAlignment="1">
      <alignment wrapText="1"/>
    </xf>
    <xf numFmtId="0" fontId="13" fillId="4" borderId="1" xfId="0" applyFont="1" applyFill="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2" borderId="76" xfId="0" applyFont="1" applyFill="1" applyBorder="1" applyAlignment="1">
      <alignment horizontal="center"/>
    </xf>
    <xf numFmtId="0" fontId="2" fillId="0" borderId="28" xfId="0" applyFont="1" applyBorder="1" applyAlignment="1">
      <alignment horizontal="center"/>
    </xf>
    <xf numFmtId="0" fontId="2" fillId="0" borderId="12" xfId="0" applyFont="1" applyBorder="1" applyAlignment="1">
      <alignment horizontal="center"/>
    </xf>
    <xf numFmtId="0" fontId="2" fillId="0" borderId="71" xfId="0" applyFont="1" applyBorder="1" applyAlignment="1">
      <alignment horizontal="center"/>
    </xf>
    <xf numFmtId="0" fontId="18" fillId="0" borderId="1" xfId="0" applyFont="1" applyBorder="1" applyAlignment="1">
      <alignment horizontal="left"/>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4" borderId="28" xfId="0" applyFont="1" applyFill="1" applyBorder="1" applyAlignment="1">
      <alignment horizont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1" xfId="0" applyBorder="1" applyAlignment="1">
      <alignment vertical="center" wrapText="1"/>
    </xf>
    <xf numFmtId="0" fontId="0" fillId="0" borderId="1" xfId="0" applyBorder="1" applyAlignment="1">
      <alignment vertical="center"/>
    </xf>
    <xf numFmtId="0" fontId="2" fillId="0" borderId="1" xfId="0" applyFont="1" applyBorder="1" applyAlignment="1">
      <alignment horizontal="left"/>
    </xf>
    <xf numFmtId="0" fontId="2" fillId="0" borderId="26" xfId="0" applyFont="1" applyBorder="1" applyAlignment="1">
      <alignment horizontal="left"/>
    </xf>
    <xf numFmtId="0" fontId="2" fillId="0" borderId="12" xfId="0" applyFont="1" applyBorder="1" applyAlignment="1">
      <alignment horizontal="left"/>
    </xf>
    <xf numFmtId="0" fontId="2" fillId="0" borderId="27" xfId="0" applyFont="1" applyBorder="1" applyAlignment="1">
      <alignment horizontal="left"/>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13" fillId="4" borderId="6" xfId="0" applyFont="1" applyFill="1" applyBorder="1" applyAlignment="1">
      <alignment horizontal="center"/>
    </xf>
    <xf numFmtId="0" fontId="13" fillId="4" borderId="47" xfId="0" applyFont="1" applyFill="1" applyBorder="1" applyAlignment="1">
      <alignment horizontal="center"/>
    </xf>
    <xf numFmtId="0" fontId="49" fillId="9" borderId="22" xfId="0" applyFont="1" applyFill="1" applyBorder="1" applyAlignment="1">
      <alignment horizontal="center" vertical="center"/>
    </xf>
    <xf numFmtId="0" fontId="49" fillId="9" borderId="20" xfId="0" applyFont="1" applyFill="1" applyBorder="1" applyAlignment="1">
      <alignment horizontal="center" vertical="center"/>
    </xf>
    <xf numFmtId="0" fontId="46" fillId="9" borderId="21" xfId="0" applyFont="1" applyFill="1" applyBorder="1" applyAlignment="1">
      <alignment horizontal="center" vertical="center"/>
    </xf>
    <xf numFmtId="0" fontId="46" fillId="9" borderId="74" xfId="0" applyFont="1" applyFill="1" applyBorder="1" applyAlignment="1">
      <alignment horizontal="center" vertical="center"/>
    </xf>
    <xf numFmtId="0" fontId="46" fillId="9" borderId="22" xfId="0" applyFont="1" applyFill="1" applyBorder="1" applyAlignment="1">
      <alignment horizontal="center" vertical="center"/>
    </xf>
    <xf numFmtId="0" fontId="46" fillId="9" borderId="20" xfId="0" applyFont="1" applyFill="1" applyBorder="1" applyAlignment="1">
      <alignment horizontal="center" vertical="center"/>
    </xf>
    <xf numFmtId="0" fontId="46" fillId="9" borderId="14" xfId="0" applyFont="1" applyFill="1" applyBorder="1" applyAlignment="1">
      <alignment horizontal="center" vertical="center"/>
    </xf>
    <xf numFmtId="2" fontId="0" fillId="0" borderId="1" xfId="0" applyNumberFormat="1" applyBorder="1" applyAlignment="1">
      <alignment horizontal="center" vertical="center"/>
    </xf>
    <xf numFmtId="0" fontId="0" fillId="0" borderId="1" xfId="0" applyBorder="1" applyAlignment="1">
      <alignment horizontal="center" vertical="center"/>
    </xf>
    <xf numFmtId="0" fontId="2" fillId="0" borderId="1" xfId="0" applyFont="1" applyBorder="1" applyAlignment="1">
      <alignment horizontal="center" wrapText="1"/>
    </xf>
    <xf numFmtId="0" fontId="0" fillId="0" borderId="1" xfId="0" applyBorder="1" applyAlignment="1">
      <alignment horizontal="justify" vertical="justify" wrapText="1"/>
    </xf>
    <xf numFmtId="0" fontId="0" fillId="0" borderId="1" xfId="0" applyBorder="1" applyAlignment="1">
      <alignment horizontal="justify" vertical="justify"/>
    </xf>
    <xf numFmtId="0" fontId="13" fillId="0" borderId="33" xfId="0" applyFont="1" applyBorder="1" applyAlignment="1">
      <alignment vertical="center" wrapText="1"/>
    </xf>
    <xf numFmtId="0" fontId="30" fillId="0" borderId="34" xfId="0" applyFont="1" applyBorder="1" applyAlignment="1">
      <alignment vertical="center" wrapText="1"/>
    </xf>
    <xf numFmtId="0" fontId="30" fillId="0" borderId="35" xfId="0" applyFont="1" applyBorder="1" applyAlignment="1">
      <alignment vertical="center" wrapText="1"/>
    </xf>
    <xf numFmtId="0" fontId="30" fillId="0" borderId="23" xfId="0" applyFont="1" applyBorder="1" applyAlignment="1">
      <alignment vertical="center" wrapText="1"/>
    </xf>
    <xf numFmtId="0" fontId="30" fillId="0" borderId="24" xfId="0" applyFont="1" applyBorder="1" applyAlignment="1">
      <alignment vertical="center" wrapText="1"/>
    </xf>
    <xf numFmtId="0" fontId="30" fillId="0" borderId="25" xfId="0" applyFont="1" applyBorder="1" applyAlignment="1">
      <alignment vertical="center" wrapText="1"/>
    </xf>
    <xf numFmtId="0" fontId="13" fillId="0" borderId="33" xfId="0" applyFont="1" applyBorder="1" applyAlignment="1">
      <alignment wrapText="1"/>
    </xf>
    <xf numFmtId="0" fontId="13" fillId="0" borderId="34" xfId="0" applyFont="1" applyBorder="1" applyAlignment="1">
      <alignment wrapText="1"/>
    </xf>
    <xf numFmtId="0" fontId="13" fillId="0" borderId="78" xfId="0" applyFont="1" applyBorder="1" applyAlignment="1">
      <alignment wrapText="1"/>
    </xf>
    <xf numFmtId="0" fontId="13" fillId="0" borderId="79" xfId="0" applyFont="1" applyBorder="1" applyAlignment="1">
      <alignment wrapText="1"/>
    </xf>
    <xf numFmtId="0" fontId="13" fillId="0" borderId="80" xfId="0" applyFont="1" applyBorder="1" applyAlignment="1">
      <alignment wrapText="1"/>
    </xf>
    <xf numFmtId="0" fontId="13" fillId="0" borderId="81" xfId="0" applyFont="1" applyBorder="1" applyAlignment="1">
      <alignment wrapText="1"/>
    </xf>
    <xf numFmtId="0" fontId="2" fillId="0" borderId="26" xfId="0" applyFont="1" applyBorder="1"/>
    <xf numFmtId="0" fontId="2" fillId="0" borderId="12" xfId="0" applyFont="1" applyBorder="1"/>
    <xf numFmtId="0" fontId="2" fillId="0" borderId="27" xfId="0" applyFont="1" applyBorder="1"/>
    <xf numFmtId="0" fontId="2" fillId="0" borderId="12" xfId="0" applyFont="1" applyBorder="1" applyAlignment="1">
      <alignment wrapText="1"/>
    </xf>
    <xf numFmtId="0" fontId="2" fillId="0" borderId="27" xfId="0" applyFont="1" applyBorder="1" applyAlignment="1">
      <alignment wrapText="1"/>
    </xf>
    <xf numFmtId="0" fontId="0" fillId="0" borderId="26" xfId="0" applyBorder="1" applyAlignment="1">
      <alignment horizontal="center" vertical="center"/>
    </xf>
    <xf numFmtId="0" fontId="0" fillId="0" borderId="12" xfId="0" applyBorder="1" applyAlignment="1">
      <alignment horizontal="center" vertical="center"/>
    </xf>
    <xf numFmtId="0" fontId="0" fillId="0" borderId="27" xfId="0" applyBorder="1" applyAlignment="1">
      <alignment horizontal="center" vertical="center"/>
    </xf>
    <xf numFmtId="0" fontId="0" fillId="0" borderId="12" xfId="0" applyBorder="1" applyAlignment="1">
      <alignment horizontal="center" vertical="center" wrapText="1"/>
    </xf>
    <xf numFmtId="0" fontId="0" fillId="0" borderId="27" xfId="0" applyBorder="1" applyAlignment="1">
      <alignment horizontal="center" vertical="center" wrapText="1"/>
    </xf>
    <xf numFmtId="169" fontId="0" fillId="0" borderId="12" xfId="0" applyNumberFormat="1" applyBorder="1" applyAlignment="1">
      <alignment horizontal="center" vertical="center"/>
    </xf>
    <xf numFmtId="0" fontId="46" fillId="9" borderId="51" xfId="0" applyFont="1" applyFill="1" applyBorder="1" applyAlignment="1">
      <alignment horizontal="center" vertical="center"/>
    </xf>
    <xf numFmtId="0" fontId="46" fillId="9" borderId="56" xfId="0" applyFont="1" applyFill="1" applyBorder="1" applyAlignment="1">
      <alignment horizontal="center" vertical="center"/>
    </xf>
    <xf numFmtId="169" fontId="48" fillId="9" borderId="22" xfId="0" applyNumberFormat="1" applyFont="1" applyFill="1" applyBorder="1" applyAlignment="1">
      <alignment horizontal="center" vertical="center"/>
    </xf>
    <xf numFmtId="169" fontId="48" fillId="9" borderId="20" xfId="0" applyNumberFormat="1" applyFont="1" applyFill="1" applyBorder="1" applyAlignment="1">
      <alignment horizontal="center" vertical="center"/>
    </xf>
    <xf numFmtId="0" fontId="36" fillId="10" borderId="5" xfId="0" applyFont="1" applyFill="1" applyBorder="1" applyAlignment="1">
      <alignment horizontal="left" vertical="center"/>
    </xf>
    <xf numFmtId="0" fontId="2" fillId="0" borderId="6" xfId="0" applyFont="1" applyBorder="1" applyAlignment="1">
      <alignment horizontal="center"/>
    </xf>
    <xf numFmtId="0" fontId="2" fillId="0" borderId="47" xfId="0" applyFont="1" applyBorder="1" applyAlignment="1">
      <alignment horizontal="center"/>
    </xf>
    <xf numFmtId="0" fontId="13" fillId="0" borderId="57" xfId="0" applyFont="1" applyBorder="1" applyAlignment="1">
      <alignment horizontal="center" vertical="center" wrapText="1"/>
    </xf>
    <xf numFmtId="0" fontId="30" fillId="0" borderId="59" xfId="0" applyFont="1" applyBorder="1" applyAlignment="1">
      <alignment horizontal="center" vertical="center" wrapText="1"/>
    </xf>
    <xf numFmtId="0" fontId="30" fillId="0" borderId="58" xfId="0" applyFont="1" applyBorder="1" applyAlignment="1">
      <alignment horizontal="center" vertical="center" wrapText="1"/>
    </xf>
    <xf numFmtId="0" fontId="30" fillId="0" borderId="40" xfId="0" applyFont="1" applyBorder="1" applyAlignment="1">
      <alignment horizontal="center" vertical="center" wrapText="1"/>
    </xf>
    <xf numFmtId="0" fontId="30" fillId="0" borderId="24" xfId="0" applyFont="1" applyBorder="1" applyAlignment="1">
      <alignment horizontal="center" vertical="center" wrapText="1"/>
    </xf>
    <xf numFmtId="0" fontId="30" fillId="0" borderId="75" xfId="0" applyFont="1" applyBorder="1" applyAlignment="1">
      <alignment horizontal="center" vertical="center" wrapText="1"/>
    </xf>
    <xf numFmtId="0" fontId="0" fillId="0" borderId="0" xfId="0" applyAlignment="1">
      <alignment horizontal="left" vertical="top" wrapText="1"/>
    </xf>
    <xf numFmtId="0" fontId="5" fillId="0" borderId="0" xfId="0" applyFont="1" applyAlignment="1">
      <alignment horizontal="center"/>
    </xf>
    <xf numFmtId="0" fontId="0" fillId="0" borderId="0" xfId="0" applyAlignment="1">
      <alignment horizontal="justify" vertical="top" wrapText="1"/>
    </xf>
    <xf numFmtId="0" fontId="0" fillId="0" borderId="0" xfId="0" applyAlignment="1">
      <alignment horizontal="justify" vertical="top"/>
    </xf>
    <xf numFmtId="0" fontId="7" fillId="4" borderId="22" xfId="0" applyFont="1" applyFill="1" applyBorder="1" applyAlignment="1">
      <alignment horizontal="center" vertical="center"/>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40" fillId="0" borderId="22" xfId="0" applyFont="1" applyBorder="1" applyAlignment="1">
      <alignment horizontal="left" vertical="center" wrapText="1"/>
    </xf>
    <xf numFmtId="0" fontId="40" fillId="0" borderId="20" xfId="0" applyFont="1" applyBorder="1" applyAlignment="1">
      <alignment horizontal="left" vertical="center" wrapText="1"/>
    </xf>
    <xf numFmtId="0" fontId="40"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46" xfId="0" applyFont="1" applyFill="1" applyBorder="1" applyAlignment="1">
      <alignment horizontal="left" vertical="center"/>
    </xf>
    <xf numFmtId="0" fontId="16" fillId="6" borderId="46" xfId="4" applyFill="1" applyBorder="1" applyAlignment="1" applyProtection="1">
      <alignment horizontal="left" vertical="center" wrapText="1"/>
    </xf>
    <xf numFmtId="0" fontId="45" fillId="0" borderId="1" xfId="4" applyFont="1" applyBorder="1" applyAlignment="1" applyProtection="1">
      <alignment horizontal="left" vertical="center" wrapText="1"/>
    </xf>
    <xf numFmtId="3" fontId="42" fillId="7" borderId="1" xfId="0" applyNumberFormat="1" applyFont="1" applyFill="1" applyBorder="1" applyAlignment="1">
      <alignment horizontal="left" vertical="center"/>
    </xf>
    <xf numFmtId="0" fontId="42" fillId="7" borderId="4" xfId="0" applyFont="1" applyFill="1" applyBorder="1" applyAlignment="1">
      <alignment horizontal="left" vertical="center"/>
    </xf>
    <xf numFmtId="3" fontId="42" fillId="0" borderId="47" xfId="0" applyNumberFormat="1" applyFont="1" applyBorder="1" applyAlignment="1">
      <alignment horizontal="left" vertical="center"/>
    </xf>
    <xf numFmtId="0" fontId="42"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42" fillId="0" borderId="47" xfId="0" applyFont="1" applyBorder="1" applyAlignment="1">
      <alignment horizontal="left" vertical="center"/>
    </xf>
    <xf numFmtId="0" fontId="16" fillId="0" borderId="47" xfId="4" applyBorder="1" applyAlignment="1" applyProtection="1">
      <alignment horizontal="left" vertical="center" wrapText="1"/>
    </xf>
    <xf numFmtId="0" fontId="42" fillId="0" borderId="47" xfId="0" applyFont="1" applyBorder="1" applyAlignment="1">
      <alignment horizontal="left" vertical="center" wrapText="1"/>
    </xf>
    <xf numFmtId="0" fontId="42"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3" fillId="7" borderId="1" xfId="4" applyFont="1" applyFill="1" applyBorder="1" applyAlignment="1" applyProtection="1">
      <alignment horizontal="left"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5" fillId="0" borderId="47"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5" fillId="0" borderId="7" xfId="0" applyFont="1" applyBorder="1" applyAlignment="1">
      <alignment horizontal="left" vertical="center"/>
    </xf>
    <xf numFmtId="0" fontId="45"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0" fontId="0" fillId="0" borderId="28" xfId="0" applyBorder="1" applyAlignment="1">
      <alignment horizontal="center" vertical="center"/>
    </xf>
    <xf numFmtId="0" fontId="0" fillId="0" borderId="71" xfId="0" applyBorder="1" applyAlignment="1">
      <alignment horizontal="center" vertical="center"/>
    </xf>
    <xf numFmtId="0" fontId="0" fillId="0" borderId="82" xfId="0" applyBorder="1" applyAlignment="1">
      <alignment horizontal="center"/>
    </xf>
    <xf numFmtId="0" fontId="0" fillId="0" borderId="16" xfId="0" applyBorder="1" applyAlignment="1">
      <alignment horizontal="center"/>
    </xf>
    <xf numFmtId="0" fontId="0" fillId="0" borderId="30" xfId="0" applyBorder="1" applyAlignment="1">
      <alignment horizontal="center"/>
    </xf>
    <xf numFmtId="44" fontId="2" fillId="18" borderId="29" xfId="0" applyNumberFormat="1" applyFont="1" applyFill="1" applyBorder="1" applyAlignment="1">
      <alignment horizontal="center"/>
    </xf>
    <xf numFmtId="44" fontId="2" fillId="18" borderId="83" xfId="0" applyNumberFormat="1" applyFont="1" applyFill="1" applyBorder="1" applyAlignment="1">
      <alignment horizont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6" borderId="70" xfId="0" applyFont="1" applyFill="1" applyBorder="1" applyAlignment="1">
      <alignment horizontal="center" vertical="center" textRotation="90"/>
    </xf>
    <xf numFmtId="0" fontId="2" fillId="6" borderId="70" xfId="0" applyFont="1" applyFill="1" applyBorder="1" applyAlignment="1">
      <alignment horizontal="center" vertical="center" wrapText="1"/>
    </xf>
    <xf numFmtId="0" fontId="1" fillId="6" borderId="70" xfId="0" applyFont="1" applyFill="1" applyBorder="1" applyAlignment="1">
      <alignment horizontal="center"/>
    </xf>
    <xf numFmtId="0" fontId="2" fillId="6" borderId="70" xfId="0" applyFont="1" applyFill="1" applyBorder="1" applyAlignment="1">
      <alignment horizontal="center" vertical="center"/>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42" fillId="6" borderId="1" xfId="0" applyFont="1" applyFill="1" applyBorder="1" applyAlignment="1">
      <alignment horizontal="left" vertical="center" wrapText="1"/>
    </xf>
    <xf numFmtId="0" fontId="42" fillId="6" borderId="4" xfId="0" applyFont="1" applyFill="1" applyBorder="1" applyAlignment="1">
      <alignment horizontal="left" vertical="center" wrapText="1"/>
    </xf>
    <xf numFmtId="0" fontId="16" fillId="0" borderId="1" xfId="4" applyBorder="1" applyAlignment="1" applyProtection="1">
      <alignment horizontal="left" vertical="center"/>
    </xf>
    <xf numFmtId="0" fontId="42" fillId="6" borderId="46" xfId="0" applyFont="1" applyFill="1" applyBorder="1" applyAlignment="1">
      <alignment horizontal="left" vertical="center" wrapText="1"/>
    </xf>
    <xf numFmtId="0" fontId="42" fillId="6" borderId="3" xfId="0" applyFont="1" applyFill="1" applyBorder="1" applyAlignment="1">
      <alignment horizontal="left" vertical="center" wrapText="1"/>
    </xf>
    <xf numFmtId="3" fontId="42" fillId="0" borderId="1" xfId="0" applyNumberFormat="1" applyFont="1" applyBorder="1" applyAlignment="1">
      <alignment horizontal="left" vertical="center"/>
    </xf>
    <xf numFmtId="0" fontId="42" fillId="0" borderId="4" xfId="0" applyFont="1" applyBorder="1" applyAlignment="1">
      <alignment horizontal="left"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25" fillId="4" borderId="22" xfId="0" applyFont="1" applyFill="1" applyBorder="1" applyAlignment="1">
      <alignment horizontal="center" vertical="center"/>
    </xf>
    <xf numFmtId="0" fontId="25" fillId="4" borderId="20" xfId="0" applyFont="1" applyFill="1" applyBorder="1" applyAlignment="1">
      <alignment horizontal="center" vertical="center"/>
    </xf>
    <xf numFmtId="0" fontId="25" fillId="4" borderId="14" xfId="0" applyFont="1" applyFill="1" applyBorder="1" applyAlignment="1">
      <alignment horizontal="center" vertical="center"/>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36" fillId="14" borderId="69" xfId="0" applyNumberFormat="1" applyFont="1" applyFill="1" applyBorder="1" applyAlignment="1">
      <alignment horizontal="center" vertical="center" wrapText="1"/>
    </xf>
    <xf numFmtId="10" fontId="36" fillId="14" borderId="66" xfId="0" applyNumberFormat="1" applyFont="1" applyFill="1" applyBorder="1" applyAlignment="1">
      <alignment horizontal="center" vertical="center" wrapText="1"/>
    </xf>
    <xf numFmtId="0" fontId="39" fillId="0" borderId="1" xfId="0" applyFont="1" applyBorder="1" applyAlignment="1">
      <alignment horizontal="center"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cellXfs>
  <cellStyles count="11">
    <cellStyle name="Hiperlink" xfId="4" builtinId="8"/>
    <cellStyle name="Hyperlink" xfId="6" xr:uid="{0C4028F5-2A56-46D9-AFF4-C8897231BF5C}"/>
    <cellStyle name="Moeda" xfId="1" builtinId="4"/>
    <cellStyle name="Normal" xfId="0" builtinId="0"/>
    <cellStyle name="Normal 2" xfId="9" xr:uid="{7BB5D3A6-1FA9-479C-9476-D01781B785E7}"/>
    <cellStyle name="Normal 2 2" xfId="10" xr:uid="{E6C07E97-3951-4CC7-BE8E-BFD9C150B1B9}"/>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66FF33"/>
      <color rgb="FF0000FF"/>
      <color rgb="FFFFFFCC"/>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xdr:row>
      <xdr:rowOff>0</xdr:rowOff>
    </xdr:from>
    <xdr:to>
      <xdr:col>11</xdr:col>
      <xdr:colOff>526562</xdr:colOff>
      <xdr:row>4</xdr:row>
      <xdr:rowOff>8304</xdr:rowOff>
    </xdr:to>
    <xdr:pic>
      <xdr:nvPicPr>
        <xdr:cNvPr id="3" name="Imagem 2">
          <a:extLst>
            <a:ext uri="{FF2B5EF4-FFF2-40B4-BE49-F238E27FC236}">
              <a16:creationId xmlns:a16="http://schemas.microsoft.com/office/drawing/2014/main" id="{BD51F116-0D72-8957-EB95-A47E81BD706E}"/>
            </a:ext>
          </a:extLst>
        </xdr:cNvPr>
        <xdr:cNvPicPr>
          <a:picLocks noChangeAspect="1"/>
        </xdr:cNvPicPr>
      </xdr:nvPicPr>
      <xdr:blipFill>
        <a:blip xmlns:r="http://schemas.openxmlformats.org/officeDocument/2006/relationships" r:embed="rId1"/>
        <a:stretch>
          <a:fillRect/>
        </a:stretch>
      </xdr:blipFill>
      <xdr:spPr>
        <a:xfrm>
          <a:off x="5429250" y="161192"/>
          <a:ext cx="3560885" cy="498231"/>
        </a:xfrm>
        <a:prstGeom prst="rect">
          <a:avLst/>
        </a:prstGeom>
      </xdr:spPr>
    </xdr:pic>
    <xdr:clientData/>
  </xdr:twoCellAnchor>
  <xdr:twoCellAnchor editAs="oneCell">
    <xdr:from>
      <xdr:col>6</xdr:col>
      <xdr:colOff>7327</xdr:colOff>
      <xdr:row>4</xdr:row>
      <xdr:rowOff>29308</xdr:rowOff>
    </xdr:from>
    <xdr:to>
      <xdr:col>11</xdr:col>
      <xdr:colOff>580852</xdr:colOff>
      <xdr:row>9</xdr:row>
      <xdr:rowOff>140188</xdr:rowOff>
    </xdr:to>
    <xdr:pic>
      <xdr:nvPicPr>
        <xdr:cNvPr id="4" name="Imagem 3">
          <a:extLst>
            <a:ext uri="{FF2B5EF4-FFF2-40B4-BE49-F238E27FC236}">
              <a16:creationId xmlns:a16="http://schemas.microsoft.com/office/drawing/2014/main" id="{98D29478-9E4E-55B9-91A8-80385825180A}"/>
            </a:ext>
          </a:extLst>
        </xdr:cNvPr>
        <xdr:cNvPicPr>
          <a:picLocks noChangeAspect="1"/>
        </xdr:cNvPicPr>
      </xdr:nvPicPr>
      <xdr:blipFill>
        <a:blip xmlns:r="http://schemas.openxmlformats.org/officeDocument/2006/relationships" r:embed="rId2"/>
        <a:stretch>
          <a:fillRect/>
        </a:stretch>
      </xdr:blipFill>
      <xdr:spPr>
        <a:xfrm>
          <a:off x="5436577" y="674077"/>
          <a:ext cx="3614198" cy="923192"/>
        </a:xfrm>
        <a:prstGeom prst="rect">
          <a:avLst/>
        </a:prstGeom>
      </xdr:spPr>
    </xdr:pic>
    <xdr:clientData/>
  </xdr:twoCellAnchor>
  <xdr:twoCellAnchor editAs="oneCell">
    <xdr:from>
      <xdr:col>6</xdr:col>
      <xdr:colOff>7328</xdr:colOff>
      <xdr:row>14</xdr:row>
      <xdr:rowOff>7328</xdr:rowOff>
    </xdr:from>
    <xdr:to>
      <xdr:col>12</xdr:col>
      <xdr:colOff>466214</xdr:colOff>
      <xdr:row>22</xdr:row>
      <xdr:rowOff>8305</xdr:rowOff>
    </xdr:to>
    <xdr:pic>
      <xdr:nvPicPr>
        <xdr:cNvPr id="5" name="Imagem 4">
          <a:extLst>
            <a:ext uri="{FF2B5EF4-FFF2-40B4-BE49-F238E27FC236}">
              <a16:creationId xmlns:a16="http://schemas.microsoft.com/office/drawing/2014/main" id="{74C1464C-FFD1-494F-EF2C-6C0C168316E3}"/>
            </a:ext>
          </a:extLst>
        </xdr:cNvPr>
        <xdr:cNvPicPr>
          <a:picLocks noChangeAspect="1"/>
        </xdr:cNvPicPr>
      </xdr:nvPicPr>
      <xdr:blipFill>
        <a:blip xmlns:r="http://schemas.openxmlformats.org/officeDocument/2006/relationships" r:embed="rId3"/>
        <a:stretch>
          <a:fillRect/>
        </a:stretch>
      </xdr:blipFill>
      <xdr:spPr>
        <a:xfrm>
          <a:off x="5436578" y="2264020"/>
          <a:ext cx="4107694" cy="1296866"/>
        </a:xfrm>
        <a:prstGeom prst="rect">
          <a:avLst/>
        </a:prstGeom>
      </xdr:spPr>
    </xdr:pic>
    <xdr:clientData/>
  </xdr:twoCellAnchor>
  <xdr:twoCellAnchor editAs="oneCell">
    <xdr:from>
      <xdr:col>6</xdr:col>
      <xdr:colOff>29309</xdr:colOff>
      <xdr:row>35</xdr:row>
      <xdr:rowOff>65942</xdr:rowOff>
    </xdr:from>
    <xdr:to>
      <xdr:col>13</xdr:col>
      <xdr:colOff>198805</xdr:colOff>
      <xdr:row>41</xdr:row>
      <xdr:rowOff>154507</xdr:rowOff>
    </xdr:to>
    <xdr:pic>
      <xdr:nvPicPr>
        <xdr:cNvPr id="2" name="Imagem 1">
          <a:extLst>
            <a:ext uri="{FF2B5EF4-FFF2-40B4-BE49-F238E27FC236}">
              <a16:creationId xmlns:a16="http://schemas.microsoft.com/office/drawing/2014/main" id="{174A8C4B-701E-4A6D-0A97-9FA26CA16E9F}"/>
            </a:ext>
          </a:extLst>
        </xdr:cNvPr>
        <xdr:cNvPicPr>
          <a:picLocks noChangeAspect="1"/>
        </xdr:cNvPicPr>
      </xdr:nvPicPr>
      <xdr:blipFill>
        <a:blip xmlns:r="http://schemas.openxmlformats.org/officeDocument/2006/relationships" r:embed="rId4"/>
        <a:stretch>
          <a:fillRect/>
        </a:stretch>
      </xdr:blipFill>
      <xdr:spPr>
        <a:xfrm>
          <a:off x="5458559" y="5715000"/>
          <a:ext cx="4432788" cy="10557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66</xdr:row>
      <xdr:rowOff>57150</xdr:rowOff>
    </xdr:from>
    <xdr:to>
      <xdr:col>1</xdr:col>
      <xdr:colOff>361950</xdr:colOff>
      <xdr:row>67</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67</xdr:row>
      <xdr:rowOff>133350</xdr:rowOff>
    </xdr:from>
    <xdr:to>
      <xdr:col>1</xdr:col>
      <xdr:colOff>523875</xdr:colOff>
      <xdr:row>68</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67</xdr:row>
      <xdr:rowOff>133850</xdr:rowOff>
    </xdr:from>
    <xdr:to>
      <xdr:col>1</xdr:col>
      <xdr:colOff>2514600</xdr:colOff>
      <xdr:row>68</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68</xdr:row>
      <xdr:rowOff>107282</xdr:rowOff>
    </xdr:from>
    <xdr:to>
      <xdr:col>1</xdr:col>
      <xdr:colOff>429628</xdr:colOff>
      <xdr:row>69</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67</xdr:row>
      <xdr:rowOff>104775</xdr:rowOff>
    </xdr:from>
    <xdr:to>
      <xdr:col>1</xdr:col>
      <xdr:colOff>1962150</xdr:colOff>
      <xdr:row>68</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67</xdr:row>
      <xdr:rowOff>114300</xdr:rowOff>
    </xdr:from>
    <xdr:to>
      <xdr:col>1</xdr:col>
      <xdr:colOff>3000374</xdr:colOff>
      <xdr:row>68</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66</xdr:row>
      <xdr:rowOff>50131</xdr:rowOff>
    </xdr:from>
    <xdr:to>
      <xdr:col>1</xdr:col>
      <xdr:colOff>2971800</xdr:colOff>
      <xdr:row>67</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66</xdr:row>
      <xdr:rowOff>57150</xdr:rowOff>
    </xdr:from>
    <xdr:to>
      <xdr:col>1</xdr:col>
      <xdr:colOff>361950</xdr:colOff>
      <xdr:row>67</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67</xdr:row>
      <xdr:rowOff>133350</xdr:rowOff>
    </xdr:from>
    <xdr:to>
      <xdr:col>1</xdr:col>
      <xdr:colOff>523875</xdr:colOff>
      <xdr:row>68</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67</xdr:row>
      <xdr:rowOff>133850</xdr:rowOff>
    </xdr:from>
    <xdr:to>
      <xdr:col>1</xdr:col>
      <xdr:colOff>2514600</xdr:colOff>
      <xdr:row>68</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68</xdr:row>
      <xdr:rowOff>58153</xdr:rowOff>
    </xdr:from>
    <xdr:to>
      <xdr:col>1</xdr:col>
      <xdr:colOff>1966161</xdr:colOff>
      <xdr:row>69</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68</xdr:row>
      <xdr:rowOff>107282</xdr:rowOff>
    </xdr:from>
    <xdr:to>
      <xdr:col>1</xdr:col>
      <xdr:colOff>429628</xdr:colOff>
      <xdr:row>69</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67</xdr:row>
      <xdr:rowOff>250658</xdr:rowOff>
    </xdr:from>
    <xdr:to>
      <xdr:col>3</xdr:col>
      <xdr:colOff>280736</xdr:colOff>
      <xdr:row>67</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61</xdr:row>
      <xdr:rowOff>104775</xdr:rowOff>
    </xdr:from>
    <xdr:to>
      <xdr:col>1</xdr:col>
      <xdr:colOff>1962150</xdr:colOff>
      <xdr:row>62</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61</xdr:row>
      <xdr:rowOff>114300</xdr:rowOff>
    </xdr:from>
    <xdr:to>
      <xdr:col>1</xdr:col>
      <xdr:colOff>3000374</xdr:colOff>
      <xdr:row>62</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60</xdr:row>
      <xdr:rowOff>50131</xdr:rowOff>
    </xdr:from>
    <xdr:to>
      <xdr:col>1</xdr:col>
      <xdr:colOff>2971800</xdr:colOff>
      <xdr:row>61</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60</xdr:row>
      <xdr:rowOff>57150</xdr:rowOff>
    </xdr:from>
    <xdr:to>
      <xdr:col>1</xdr:col>
      <xdr:colOff>361950</xdr:colOff>
      <xdr:row>61</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61</xdr:row>
      <xdr:rowOff>133350</xdr:rowOff>
    </xdr:from>
    <xdr:to>
      <xdr:col>1</xdr:col>
      <xdr:colOff>523875</xdr:colOff>
      <xdr:row>61</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61</xdr:row>
      <xdr:rowOff>133850</xdr:rowOff>
    </xdr:from>
    <xdr:to>
      <xdr:col>1</xdr:col>
      <xdr:colOff>2514600</xdr:colOff>
      <xdr:row>62</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62</xdr:row>
      <xdr:rowOff>58153</xdr:rowOff>
    </xdr:from>
    <xdr:to>
      <xdr:col>1</xdr:col>
      <xdr:colOff>1966161</xdr:colOff>
      <xdr:row>63</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62</xdr:row>
      <xdr:rowOff>107282</xdr:rowOff>
    </xdr:from>
    <xdr:to>
      <xdr:col>1</xdr:col>
      <xdr:colOff>429628</xdr:colOff>
      <xdr:row>63</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61</xdr:row>
      <xdr:rowOff>250658</xdr:rowOff>
    </xdr:from>
    <xdr:to>
      <xdr:col>3</xdr:col>
      <xdr:colOff>280736</xdr:colOff>
      <xdr:row>61</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61</xdr:row>
      <xdr:rowOff>104775</xdr:rowOff>
    </xdr:from>
    <xdr:to>
      <xdr:col>1</xdr:col>
      <xdr:colOff>1962150</xdr:colOff>
      <xdr:row>62</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61</xdr:row>
      <xdr:rowOff>114300</xdr:rowOff>
    </xdr:from>
    <xdr:to>
      <xdr:col>1</xdr:col>
      <xdr:colOff>3000374</xdr:colOff>
      <xdr:row>62</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60</xdr:row>
      <xdr:rowOff>50131</xdr:rowOff>
    </xdr:from>
    <xdr:to>
      <xdr:col>1</xdr:col>
      <xdr:colOff>2971800</xdr:colOff>
      <xdr:row>61</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60</xdr:row>
      <xdr:rowOff>57150</xdr:rowOff>
    </xdr:from>
    <xdr:to>
      <xdr:col>1</xdr:col>
      <xdr:colOff>361950</xdr:colOff>
      <xdr:row>61</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61</xdr:row>
      <xdr:rowOff>133350</xdr:rowOff>
    </xdr:from>
    <xdr:to>
      <xdr:col>1</xdr:col>
      <xdr:colOff>523875</xdr:colOff>
      <xdr:row>61</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61</xdr:row>
      <xdr:rowOff>133850</xdr:rowOff>
    </xdr:from>
    <xdr:to>
      <xdr:col>1</xdr:col>
      <xdr:colOff>2514600</xdr:colOff>
      <xdr:row>62</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62</xdr:row>
      <xdr:rowOff>58153</xdr:rowOff>
    </xdr:from>
    <xdr:to>
      <xdr:col>1</xdr:col>
      <xdr:colOff>1966161</xdr:colOff>
      <xdr:row>63</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62</xdr:row>
      <xdr:rowOff>107282</xdr:rowOff>
    </xdr:from>
    <xdr:to>
      <xdr:col>1</xdr:col>
      <xdr:colOff>429628</xdr:colOff>
      <xdr:row>63</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61</xdr:row>
      <xdr:rowOff>250658</xdr:rowOff>
    </xdr:from>
    <xdr:to>
      <xdr:col>3</xdr:col>
      <xdr:colOff>280736</xdr:colOff>
      <xdr:row>61</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49</xdr:row>
      <xdr:rowOff>104775</xdr:rowOff>
    </xdr:from>
    <xdr:to>
      <xdr:col>1</xdr:col>
      <xdr:colOff>1962150</xdr:colOff>
      <xdr:row>50</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49</xdr:row>
      <xdr:rowOff>114300</xdr:rowOff>
    </xdr:from>
    <xdr:to>
      <xdr:col>1</xdr:col>
      <xdr:colOff>3000374</xdr:colOff>
      <xdr:row>50</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48</xdr:row>
      <xdr:rowOff>50131</xdr:rowOff>
    </xdr:from>
    <xdr:to>
      <xdr:col>1</xdr:col>
      <xdr:colOff>2971800</xdr:colOff>
      <xdr:row>49</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48</xdr:row>
      <xdr:rowOff>57150</xdr:rowOff>
    </xdr:from>
    <xdr:to>
      <xdr:col>1</xdr:col>
      <xdr:colOff>361950</xdr:colOff>
      <xdr:row>49</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49</xdr:row>
      <xdr:rowOff>133350</xdr:rowOff>
    </xdr:from>
    <xdr:to>
      <xdr:col>1</xdr:col>
      <xdr:colOff>523875</xdr:colOff>
      <xdr:row>49</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49</xdr:row>
      <xdr:rowOff>133850</xdr:rowOff>
    </xdr:from>
    <xdr:to>
      <xdr:col>1</xdr:col>
      <xdr:colOff>2514600</xdr:colOff>
      <xdr:row>50</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50</xdr:row>
      <xdr:rowOff>58153</xdr:rowOff>
    </xdr:from>
    <xdr:to>
      <xdr:col>1</xdr:col>
      <xdr:colOff>1966161</xdr:colOff>
      <xdr:row>51</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50</xdr:row>
      <xdr:rowOff>107282</xdr:rowOff>
    </xdr:from>
    <xdr:to>
      <xdr:col>1</xdr:col>
      <xdr:colOff>429628</xdr:colOff>
      <xdr:row>51</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49</xdr:row>
      <xdr:rowOff>104775</xdr:rowOff>
    </xdr:from>
    <xdr:to>
      <xdr:col>1</xdr:col>
      <xdr:colOff>1962150</xdr:colOff>
      <xdr:row>50</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49</xdr:row>
      <xdr:rowOff>114300</xdr:rowOff>
    </xdr:from>
    <xdr:to>
      <xdr:col>1</xdr:col>
      <xdr:colOff>3000374</xdr:colOff>
      <xdr:row>50</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48</xdr:row>
      <xdr:rowOff>50131</xdr:rowOff>
    </xdr:from>
    <xdr:to>
      <xdr:col>1</xdr:col>
      <xdr:colOff>2971800</xdr:colOff>
      <xdr:row>49</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48</xdr:row>
      <xdr:rowOff>57150</xdr:rowOff>
    </xdr:from>
    <xdr:to>
      <xdr:col>1</xdr:col>
      <xdr:colOff>361950</xdr:colOff>
      <xdr:row>49</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49</xdr:row>
      <xdr:rowOff>133350</xdr:rowOff>
    </xdr:from>
    <xdr:to>
      <xdr:col>1</xdr:col>
      <xdr:colOff>523875</xdr:colOff>
      <xdr:row>49</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49</xdr:row>
      <xdr:rowOff>133850</xdr:rowOff>
    </xdr:from>
    <xdr:to>
      <xdr:col>1</xdr:col>
      <xdr:colOff>2514600</xdr:colOff>
      <xdr:row>50</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50</xdr:row>
      <xdr:rowOff>58153</xdr:rowOff>
    </xdr:from>
    <xdr:to>
      <xdr:col>1</xdr:col>
      <xdr:colOff>1966161</xdr:colOff>
      <xdr:row>51</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50</xdr:row>
      <xdr:rowOff>107282</xdr:rowOff>
    </xdr:from>
    <xdr:to>
      <xdr:col>1</xdr:col>
      <xdr:colOff>429628</xdr:colOff>
      <xdr:row>51</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49</xdr:row>
      <xdr:rowOff>104775</xdr:rowOff>
    </xdr:from>
    <xdr:to>
      <xdr:col>1</xdr:col>
      <xdr:colOff>1962150</xdr:colOff>
      <xdr:row>50</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49</xdr:row>
      <xdr:rowOff>114300</xdr:rowOff>
    </xdr:from>
    <xdr:to>
      <xdr:col>1</xdr:col>
      <xdr:colOff>3000374</xdr:colOff>
      <xdr:row>50</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48</xdr:row>
      <xdr:rowOff>50131</xdr:rowOff>
    </xdr:from>
    <xdr:to>
      <xdr:col>1</xdr:col>
      <xdr:colOff>2971800</xdr:colOff>
      <xdr:row>49</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48</xdr:row>
      <xdr:rowOff>57150</xdr:rowOff>
    </xdr:from>
    <xdr:to>
      <xdr:col>1</xdr:col>
      <xdr:colOff>361950</xdr:colOff>
      <xdr:row>49</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49</xdr:row>
      <xdr:rowOff>133350</xdr:rowOff>
    </xdr:from>
    <xdr:to>
      <xdr:col>1</xdr:col>
      <xdr:colOff>523875</xdr:colOff>
      <xdr:row>49</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49</xdr:row>
      <xdr:rowOff>133850</xdr:rowOff>
    </xdr:from>
    <xdr:to>
      <xdr:col>1</xdr:col>
      <xdr:colOff>2514600</xdr:colOff>
      <xdr:row>50</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50</xdr:row>
      <xdr:rowOff>58153</xdr:rowOff>
    </xdr:from>
    <xdr:to>
      <xdr:col>1</xdr:col>
      <xdr:colOff>1966161</xdr:colOff>
      <xdr:row>51</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50</xdr:row>
      <xdr:rowOff>107282</xdr:rowOff>
    </xdr:from>
    <xdr:to>
      <xdr:col>1</xdr:col>
      <xdr:colOff>429628</xdr:colOff>
      <xdr:row>51</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49</xdr:row>
      <xdr:rowOff>114300</xdr:rowOff>
    </xdr:from>
    <xdr:to>
      <xdr:col>1</xdr:col>
      <xdr:colOff>3003549</xdr:colOff>
      <xdr:row>50</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48</xdr:row>
      <xdr:rowOff>57150</xdr:rowOff>
    </xdr:from>
    <xdr:to>
      <xdr:col>1</xdr:col>
      <xdr:colOff>361950</xdr:colOff>
      <xdr:row>49</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49</xdr:row>
      <xdr:rowOff>133350</xdr:rowOff>
    </xdr:from>
    <xdr:to>
      <xdr:col>1</xdr:col>
      <xdr:colOff>520700</xdr:colOff>
      <xdr:row>50</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49</xdr:row>
      <xdr:rowOff>133850</xdr:rowOff>
    </xdr:from>
    <xdr:to>
      <xdr:col>1</xdr:col>
      <xdr:colOff>2514600</xdr:colOff>
      <xdr:row>50</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50</xdr:row>
      <xdr:rowOff>58153</xdr:rowOff>
    </xdr:from>
    <xdr:to>
      <xdr:col>1</xdr:col>
      <xdr:colOff>1969336</xdr:colOff>
      <xdr:row>51</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50</xdr:row>
      <xdr:rowOff>104107</xdr:rowOff>
    </xdr:from>
    <xdr:to>
      <xdr:col>1</xdr:col>
      <xdr:colOff>426453</xdr:colOff>
      <xdr:row>51</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49</xdr:row>
      <xdr:rowOff>104775</xdr:rowOff>
    </xdr:from>
    <xdr:to>
      <xdr:col>1</xdr:col>
      <xdr:colOff>1962150</xdr:colOff>
      <xdr:row>50</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49</xdr:row>
      <xdr:rowOff>114300</xdr:rowOff>
    </xdr:from>
    <xdr:to>
      <xdr:col>1</xdr:col>
      <xdr:colOff>3000374</xdr:colOff>
      <xdr:row>50</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48</xdr:row>
      <xdr:rowOff>50131</xdr:rowOff>
    </xdr:from>
    <xdr:to>
      <xdr:col>1</xdr:col>
      <xdr:colOff>2971800</xdr:colOff>
      <xdr:row>49</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48</xdr:row>
      <xdr:rowOff>57150</xdr:rowOff>
    </xdr:from>
    <xdr:to>
      <xdr:col>1</xdr:col>
      <xdr:colOff>361950</xdr:colOff>
      <xdr:row>49</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49</xdr:row>
      <xdr:rowOff>133350</xdr:rowOff>
    </xdr:from>
    <xdr:to>
      <xdr:col>1</xdr:col>
      <xdr:colOff>523875</xdr:colOff>
      <xdr:row>49</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49</xdr:row>
      <xdr:rowOff>133850</xdr:rowOff>
    </xdr:from>
    <xdr:to>
      <xdr:col>1</xdr:col>
      <xdr:colOff>2514600</xdr:colOff>
      <xdr:row>50</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50</xdr:row>
      <xdr:rowOff>58153</xdr:rowOff>
    </xdr:from>
    <xdr:to>
      <xdr:col>1</xdr:col>
      <xdr:colOff>1966161</xdr:colOff>
      <xdr:row>51</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50</xdr:row>
      <xdr:rowOff>107282</xdr:rowOff>
    </xdr:from>
    <xdr:to>
      <xdr:col>1</xdr:col>
      <xdr:colOff>429628</xdr:colOff>
      <xdr:row>51</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49</xdr:row>
      <xdr:rowOff>250658</xdr:rowOff>
    </xdr:from>
    <xdr:to>
      <xdr:col>3</xdr:col>
      <xdr:colOff>280736</xdr:colOff>
      <xdr:row>49</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49</xdr:row>
      <xdr:rowOff>104775</xdr:rowOff>
    </xdr:from>
    <xdr:to>
      <xdr:col>1</xdr:col>
      <xdr:colOff>1962150</xdr:colOff>
      <xdr:row>50</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49</xdr:row>
      <xdr:rowOff>114300</xdr:rowOff>
    </xdr:from>
    <xdr:to>
      <xdr:col>1</xdr:col>
      <xdr:colOff>3000374</xdr:colOff>
      <xdr:row>50</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48</xdr:row>
      <xdr:rowOff>50131</xdr:rowOff>
    </xdr:from>
    <xdr:to>
      <xdr:col>1</xdr:col>
      <xdr:colOff>2971800</xdr:colOff>
      <xdr:row>49</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48</xdr:row>
      <xdr:rowOff>57150</xdr:rowOff>
    </xdr:from>
    <xdr:to>
      <xdr:col>1</xdr:col>
      <xdr:colOff>361950</xdr:colOff>
      <xdr:row>49</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49</xdr:row>
      <xdr:rowOff>133350</xdr:rowOff>
    </xdr:from>
    <xdr:to>
      <xdr:col>1</xdr:col>
      <xdr:colOff>523875</xdr:colOff>
      <xdr:row>49</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49</xdr:row>
      <xdr:rowOff>133850</xdr:rowOff>
    </xdr:from>
    <xdr:to>
      <xdr:col>1</xdr:col>
      <xdr:colOff>2514600</xdr:colOff>
      <xdr:row>50</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50</xdr:row>
      <xdr:rowOff>58153</xdr:rowOff>
    </xdr:from>
    <xdr:to>
      <xdr:col>1</xdr:col>
      <xdr:colOff>1966161</xdr:colOff>
      <xdr:row>51</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50</xdr:row>
      <xdr:rowOff>107282</xdr:rowOff>
    </xdr:from>
    <xdr:to>
      <xdr:col>1</xdr:col>
      <xdr:colOff>429628</xdr:colOff>
      <xdr:row>51</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49</xdr:row>
      <xdr:rowOff>250658</xdr:rowOff>
    </xdr:from>
    <xdr:to>
      <xdr:col>3</xdr:col>
      <xdr:colOff>280736</xdr:colOff>
      <xdr:row>49</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49</xdr:row>
      <xdr:rowOff>104775</xdr:rowOff>
    </xdr:from>
    <xdr:to>
      <xdr:col>1</xdr:col>
      <xdr:colOff>1962150</xdr:colOff>
      <xdr:row>50</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49</xdr:row>
      <xdr:rowOff>114300</xdr:rowOff>
    </xdr:from>
    <xdr:to>
      <xdr:col>1</xdr:col>
      <xdr:colOff>3000374</xdr:colOff>
      <xdr:row>50</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48</xdr:row>
      <xdr:rowOff>50131</xdr:rowOff>
    </xdr:from>
    <xdr:to>
      <xdr:col>1</xdr:col>
      <xdr:colOff>2971800</xdr:colOff>
      <xdr:row>49</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48</xdr:row>
      <xdr:rowOff>57150</xdr:rowOff>
    </xdr:from>
    <xdr:to>
      <xdr:col>1</xdr:col>
      <xdr:colOff>361950</xdr:colOff>
      <xdr:row>49</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49</xdr:row>
      <xdr:rowOff>133350</xdr:rowOff>
    </xdr:from>
    <xdr:to>
      <xdr:col>1</xdr:col>
      <xdr:colOff>523875</xdr:colOff>
      <xdr:row>49</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49</xdr:row>
      <xdr:rowOff>133850</xdr:rowOff>
    </xdr:from>
    <xdr:to>
      <xdr:col>1</xdr:col>
      <xdr:colOff>2514600</xdr:colOff>
      <xdr:row>50</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50</xdr:row>
      <xdr:rowOff>58153</xdr:rowOff>
    </xdr:from>
    <xdr:to>
      <xdr:col>1</xdr:col>
      <xdr:colOff>1966161</xdr:colOff>
      <xdr:row>51</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50</xdr:row>
      <xdr:rowOff>107282</xdr:rowOff>
    </xdr:from>
    <xdr:to>
      <xdr:col>1</xdr:col>
      <xdr:colOff>429628</xdr:colOff>
      <xdr:row>51</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49</xdr:row>
      <xdr:rowOff>250658</xdr:rowOff>
    </xdr:from>
    <xdr:to>
      <xdr:col>3</xdr:col>
      <xdr:colOff>280736</xdr:colOff>
      <xdr:row>49</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49</xdr:row>
      <xdr:rowOff>101600</xdr:rowOff>
    </xdr:from>
    <xdr:to>
      <xdr:col>1</xdr:col>
      <xdr:colOff>1962150</xdr:colOff>
      <xdr:row>50</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49</xdr:row>
      <xdr:rowOff>114300</xdr:rowOff>
    </xdr:from>
    <xdr:to>
      <xdr:col>1</xdr:col>
      <xdr:colOff>3003549</xdr:colOff>
      <xdr:row>50</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48</xdr:row>
      <xdr:rowOff>46956</xdr:rowOff>
    </xdr:from>
    <xdr:to>
      <xdr:col>1</xdr:col>
      <xdr:colOff>2971800</xdr:colOff>
      <xdr:row>49</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48</xdr:row>
      <xdr:rowOff>57150</xdr:rowOff>
    </xdr:from>
    <xdr:to>
      <xdr:col>1</xdr:col>
      <xdr:colOff>361950</xdr:colOff>
      <xdr:row>49</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49</xdr:row>
      <xdr:rowOff>133350</xdr:rowOff>
    </xdr:from>
    <xdr:to>
      <xdr:col>1</xdr:col>
      <xdr:colOff>520700</xdr:colOff>
      <xdr:row>50</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49</xdr:row>
      <xdr:rowOff>133850</xdr:rowOff>
    </xdr:from>
    <xdr:to>
      <xdr:col>1</xdr:col>
      <xdr:colOff>2514600</xdr:colOff>
      <xdr:row>50</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50</xdr:row>
      <xdr:rowOff>58153</xdr:rowOff>
    </xdr:from>
    <xdr:to>
      <xdr:col>1</xdr:col>
      <xdr:colOff>1969336</xdr:colOff>
      <xdr:row>51</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50</xdr:row>
      <xdr:rowOff>104107</xdr:rowOff>
    </xdr:from>
    <xdr:to>
      <xdr:col>1</xdr:col>
      <xdr:colOff>426453</xdr:colOff>
      <xdr:row>51</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50</xdr:row>
      <xdr:rowOff>6183</xdr:rowOff>
    </xdr:from>
    <xdr:to>
      <xdr:col>3</xdr:col>
      <xdr:colOff>277561</xdr:colOff>
      <xdr:row>50</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49</xdr:row>
      <xdr:rowOff>104775</xdr:rowOff>
    </xdr:from>
    <xdr:to>
      <xdr:col>1</xdr:col>
      <xdr:colOff>1962150</xdr:colOff>
      <xdr:row>50</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49</xdr:row>
      <xdr:rowOff>114300</xdr:rowOff>
    </xdr:from>
    <xdr:to>
      <xdr:col>1</xdr:col>
      <xdr:colOff>3000374</xdr:colOff>
      <xdr:row>50</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48</xdr:row>
      <xdr:rowOff>50131</xdr:rowOff>
    </xdr:from>
    <xdr:to>
      <xdr:col>1</xdr:col>
      <xdr:colOff>2971800</xdr:colOff>
      <xdr:row>49</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48</xdr:row>
      <xdr:rowOff>57150</xdr:rowOff>
    </xdr:from>
    <xdr:to>
      <xdr:col>1</xdr:col>
      <xdr:colOff>361950</xdr:colOff>
      <xdr:row>49</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49</xdr:row>
      <xdr:rowOff>133350</xdr:rowOff>
    </xdr:from>
    <xdr:to>
      <xdr:col>1</xdr:col>
      <xdr:colOff>523875</xdr:colOff>
      <xdr:row>49</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49</xdr:row>
      <xdr:rowOff>133850</xdr:rowOff>
    </xdr:from>
    <xdr:to>
      <xdr:col>1</xdr:col>
      <xdr:colOff>2514600</xdr:colOff>
      <xdr:row>50</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50</xdr:row>
      <xdr:rowOff>58153</xdr:rowOff>
    </xdr:from>
    <xdr:to>
      <xdr:col>1</xdr:col>
      <xdr:colOff>1966161</xdr:colOff>
      <xdr:row>51</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50</xdr:row>
      <xdr:rowOff>107282</xdr:rowOff>
    </xdr:from>
    <xdr:to>
      <xdr:col>1</xdr:col>
      <xdr:colOff>429628</xdr:colOff>
      <xdr:row>51</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49</xdr:row>
      <xdr:rowOff>250658</xdr:rowOff>
    </xdr:from>
    <xdr:to>
      <xdr:col>3</xdr:col>
      <xdr:colOff>280736</xdr:colOff>
      <xdr:row>49</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49</xdr:row>
      <xdr:rowOff>104775</xdr:rowOff>
    </xdr:from>
    <xdr:to>
      <xdr:col>1</xdr:col>
      <xdr:colOff>1962150</xdr:colOff>
      <xdr:row>50</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49</xdr:row>
      <xdr:rowOff>114300</xdr:rowOff>
    </xdr:from>
    <xdr:to>
      <xdr:col>1</xdr:col>
      <xdr:colOff>3000374</xdr:colOff>
      <xdr:row>50</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48</xdr:row>
      <xdr:rowOff>50131</xdr:rowOff>
    </xdr:from>
    <xdr:to>
      <xdr:col>1</xdr:col>
      <xdr:colOff>2971800</xdr:colOff>
      <xdr:row>49</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48</xdr:row>
      <xdr:rowOff>57150</xdr:rowOff>
    </xdr:from>
    <xdr:to>
      <xdr:col>1</xdr:col>
      <xdr:colOff>361950</xdr:colOff>
      <xdr:row>49</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49</xdr:row>
      <xdr:rowOff>133350</xdr:rowOff>
    </xdr:from>
    <xdr:to>
      <xdr:col>1</xdr:col>
      <xdr:colOff>523875</xdr:colOff>
      <xdr:row>49</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49</xdr:row>
      <xdr:rowOff>133850</xdr:rowOff>
    </xdr:from>
    <xdr:to>
      <xdr:col>1</xdr:col>
      <xdr:colOff>2514600</xdr:colOff>
      <xdr:row>50</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537411</xdr:colOff>
      <xdr:row>50</xdr:row>
      <xdr:rowOff>77203</xdr:rowOff>
    </xdr:from>
    <xdr:to>
      <xdr:col>1</xdr:col>
      <xdr:colOff>1975686</xdr:colOff>
      <xdr:row>51</xdr:row>
      <xdr:rowOff>134353</xdr:rowOff>
    </xdr:to>
    <xdr:sp macro="" textlink="">
      <xdr:nvSpPr>
        <xdr:cNvPr id="10" name="Text Box 32">
          <a:extLst>
            <a:ext uri="{FF2B5EF4-FFF2-40B4-BE49-F238E27FC236}">
              <a16:creationId xmlns:a16="http://schemas.microsoft.com/office/drawing/2014/main" id="{9B3007DC-BF18-4CED-9050-05E67C88CC3B}"/>
            </a:ext>
            <a:ext uri="{147F2762-F138-4A5C-976F-8EAC2B608ADB}">
              <a16:predDERef xmlns:a16="http://schemas.microsoft.com/office/drawing/2014/main" pred="{A710F35D-7C87-45E6-AB51-0C63DFBBF476}"/>
            </a:ext>
          </a:extLst>
        </xdr:cNvPr>
        <xdr:cNvSpPr txBox="1">
          <a:spLocks noChangeArrowheads="1"/>
        </xdr:cNvSpPr>
      </xdr:nvSpPr>
      <xdr:spPr bwMode="auto">
        <a:xfrm>
          <a:off x="785061" y="4877803"/>
          <a:ext cx="143827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50</xdr:row>
      <xdr:rowOff>107282</xdr:rowOff>
    </xdr:from>
    <xdr:to>
      <xdr:col>1</xdr:col>
      <xdr:colOff>429628</xdr:colOff>
      <xdr:row>51</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49</xdr:row>
      <xdr:rowOff>250658</xdr:rowOff>
    </xdr:from>
    <xdr:to>
      <xdr:col>3</xdr:col>
      <xdr:colOff>280736</xdr:colOff>
      <xdr:row>49</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75" x14ac:dyDescent="0.2"/>
  <cols>
    <col min="4" max="4" width="9.5703125" customWidth="1"/>
    <col min="5" max="5" width="10.5703125" customWidth="1"/>
  </cols>
  <sheetData>
    <row r="1" spans="1:8" ht="13.5" thickBot="1" x14ac:dyDescent="0.25"/>
    <row r="2" spans="1:8" ht="13.5" thickBot="1" x14ac:dyDescent="0.25">
      <c r="A2" s="431" t="s">
        <v>0</v>
      </c>
      <c r="B2" s="432"/>
      <c r="C2" s="433"/>
      <c r="F2" s="431" t="s">
        <v>1</v>
      </c>
      <c r="G2" s="432"/>
      <c r="H2" s="433"/>
    </row>
    <row r="4" spans="1:8" x14ac:dyDescent="0.2">
      <c r="A4" s="9" t="s">
        <v>2</v>
      </c>
      <c r="F4" s="9" t="s">
        <v>2</v>
      </c>
    </row>
    <row r="5" spans="1:8" x14ac:dyDescent="0.2">
      <c r="A5" t="s">
        <v>3</v>
      </c>
      <c r="C5" s="7">
        <f>'Controle de pragas - Item 9'!I45</f>
        <v>1824.45</v>
      </c>
      <c r="F5" t="s">
        <v>3</v>
      </c>
      <c r="H5" s="7">
        <f>'Controle de pragas - Item 9'!I45</f>
        <v>1824.45</v>
      </c>
    </row>
    <row r="6" spans="1:8" x14ac:dyDescent="0.2">
      <c r="A6" t="s">
        <v>4</v>
      </c>
      <c r="C6" s="7">
        <f>'Controle de pragas - Item 9'!I54</f>
        <v>372.79595</v>
      </c>
      <c r="F6" t="s">
        <v>4</v>
      </c>
      <c r="H6" s="7">
        <f>'Controle de pragas - Item 9'!I54</f>
        <v>372.79595</v>
      </c>
    </row>
    <row r="7" spans="1:8" x14ac:dyDescent="0.2">
      <c r="A7" s="9" t="s">
        <v>5</v>
      </c>
      <c r="C7" s="4">
        <f>SUM(C5:C6)</f>
        <v>2197.24595</v>
      </c>
      <c r="F7" s="9" t="s">
        <v>5</v>
      </c>
      <c r="H7" s="4">
        <f>SUM(H5:H6)</f>
        <v>2197.24595</v>
      </c>
    </row>
    <row r="9" spans="1:8" x14ac:dyDescent="0.2">
      <c r="A9" s="9" t="s">
        <v>6</v>
      </c>
      <c r="C9" s="52">
        <f>(SUM('Controle de pragas - Item 9'!H67:H73))</f>
        <v>0.28800000000000003</v>
      </c>
      <c r="F9" s="9" t="s">
        <v>6</v>
      </c>
      <c r="H9" s="52">
        <f>'Controle de pragas - Item 9'!H74</f>
        <v>0.08</v>
      </c>
    </row>
    <row r="10" spans="1:8" ht="13.5" thickBot="1" x14ac:dyDescent="0.25"/>
    <row r="11" spans="1:8" ht="13.5" thickBot="1" x14ac:dyDescent="0.25">
      <c r="A11" s="53" t="s">
        <v>7</v>
      </c>
      <c r="B11" s="54"/>
      <c r="C11" s="55">
        <f>C7*C9</f>
        <v>632.80683360000012</v>
      </c>
      <c r="F11" s="53" t="s">
        <v>8</v>
      </c>
      <c r="G11" s="54"/>
      <c r="H11" s="55">
        <f>H7*H9</f>
        <v>175.77967599999999</v>
      </c>
    </row>
    <row r="13" spans="1:8" ht="13.5" thickBot="1" x14ac:dyDescent="0.25"/>
    <row r="14" spans="1:8" ht="13.5" thickBot="1" x14ac:dyDescent="0.25">
      <c r="C14" s="428" t="s">
        <v>9</v>
      </c>
      <c r="D14" s="429"/>
      <c r="E14" s="429"/>
      <c r="F14" s="430"/>
    </row>
    <row r="16" spans="1:8" x14ac:dyDescent="0.2">
      <c r="C16" t="str">
        <f>A11</f>
        <v>Valor GPS</v>
      </c>
      <c r="F16" s="7">
        <f>C11</f>
        <v>632.80683360000012</v>
      </c>
    </row>
    <row r="17" spans="3:8" x14ac:dyDescent="0.2">
      <c r="C17" t="str">
        <f>F11</f>
        <v>Valor FGTS</v>
      </c>
      <c r="F17" s="7">
        <f>H11</f>
        <v>175.77967599999999</v>
      </c>
    </row>
    <row r="19" spans="3:8" x14ac:dyDescent="0.2">
      <c r="C19" s="9" t="s">
        <v>10</v>
      </c>
      <c r="F19" s="94">
        <f>C9+H9</f>
        <v>0.36800000000000005</v>
      </c>
      <c r="G19" s="9"/>
      <c r="H19" s="77"/>
    </row>
    <row r="20" spans="3:8" ht="13.5" thickBot="1" x14ac:dyDescent="0.25"/>
    <row r="21" spans="3:8" ht="13.5" thickBot="1" x14ac:dyDescent="0.25">
      <c r="C21" s="65" t="s">
        <v>11</v>
      </c>
      <c r="D21" s="78"/>
      <c r="E21" s="78"/>
      <c r="F21" s="79">
        <f>SUM(F16:F18)</f>
        <v>808.58650960000011</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75" x14ac:dyDescent="0.2"/>
  <cols>
    <col min="1" max="1" width="11" customWidth="1"/>
    <col min="2" max="2" width="12.28515625" customWidth="1"/>
    <col min="4" max="4" width="11.7109375" customWidth="1"/>
    <col min="5" max="5" width="12.28515625" customWidth="1"/>
    <col min="8" max="8" width="14.140625" customWidth="1"/>
    <col min="9" max="9" width="14.28515625" customWidth="1"/>
    <col min="10" max="10" width="14" customWidth="1"/>
    <col min="11" max="11" width="13.28515625" customWidth="1"/>
  </cols>
  <sheetData>
    <row r="2" spans="1:8" x14ac:dyDescent="0.2">
      <c r="A2" s="56" t="s">
        <v>384</v>
      </c>
    </row>
    <row r="3" spans="1:8" ht="13.5" thickBot="1" x14ac:dyDescent="0.25">
      <c r="A3" s="41"/>
    </row>
    <row r="4" spans="1:8" ht="13.5" thickBot="1" x14ac:dyDescent="0.25">
      <c r="A4" s="732" t="s">
        <v>385</v>
      </c>
      <c r="B4" s="733"/>
      <c r="C4" s="733"/>
      <c r="D4" s="733"/>
      <c r="E4" s="734"/>
      <c r="H4" s="9" t="s">
        <v>386</v>
      </c>
    </row>
    <row r="5" spans="1:8" ht="13.5" thickBot="1" x14ac:dyDescent="0.25">
      <c r="A5" s="735" t="s">
        <v>387</v>
      </c>
      <c r="B5" s="735"/>
      <c r="C5" s="735"/>
      <c r="D5" s="735"/>
      <c r="E5" s="69" t="s">
        <v>6</v>
      </c>
    </row>
    <row r="6" spans="1:8" x14ac:dyDescent="0.2">
      <c r="A6" s="46" t="s">
        <v>388</v>
      </c>
      <c r="B6" s="51"/>
      <c r="C6" s="51"/>
      <c r="D6" s="51"/>
      <c r="E6" s="123">
        <v>88.61</v>
      </c>
      <c r="F6" s="96" t="s">
        <v>389</v>
      </c>
      <c r="G6" s="121">
        <v>0.5</v>
      </c>
      <c r="H6" t="s">
        <v>390</v>
      </c>
    </row>
    <row r="7" spans="1:8" ht="13.5" thickBot="1" x14ac:dyDescent="0.25">
      <c r="A7" s="46" t="s">
        <v>391</v>
      </c>
      <c r="B7" s="51"/>
      <c r="C7" s="51"/>
      <c r="D7" s="51"/>
      <c r="E7" s="124">
        <v>1.35</v>
      </c>
      <c r="G7" s="122">
        <v>0.5</v>
      </c>
      <c r="H7" t="s">
        <v>392</v>
      </c>
    </row>
    <row r="8" spans="1:8" ht="13.5" thickBot="1" x14ac:dyDescent="0.25">
      <c r="A8" s="49" t="s">
        <v>393</v>
      </c>
      <c r="B8" s="50"/>
      <c r="C8" s="50"/>
      <c r="D8" s="50"/>
      <c r="E8" s="125">
        <v>10.039999999999999</v>
      </c>
    </row>
    <row r="9" spans="1:8" ht="13.5" thickBot="1" x14ac:dyDescent="0.25">
      <c r="A9" s="41"/>
    </row>
    <row r="10" spans="1:8" ht="13.5" thickBot="1" x14ac:dyDescent="0.25">
      <c r="A10" s="732" t="s">
        <v>385</v>
      </c>
      <c r="B10" s="733"/>
      <c r="C10" s="733"/>
      <c r="D10" s="733"/>
      <c r="E10" s="734"/>
    </row>
    <row r="11" spans="1:8" ht="13.5" thickBot="1" x14ac:dyDescent="0.25">
      <c r="A11" s="735" t="s">
        <v>387</v>
      </c>
      <c r="B11" s="735"/>
      <c r="C11" s="735"/>
      <c r="D11" s="735"/>
      <c r="E11" s="69" t="s">
        <v>6</v>
      </c>
    </row>
    <row r="12" spans="1:8" x14ac:dyDescent="0.2">
      <c r="A12" s="47" t="s">
        <v>394</v>
      </c>
      <c r="B12" s="48"/>
      <c r="C12" s="48"/>
      <c r="D12" s="48"/>
      <c r="E12" s="126">
        <f>E6*G6</f>
        <v>44.305</v>
      </c>
    </row>
    <row r="13" spans="1:8" ht="13.5" thickBot="1" x14ac:dyDescent="0.25">
      <c r="A13" s="46" t="s">
        <v>395</v>
      </c>
      <c r="B13" s="51"/>
      <c r="C13" s="51"/>
      <c r="D13" s="51"/>
      <c r="E13" s="127">
        <f>E6*G7</f>
        <v>44.305</v>
      </c>
    </row>
    <row r="14" spans="1:8" ht="13.5" thickBot="1" x14ac:dyDescent="0.25">
      <c r="A14" s="41"/>
    </row>
    <row r="15" spans="1:8" ht="13.5" thickBot="1" x14ac:dyDescent="0.25">
      <c r="A15" s="65" t="s">
        <v>396</v>
      </c>
      <c r="B15" s="66"/>
      <c r="C15" s="129">
        <v>12</v>
      </c>
      <c r="E15" s="65" t="s">
        <v>396</v>
      </c>
      <c r="F15" s="66"/>
      <c r="G15" s="128">
        <v>18</v>
      </c>
      <c r="H15" s="29" t="s">
        <v>397</v>
      </c>
    </row>
    <row r="16" spans="1:8" ht="13.5" thickBot="1" x14ac:dyDescent="0.25">
      <c r="A16" s="41"/>
      <c r="E16" s="41"/>
    </row>
    <row r="17" spans="1:16" ht="13.5" thickBot="1" x14ac:dyDescent="0.25">
      <c r="A17" s="736" t="s">
        <v>398</v>
      </c>
      <c r="B17" s="737"/>
      <c r="C17" s="738"/>
      <c r="E17" s="736" t="s">
        <v>398</v>
      </c>
      <c r="F17" s="737"/>
      <c r="G17" s="738"/>
    </row>
    <row r="18" spans="1:16" x14ac:dyDescent="0.2">
      <c r="A18" s="57"/>
      <c r="C18" s="58"/>
      <c r="E18" s="57"/>
      <c r="G18" s="58"/>
    </row>
    <row r="19" spans="1:16" x14ac:dyDescent="0.2">
      <c r="A19" s="59" t="s">
        <v>2</v>
      </c>
      <c r="C19" s="58"/>
      <c r="E19" s="59" t="s">
        <v>2</v>
      </c>
      <c r="G19" s="58"/>
    </row>
    <row r="20" spans="1:16" x14ac:dyDescent="0.2">
      <c r="A20" s="57" t="s">
        <v>3</v>
      </c>
      <c r="C20" s="60">
        <f>'Controle de pragas - Item 9'!I45</f>
        <v>1824.45</v>
      </c>
      <c r="E20" s="57" t="s">
        <v>3</v>
      </c>
      <c r="G20" s="60">
        <f>'Controle de pragas - Item 9'!I45</f>
        <v>1824.45</v>
      </c>
    </row>
    <row r="21" spans="1:16" x14ac:dyDescent="0.2">
      <c r="A21" s="57" t="s">
        <v>399</v>
      </c>
      <c r="C21" s="60">
        <f>'Controle de pragas - Item 9'!I102</f>
        <v>1885.1686796800002</v>
      </c>
      <c r="E21" s="57" t="s">
        <v>399</v>
      </c>
      <c r="G21" s="60">
        <f>'Controle de pragas - Item 9'!I102</f>
        <v>1885.1686796800002</v>
      </c>
    </row>
    <row r="22" spans="1:16" x14ac:dyDescent="0.2">
      <c r="A22" s="57" t="s">
        <v>400</v>
      </c>
      <c r="C22" s="60">
        <f>-'Mód2.2'!C11</f>
        <v>-632.80683360000012</v>
      </c>
      <c r="D22" s="104" t="s">
        <v>401</v>
      </c>
      <c r="E22" s="57" t="s">
        <v>400</v>
      </c>
      <c r="G22" s="60">
        <f>-'Mód2.2'!C11</f>
        <v>-632.80683360000012</v>
      </c>
    </row>
    <row r="23" spans="1:16" x14ac:dyDescent="0.2">
      <c r="A23" s="59" t="s">
        <v>5</v>
      </c>
      <c r="C23" s="61">
        <f>SUM(C20:C22)</f>
        <v>3076.8118460800001</v>
      </c>
      <c r="E23" s="59" t="s">
        <v>5</v>
      </c>
      <c r="G23" s="61">
        <f>SUM(G20:G22)</f>
        <v>3076.8118460800001</v>
      </c>
    </row>
    <row r="24" spans="1:16" x14ac:dyDescent="0.2">
      <c r="A24" s="57"/>
      <c r="C24" s="58"/>
      <c r="E24" s="57"/>
      <c r="G24" s="58"/>
    </row>
    <row r="25" spans="1:16" x14ac:dyDescent="0.2">
      <c r="A25" s="59" t="s">
        <v>396</v>
      </c>
      <c r="C25" s="64">
        <f>C15</f>
        <v>12</v>
      </c>
      <c r="E25" s="59" t="s">
        <v>396</v>
      </c>
      <c r="G25" s="64">
        <f>G15</f>
        <v>18</v>
      </c>
    </row>
    <row r="26" spans="1:16" x14ac:dyDescent="0.2">
      <c r="A26" s="59" t="s">
        <v>402</v>
      </c>
      <c r="C26" s="74">
        <f>E12</f>
        <v>44.305</v>
      </c>
      <c r="E26" s="59" t="s">
        <v>402</v>
      </c>
      <c r="G26" s="74">
        <f>E12</f>
        <v>44.305</v>
      </c>
    </row>
    <row r="27" spans="1:16" ht="13.5" thickBot="1" x14ac:dyDescent="0.25">
      <c r="A27" s="57"/>
      <c r="C27" s="58"/>
      <c r="E27" s="57"/>
      <c r="G27" s="58"/>
    </row>
    <row r="28" spans="1:16" ht="13.5" thickBot="1" x14ac:dyDescent="0.25">
      <c r="A28" s="53" t="s">
        <v>403</v>
      </c>
      <c r="B28" s="54"/>
      <c r="C28" s="68">
        <f>C23/C25*C26%</f>
        <v>113.59845736714534</v>
      </c>
      <c r="E28" s="105" t="s">
        <v>404</v>
      </c>
      <c r="F28" s="54"/>
      <c r="G28" s="68">
        <f>G23/G25*G26%</f>
        <v>75.732304911430219</v>
      </c>
    </row>
    <row r="29" spans="1:16" ht="13.5" thickBot="1" x14ac:dyDescent="0.25"/>
    <row r="30" spans="1:16" ht="13.5" thickBot="1" x14ac:dyDescent="0.25">
      <c r="A30" s="431" t="s">
        <v>405</v>
      </c>
      <c r="B30" s="432"/>
      <c r="C30" s="432"/>
      <c r="D30" s="432"/>
      <c r="E30" s="432"/>
      <c r="F30" s="432"/>
      <c r="G30" s="433"/>
      <c r="J30" s="431" t="s">
        <v>405</v>
      </c>
      <c r="K30" s="432"/>
      <c r="L30" s="432"/>
      <c r="M30" s="432"/>
      <c r="N30" s="432"/>
      <c r="O30" s="432"/>
      <c r="P30" s="433"/>
    </row>
    <row r="31" spans="1:16" x14ac:dyDescent="0.2">
      <c r="A31" s="57"/>
      <c r="G31" s="58"/>
      <c r="J31" s="57"/>
      <c r="P31" s="58"/>
    </row>
    <row r="32" spans="1:16" x14ac:dyDescent="0.2">
      <c r="A32" s="59" t="s">
        <v>2</v>
      </c>
      <c r="G32" s="58"/>
      <c r="J32" s="59" t="s">
        <v>2</v>
      </c>
      <c r="P32" s="58"/>
    </row>
    <row r="33" spans="1:19" x14ac:dyDescent="0.2">
      <c r="A33" s="57" t="s">
        <v>3</v>
      </c>
      <c r="G33" s="60">
        <f>'Controle de pragas - Item 9'!I45</f>
        <v>1824.45</v>
      </c>
      <c r="J33" s="57" t="s">
        <v>1</v>
      </c>
      <c r="P33" s="60">
        <f>'Mód2.2'!H11</f>
        <v>175.77967599999999</v>
      </c>
    </row>
    <row r="34" spans="1:19" x14ac:dyDescent="0.2">
      <c r="A34" s="57" t="s">
        <v>4</v>
      </c>
      <c r="G34" s="60">
        <f>'Controle de pragas - Item 9'!I54</f>
        <v>372.79595</v>
      </c>
      <c r="J34" s="57"/>
      <c r="P34" s="60"/>
    </row>
    <row r="35" spans="1:19" x14ac:dyDescent="0.2">
      <c r="A35" s="59" t="s">
        <v>5</v>
      </c>
      <c r="G35" s="61">
        <f>SUM(G33:G34)</f>
        <v>2197.24595</v>
      </c>
      <c r="H35" s="746" t="s">
        <v>401</v>
      </c>
      <c r="I35" s="747"/>
      <c r="J35" s="59" t="s">
        <v>5</v>
      </c>
      <c r="P35" s="61">
        <f>SUM(P33:P34)</f>
        <v>175.77967599999999</v>
      </c>
    </row>
    <row r="36" spans="1:19" x14ac:dyDescent="0.2">
      <c r="A36" s="57"/>
      <c r="G36" s="58"/>
      <c r="J36" s="57"/>
      <c r="P36" s="58"/>
    </row>
    <row r="37" spans="1:19" x14ac:dyDescent="0.2">
      <c r="A37" s="59" t="s">
        <v>406</v>
      </c>
      <c r="G37" s="62">
        <f>'Controle de pragas - Item 9'!H74</f>
        <v>0.08</v>
      </c>
      <c r="J37" s="59"/>
      <c r="P37" s="62"/>
    </row>
    <row r="38" spans="1:19" x14ac:dyDescent="0.2">
      <c r="A38" s="59" t="s">
        <v>407</v>
      </c>
      <c r="G38" s="62">
        <v>0.4</v>
      </c>
      <c r="J38" s="59" t="s">
        <v>407</v>
      </c>
      <c r="P38" s="62">
        <v>0.4</v>
      </c>
    </row>
    <row r="39" spans="1:19" x14ac:dyDescent="0.2">
      <c r="A39" s="59" t="s">
        <v>402</v>
      </c>
      <c r="C39" s="63"/>
      <c r="G39" s="74">
        <f>E12</f>
        <v>44.305</v>
      </c>
      <c r="J39" s="59" t="s">
        <v>402</v>
      </c>
      <c r="L39" s="63"/>
      <c r="P39" s="74">
        <f>E12</f>
        <v>44.305</v>
      </c>
    </row>
    <row r="40" spans="1:19" ht="13.5" thickBot="1" x14ac:dyDescent="0.25">
      <c r="A40" s="57"/>
      <c r="G40" s="58"/>
      <c r="J40" s="57"/>
      <c r="P40" s="58"/>
    </row>
    <row r="41" spans="1:19" ht="13.5" thickBot="1" x14ac:dyDescent="0.25">
      <c r="A41" s="431" t="s">
        <v>408</v>
      </c>
      <c r="B41" s="432"/>
      <c r="C41" s="432"/>
      <c r="D41" s="432"/>
      <c r="E41" s="432"/>
      <c r="F41" s="432"/>
      <c r="G41" s="68">
        <f>G35*G37*G38*G39%</f>
        <v>31.151674180720001</v>
      </c>
      <c r="J41" s="564" t="s">
        <v>409</v>
      </c>
      <c r="K41" s="745"/>
      <c r="L41" s="745"/>
      <c r="M41" s="745"/>
      <c r="N41" s="745"/>
      <c r="O41" s="745"/>
      <c r="P41" s="68">
        <f>P35*P38*P39%</f>
        <v>31.151674180720001</v>
      </c>
    </row>
    <row r="43" spans="1:19" ht="13.5" thickBot="1" x14ac:dyDescent="0.25"/>
    <row r="44" spans="1:19" ht="13.5" thickBot="1" x14ac:dyDescent="0.25">
      <c r="A44" s="729" t="s">
        <v>410</v>
      </c>
      <c r="B44" s="730"/>
      <c r="C44" s="731"/>
      <c r="E44" s="729" t="s">
        <v>410</v>
      </c>
      <c r="F44" s="730"/>
      <c r="G44" s="731"/>
    </row>
    <row r="45" spans="1:19" x14ac:dyDescent="0.2">
      <c r="A45" s="57"/>
      <c r="C45" s="58"/>
      <c r="E45" s="57"/>
      <c r="G45" s="58"/>
      <c r="J45" s="75" t="s">
        <v>411</v>
      </c>
    </row>
    <row r="46" spans="1:19" x14ac:dyDescent="0.2">
      <c r="A46" s="59" t="s">
        <v>2</v>
      </c>
      <c r="C46" s="58"/>
      <c r="E46" s="59" t="s">
        <v>2</v>
      </c>
      <c r="G46" s="58"/>
    </row>
    <row r="47" spans="1:19" ht="12.75" customHeight="1" x14ac:dyDescent="0.2">
      <c r="A47" s="57" t="s">
        <v>3</v>
      </c>
      <c r="C47" s="60">
        <f>'Controle de pragas - Item 9'!I45</f>
        <v>1824.45</v>
      </c>
      <c r="E47" s="57" t="s">
        <v>3</v>
      </c>
      <c r="G47" s="60">
        <f>'Controle de pragas - Item 9'!I45</f>
        <v>1824.45</v>
      </c>
      <c r="J47" s="560" t="s">
        <v>412</v>
      </c>
      <c r="K47" s="560"/>
      <c r="L47" s="560"/>
      <c r="M47" s="560"/>
      <c r="N47" s="560"/>
      <c r="O47" s="560"/>
      <c r="P47" s="560"/>
      <c r="Q47" s="560"/>
      <c r="R47" s="560"/>
      <c r="S47" s="560"/>
    </row>
    <row r="48" spans="1:19" x14ac:dyDescent="0.2">
      <c r="A48" s="57" t="s">
        <v>399</v>
      </c>
      <c r="C48" s="60">
        <f>'Controle de pragas - Item 9'!I102</f>
        <v>1885.1686796800002</v>
      </c>
      <c r="E48" s="57" t="s">
        <v>399</v>
      </c>
      <c r="G48" s="60">
        <f>'Controle de pragas - Item 9'!I102</f>
        <v>1885.1686796800002</v>
      </c>
      <c r="H48" s="43"/>
      <c r="I48" s="43"/>
      <c r="J48" s="560"/>
      <c r="K48" s="560"/>
      <c r="L48" s="560"/>
      <c r="M48" s="560"/>
      <c r="N48" s="560"/>
      <c r="O48" s="560"/>
      <c r="P48" s="560"/>
      <c r="Q48" s="560"/>
      <c r="R48" s="560"/>
      <c r="S48" s="560"/>
    </row>
    <row r="49" spans="1:19" x14ac:dyDescent="0.2">
      <c r="A49" s="59" t="s">
        <v>5</v>
      </c>
      <c r="C49" s="61">
        <f>SUM(C47:C48)</f>
        <v>3709.6186796800002</v>
      </c>
      <c r="D49" s="104" t="s">
        <v>401</v>
      </c>
      <c r="E49" s="59" t="s">
        <v>5</v>
      </c>
      <c r="G49" s="61">
        <f>SUM(G47:G48)</f>
        <v>3709.6186796800002</v>
      </c>
      <c r="H49" s="748" t="s">
        <v>401</v>
      </c>
      <c r="I49" s="748"/>
      <c r="J49" s="560"/>
      <c r="K49" s="560"/>
      <c r="L49" s="560"/>
      <c r="M49" s="560"/>
      <c r="N49" s="560"/>
      <c r="O49" s="560"/>
      <c r="P49" s="560"/>
      <c r="Q49" s="560"/>
      <c r="R49" s="560"/>
      <c r="S49" s="560"/>
    </row>
    <row r="50" spans="1:19" x14ac:dyDescent="0.2">
      <c r="A50" s="57"/>
      <c r="C50" s="58"/>
      <c r="E50" s="57"/>
      <c r="G50" s="58"/>
      <c r="J50" s="560"/>
      <c r="K50" s="560"/>
      <c r="L50" s="560"/>
      <c r="M50" s="560"/>
      <c r="N50" s="560"/>
      <c r="O50" s="560"/>
      <c r="P50" s="560"/>
      <c r="Q50" s="560"/>
      <c r="R50" s="560"/>
      <c r="S50" s="560"/>
    </row>
    <row r="51" spans="1:19" ht="13.5" thickBot="1" x14ac:dyDescent="0.25">
      <c r="A51" s="59" t="s">
        <v>396</v>
      </c>
      <c r="C51" s="64">
        <f>C15</f>
        <v>12</v>
      </c>
      <c r="E51" s="59" t="s">
        <v>396</v>
      </c>
      <c r="G51" s="64">
        <f>G15</f>
        <v>18</v>
      </c>
      <c r="J51" s="560"/>
      <c r="K51" s="560"/>
      <c r="L51" s="560"/>
      <c r="M51" s="560"/>
      <c r="N51" s="560"/>
      <c r="O51" s="560"/>
      <c r="P51" s="560"/>
      <c r="Q51" s="560"/>
      <c r="R51" s="560"/>
      <c r="S51" s="560"/>
    </row>
    <row r="52" spans="1:19" ht="13.5" thickBot="1" x14ac:dyDescent="0.25">
      <c r="A52" s="59" t="s">
        <v>402</v>
      </c>
      <c r="C52" s="74">
        <f>E13</f>
        <v>44.305</v>
      </c>
      <c r="E52" s="59" t="s">
        <v>402</v>
      </c>
      <c r="G52" s="74">
        <f>E13</f>
        <v>44.305</v>
      </c>
      <c r="J52" s="73">
        <f>'Controle de pragas - Item 9'!I45*1.94%</f>
        <v>35.394330000000004</v>
      </c>
      <c r="M52" s="7"/>
    </row>
    <row r="53" spans="1:19" ht="13.5" thickBot="1" x14ac:dyDescent="0.25">
      <c r="A53" s="57"/>
      <c r="C53" s="58"/>
      <c r="E53" s="57"/>
      <c r="G53" s="58"/>
    </row>
    <row r="54" spans="1:19" ht="13.5" thickBot="1" x14ac:dyDescent="0.25">
      <c r="A54" s="53" t="s">
        <v>413</v>
      </c>
      <c r="B54" s="54"/>
      <c r="C54" s="68">
        <f>C49/C51*C52%</f>
        <v>136.96221300268536</v>
      </c>
      <c r="E54" s="105" t="s">
        <v>414</v>
      </c>
      <c r="F54" s="54"/>
      <c r="G54" s="68">
        <f>G49/G51*G52%</f>
        <v>91.30814200179023</v>
      </c>
    </row>
    <row r="55" spans="1:19" ht="13.5" thickBot="1" x14ac:dyDescent="0.25"/>
    <row r="56" spans="1:19" ht="13.5" thickBot="1" x14ac:dyDescent="0.25">
      <c r="A56" s="431" t="s">
        <v>415</v>
      </c>
      <c r="B56" s="432"/>
      <c r="C56" s="432"/>
      <c r="D56" s="432"/>
      <c r="E56" s="432"/>
      <c r="F56" s="432"/>
      <c r="G56" s="433"/>
      <c r="J56" s="431" t="s">
        <v>415</v>
      </c>
      <c r="K56" s="432"/>
      <c r="L56" s="432"/>
      <c r="M56" s="432"/>
      <c r="N56" s="432"/>
      <c r="O56" s="432"/>
      <c r="P56" s="433"/>
    </row>
    <row r="57" spans="1:19" x14ac:dyDescent="0.2">
      <c r="A57" s="57"/>
      <c r="G57" s="58"/>
      <c r="J57" s="57"/>
      <c r="P57" s="58"/>
    </row>
    <row r="58" spans="1:19" x14ac:dyDescent="0.2">
      <c r="A58" s="59" t="s">
        <v>2</v>
      </c>
      <c r="G58" s="58"/>
      <c r="J58" s="59" t="s">
        <v>2</v>
      </c>
      <c r="P58" s="58"/>
    </row>
    <row r="59" spans="1:19" x14ac:dyDescent="0.2">
      <c r="A59" s="57" t="s">
        <v>3</v>
      </c>
      <c r="G59" s="60">
        <f>'Controle de pragas - Item 9'!I45</f>
        <v>1824.45</v>
      </c>
      <c r="J59" s="57" t="s">
        <v>1</v>
      </c>
      <c r="P59" s="60">
        <f>'Mód2.2'!H11</f>
        <v>175.77967599999999</v>
      </c>
    </row>
    <row r="60" spans="1:19" x14ac:dyDescent="0.2">
      <c r="A60" s="57" t="s">
        <v>4</v>
      </c>
      <c r="G60" s="60">
        <f>'Controle de pragas - Item 9'!I54</f>
        <v>372.79595</v>
      </c>
      <c r="J60" s="57"/>
      <c r="P60" s="60"/>
    </row>
    <row r="61" spans="1:19" x14ac:dyDescent="0.2">
      <c r="A61" s="59" t="s">
        <v>5</v>
      </c>
      <c r="G61" s="61">
        <f>SUM(G59:G60)</f>
        <v>2197.24595</v>
      </c>
      <c r="J61" s="59" t="s">
        <v>5</v>
      </c>
      <c r="P61" s="61">
        <f>SUM(P59:P60)</f>
        <v>175.77967599999999</v>
      </c>
    </row>
    <row r="62" spans="1:19" x14ac:dyDescent="0.2">
      <c r="A62" s="57"/>
      <c r="G62" s="58"/>
      <c r="H62" s="746" t="s">
        <v>401</v>
      </c>
      <c r="I62" s="747"/>
      <c r="J62" s="57"/>
      <c r="P62" s="58"/>
    </row>
    <row r="63" spans="1:19" x14ac:dyDescent="0.2">
      <c r="A63" s="59" t="s">
        <v>406</v>
      </c>
      <c r="G63" s="62">
        <f>'Controle de pragas - Item 9'!H74</f>
        <v>0.08</v>
      </c>
      <c r="J63" s="59"/>
      <c r="P63" s="62"/>
    </row>
    <row r="64" spans="1:19" x14ac:dyDescent="0.2">
      <c r="A64" s="59" t="s">
        <v>407</v>
      </c>
      <c r="G64" s="62">
        <v>0.4</v>
      </c>
      <c r="J64" s="59" t="s">
        <v>407</v>
      </c>
      <c r="P64" s="62">
        <v>0.4</v>
      </c>
    </row>
    <row r="65" spans="1:16" x14ac:dyDescent="0.2">
      <c r="A65" s="59" t="s">
        <v>402</v>
      </c>
      <c r="C65" s="63"/>
      <c r="G65" s="74">
        <f>E13</f>
        <v>44.305</v>
      </c>
      <c r="J65" s="59" t="s">
        <v>402</v>
      </c>
      <c r="L65" s="63"/>
      <c r="P65" s="74">
        <f>E13</f>
        <v>44.305</v>
      </c>
    </row>
    <row r="66" spans="1:16" ht="13.5" thickBot="1" x14ac:dyDescent="0.25">
      <c r="A66" s="57"/>
      <c r="G66" s="58"/>
      <c r="J66" s="57"/>
      <c r="P66" s="58"/>
    </row>
    <row r="67" spans="1:16" ht="13.5" thickBot="1" x14ac:dyDescent="0.25">
      <c r="A67" s="431" t="s">
        <v>416</v>
      </c>
      <c r="B67" s="432"/>
      <c r="C67" s="432"/>
      <c r="D67" s="432"/>
      <c r="E67" s="432"/>
      <c r="F67" s="432"/>
      <c r="G67" s="68">
        <f>G61*G63*G64*G65%</f>
        <v>31.151674180720001</v>
      </c>
      <c r="J67" s="564" t="s">
        <v>417</v>
      </c>
      <c r="K67" s="745"/>
      <c r="L67" s="745"/>
      <c r="M67" s="745"/>
      <c r="N67" s="745"/>
      <c r="O67" s="745"/>
      <c r="P67" s="68">
        <f>P61*P64*P65%</f>
        <v>31.151674180720001</v>
      </c>
    </row>
    <row r="70" spans="1:16" ht="13.5" thickBot="1" x14ac:dyDescent="0.25"/>
    <row r="71" spans="1:16" ht="13.5" thickBot="1" x14ac:dyDescent="0.25">
      <c r="A71" s="431" t="s">
        <v>418</v>
      </c>
      <c r="B71" s="432"/>
      <c r="C71" s="432"/>
      <c r="D71" s="432"/>
      <c r="E71" s="432"/>
      <c r="F71" s="432"/>
      <c r="G71" s="433"/>
    </row>
    <row r="72" spans="1:16" x14ac:dyDescent="0.2">
      <c r="A72" s="85"/>
      <c r="B72" s="86"/>
      <c r="C72" s="86"/>
      <c r="D72" s="86"/>
      <c r="E72" s="86"/>
      <c r="F72" s="86"/>
      <c r="G72" s="87"/>
    </row>
    <row r="73" spans="1:16" x14ac:dyDescent="0.2">
      <c r="A73" s="59" t="s">
        <v>2</v>
      </c>
      <c r="G73" s="58"/>
    </row>
    <row r="74" spans="1:16" x14ac:dyDescent="0.2">
      <c r="A74" s="57" t="s">
        <v>419</v>
      </c>
      <c r="G74" s="60">
        <f>-'Controle de pragas - Item 9'!I54</f>
        <v>-372.79595</v>
      </c>
    </row>
    <row r="75" spans="1:16" x14ac:dyDescent="0.2">
      <c r="A75" s="57"/>
      <c r="G75" s="58"/>
    </row>
    <row r="76" spans="1:16" x14ac:dyDescent="0.2">
      <c r="A76" s="59" t="s">
        <v>402</v>
      </c>
      <c r="G76" s="97">
        <f>E7</f>
        <v>1.35</v>
      </c>
    </row>
    <row r="77" spans="1:16" ht="13.5" thickBot="1" x14ac:dyDescent="0.25">
      <c r="A77" s="88"/>
      <c r="B77" s="89"/>
      <c r="C77" s="89"/>
      <c r="D77" s="89"/>
      <c r="E77" s="89"/>
      <c r="F77" s="89"/>
      <c r="G77" s="90"/>
    </row>
    <row r="78" spans="1:16" ht="13.5" thickBot="1" x14ac:dyDescent="0.25">
      <c r="A78" s="431" t="s">
        <v>420</v>
      </c>
      <c r="B78" s="432"/>
      <c r="C78" s="432"/>
      <c r="D78" s="432"/>
      <c r="E78" s="432"/>
      <c r="F78" s="432"/>
      <c r="G78" s="68">
        <f>G74*G76%</f>
        <v>-5.0327453250000005</v>
      </c>
    </row>
    <row r="80" spans="1:16" ht="13.5" thickBot="1" x14ac:dyDescent="0.25"/>
    <row r="81" spans="2:11" ht="13.5" thickBot="1" x14ac:dyDescent="0.25">
      <c r="B81" s="742" t="s">
        <v>421</v>
      </c>
      <c r="C81" s="743"/>
      <c r="D81" s="743"/>
      <c r="E81" s="743"/>
      <c r="F81" s="743"/>
      <c r="G81" s="743"/>
      <c r="H81" s="743"/>
      <c r="I81" s="743"/>
      <c r="J81" s="743"/>
      <c r="K81" s="744"/>
    </row>
    <row r="82" spans="2:11" x14ac:dyDescent="0.2">
      <c r="B82" s="85"/>
      <c r="C82" s="86"/>
      <c r="D82" s="86"/>
      <c r="E82" s="86"/>
      <c r="F82" s="86"/>
      <c r="G82" s="87"/>
      <c r="H82" s="98" t="s">
        <v>422</v>
      </c>
      <c r="I82" s="98" t="s">
        <v>423</v>
      </c>
      <c r="J82" s="98" t="s">
        <v>424</v>
      </c>
      <c r="K82" s="98" t="s">
        <v>425</v>
      </c>
    </row>
    <row r="83" spans="2:11" ht="13.5" thickBot="1" x14ac:dyDescent="0.25">
      <c r="B83" s="739" t="s">
        <v>426</v>
      </c>
      <c r="C83" s="740"/>
      <c r="D83" s="740"/>
      <c r="E83" s="740"/>
      <c r="F83" s="740"/>
      <c r="G83" s="741"/>
      <c r="H83" s="101" t="s">
        <v>427</v>
      </c>
      <c r="I83" s="101" t="s">
        <v>428</v>
      </c>
      <c r="J83" s="101"/>
      <c r="K83" s="101" t="s">
        <v>429</v>
      </c>
    </row>
    <row r="84" spans="2:11" x14ac:dyDescent="0.2">
      <c r="B84" s="85"/>
      <c r="C84" s="86"/>
      <c r="D84" s="86"/>
      <c r="E84" s="86"/>
      <c r="F84" s="86"/>
      <c r="G84" s="87"/>
      <c r="H84" s="99"/>
      <c r="I84" s="99"/>
      <c r="J84" s="99"/>
      <c r="K84" s="99"/>
    </row>
    <row r="85" spans="2:11" x14ac:dyDescent="0.2">
      <c r="B85" s="57" t="str">
        <f>A28</f>
        <v>VALOR AP INDENIZADO</v>
      </c>
      <c r="G85" s="58"/>
      <c r="H85" s="100">
        <f>C28</f>
        <v>113.59845736714534</v>
      </c>
      <c r="I85" s="99"/>
      <c r="J85" s="99"/>
      <c r="K85" s="100">
        <f>G28</f>
        <v>75.732304911430219</v>
      </c>
    </row>
    <row r="86" spans="2:11" x14ac:dyDescent="0.2">
      <c r="B86" s="57" t="str">
        <f>A41</f>
        <v>VALOR MULTA FGTS E CONTRIBUIÇÃO SOCIAL NO AP INDENIZADO</v>
      </c>
      <c r="G86" s="58"/>
      <c r="H86" s="100">
        <f>G41</f>
        <v>31.151674180720001</v>
      </c>
      <c r="I86" s="99"/>
      <c r="J86" s="99"/>
      <c r="K86" s="100">
        <f>G41</f>
        <v>31.151674180720001</v>
      </c>
    </row>
    <row r="87" spans="2:11" x14ac:dyDescent="0.2">
      <c r="B87" s="57" t="str">
        <f>A54</f>
        <v>VALOR AP TRABALHADO</v>
      </c>
      <c r="G87" s="58"/>
      <c r="H87" s="100">
        <f>C54</f>
        <v>136.96221300268536</v>
      </c>
      <c r="I87" s="100">
        <f>J52</f>
        <v>35.394330000000004</v>
      </c>
      <c r="J87" s="99"/>
      <c r="K87" s="100">
        <f>G54</f>
        <v>91.30814200179023</v>
      </c>
    </row>
    <row r="88" spans="2:11" x14ac:dyDescent="0.2">
      <c r="B88" s="57" t="str">
        <f>A67</f>
        <v>VALOR MULTA FGTS E CONTRIBUIÇÃO SOCIAL NO AP TRABALHADO</v>
      </c>
      <c r="G88" s="58"/>
      <c r="H88" s="100">
        <f>G67</f>
        <v>31.151674180720001</v>
      </c>
      <c r="I88" s="99"/>
      <c r="J88" s="99"/>
      <c r="K88" s="100">
        <f>G67</f>
        <v>31.151674180720001</v>
      </c>
    </row>
    <row r="89" spans="2:11" x14ac:dyDescent="0.2">
      <c r="B89" s="57" t="str">
        <f>A78</f>
        <v>VALOR DEMISSÃO POR JUSTA CAUSA</v>
      </c>
      <c r="G89" s="58"/>
      <c r="H89" s="100">
        <f>G78</f>
        <v>-5.0327453250000005</v>
      </c>
      <c r="I89" s="99"/>
      <c r="J89" s="99"/>
      <c r="K89" s="99"/>
    </row>
    <row r="90" spans="2:11" ht="13.5" thickBot="1" x14ac:dyDescent="0.25">
      <c r="B90" s="88"/>
      <c r="C90" s="89"/>
      <c r="D90" s="89"/>
      <c r="E90" s="89"/>
      <c r="F90" s="89"/>
      <c r="G90" s="90"/>
      <c r="H90" s="99"/>
      <c r="I90" s="99"/>
      <c r="J90" s="99"/>
      <c r="K90" s="99"/>
    </row>
    <row r="91" spans="2:11" ht="13.5" thickBot="1" x14ac:dyDescent="0.25">
      <c r="B91" s="65" t="s">
        <v>430</v>
      </c>
      <c r="C91" s="78"/>
      <c r="D91" s="78"/>
      <c r="E91" s="78"/>
      <c r="F91" s="78"/>
      <c r="G91" s="78"/>
      <c r="H91" s="102">
        <f>SUM(H85:H90)</f>
        <v>307.83127340627072</v>
      </c>
      <c r="I91" s="106">
        <f>SUM(I85:I90)</f>
        <v>35.394330000000004</v>
      </c>
      <c r="J91" s="103">
        <f>SUM(J85:J90)</f>
        <v>0</v>
      </c>
      <c r="K91" s="106">
        <f>SUM(K85:K90)</f>
        <v>229.34379527466044</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75" x14ac:dyDescent="0.2"/>
  <cols>
    <col min="1" max="1" width="4.85546875" customWidth="1"/>
    <col min="7" max="7" width="21" customWidth="1"/>
    <col min="8" max="8" width="27.5703125" customWidth="1"/>
  </cols>
  <sheetData>
    <row r="1" spans="1:9" x14ac:dyDescent="0.2">
      <c r="A1" s="10" t="s">
        <v>431</v>
      </c>
      <c r="B1" s="749" t="s">
        <v>432</v>
      </c>
      <c r="C1" s="749"/>
      <c r="D1" s="749"/>
      <c r="E1" s="749"/>
      <c r="F1" s="749"/>
      <c r="G1" s="749"/>
      <c r="H1" s="11">
        <f>'Controle de pragas - Item 9'!H155+'Controle de pragas - Item 9'!H156+'Controle de pragas - Item 9'!H157</f>
        <v>0.14250000000000002</v>
      </c>
      <c r="I1" s="12"/>
    </row>
    <row r="2" spans="1:9" x14ac:dyDescent="0.2">
      <c r="A2" s="13"/>
      <c r="B2" s="750">
        <v>100</v>
      </c>
      <c r="C2" s="750"/>
      <c r="D2" s="750"/>
      <c r="E2" s="750"/>
      <c r="F2" s="750"/>
      <c r="G2" s="750"/>
      <c r="H2" s="14"/>
      <c r="I2" s="15"/>
    </row>
    <row r="3" spans="1:9" x14ac:dyDescent="0.2">
      <c r="A3" s="16"/>
      <c r="B3" s="27"/>
      <c r="C3" s="27"/>
      <c r="D3" s="27"/>
      <c r="E3" s="27"/>
      <c r="F3" s="27"/>
      <c r="G3" s="27"/>
      <c r="H3" s="14"/>
      <c r="I3" s="15"/>
    </row>
    <row r="4" spans="1:9" x14ac:dyDescent="0.2">
      <c r="A4" s="13" t="s">
        <v>433</v>
      </c>
      <c r="B4" s="750" t="s">
        <v>434</v>
      </c>
      <c r="C4" s="750"/>
      <c r="D4" s="750"/>
      <c r="E4" s="750"/>
      <c r="F4" s="750"/>
      <c r="G4" s="750"/>
      <c r="H4" s="14"/>
      <c r="I4" s="15">
        <f>'Controle de pragas - Item 9'!I152+'Controle de pragas - Item 9'!I153+'Controle de pragas - Item 9'!I170</f>
        <v>4780.8408836752669</v>
      </c>
    </row>
    <row r="5" spans="1:9" x14ac:dyDescent="0.2">
      <c r="A5" s="13"/>
      <c r="B5" s="27"/>
      <c r="C5" s="27"/>
      <c r="D5" s="27"/>
      <c r="E5" s="27"/>
      <c r="F5" s="27"/>
      <c r="G5" s="27"/>
      <c r="H5" s="14"/>
      <c r="I5" s="15"/>
    </row>
    <row r="6" spans="1:9" x14ac:dyDescent="0.2">
      <c r="A6" s="13" t="s">
        <v>435</v>
      </c>
      <c r="B6" s="750" t="s">
        <v>436</v>
      </c>
      <c r="C6" s="750"/>
      <c r="D6" s="750"/>
      <c r="E6" s="750"/>
      <c r="F6" s="750"/>
      <c r="G6" s="750"/>
      <c r="H6" s="14"/>
      <c r="I6" s="15">
        <f>I4/(1-H1)</f>
        <v>5575.3246456854431</v>
      </c>
    </row>
    <row r="7" spans="1:9" x14ac:dyDescent="0.2">
      <c r="A7" s="13"/>
      <c r="B7" s="27"/>
      <c r="C7" s="27"/>
      <c r="D7" s="27"/>
      <c r="E7" s="27"/>
      <c r="F7" s="27"/>
      <c r="G7" s="27"/>
      <c r="H7" s="14"/>
      <c r="I7" s="15"/>
    </row>
    <row r="8" spans="1:9" x14ac:dyDescent="0.2">
      <c r="A8" s="17"/>
      <c r="B8" s="751" t="s">
        <v>437</v>
      </c>
      <c r="C8" s="751"/>
      <c r="D8" s="751"/>
      <c r="E8" s="751"/>
      <c r="F8" s="751"/>
      <c r="G8" s="751"/>
      <c r="H8" s="18"/>
      <c r="I8" s="19">
        <f>I6-I4</f>
        <v>794.48376201017618</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75" x14ac:dyDescent="0.2"/>
  <cols>
    <col min="1" max="1" width="9.85546875" customWidth="1"/>
    <col min="2" max="2" width="10.85546875" customWidth="1"/>
    <col min="3" max="3" width="15.140625" customWidth="1"/>
    <col min="4" max="4" width="9.5703125" bestFit="1" customWidth="1"/>
    <col min="7" max="7" width="3.42578125" customWidth="1"/>
    <col min="8" max="8" width="3" customWidth="1"/>
    <col min="9" max="9" width="10.5703125" customWidth="1"/>
  </cols>
  <sheetData>
    <row r="1" spans="1:16" ht="13.5" thickBot="1" x14ac:dyDescent="0.25">
      <c r="A1" s="431" t="s">
        <v>438</v>
      </c>
      <c r="B1" s="432"/>
      <c r="C1" s="432"/>
      <c r="D1" s="432"/>
      <c r="E1" s="432"/>
      <c r="F1" s="432"/>
      <c r="G1" s="432"/>
      <c r="H1" s="432"/>
      <c r="I1" s="433"/>
    </row>
    <row r="3" spans="1:16" x14ac:dyDescent="0.2">
      <c r="A3" s="70" t="s">
        <v>439</v>
      </c>
    </row>
    <row r="5" spans="1:16" x14ac:dyDescent="0.2">
      <c r="A5" s="9" t="s">
        <v>2</v>
      </c>
      <c r="B5" s="9"/>
    </row>
    <row r="7" spans="1:16" x14ac:dyDescent="0.2">
      <c r="A7" t="s">
        <v>440</v>
      </c>
      <c r="D7" s="7">
        <f>'Controle de pragas - Item 9'!I45</f>
        <v>1824.45</v>
      </c>
    </row>
    <row r="8" spans="1:16" x14ac:dyDescent="0.2">
      <c r="A8" t="s">
        <v>441</v>
      </c>
      <c r="D8" s="7">
        <f>'Controle de pragas - Item 9'!I102</f>
        <v>1885.1686796800002</v>
      </c>
    </row>
    <row r="9" spans="1:16" x14ac:dyDescent="0.2">
      <c r="A9" t="s">
        <v>442</v>
      </c>
      <c r="D9" s="7">
        <f>'Controle de pragas - Item 9'!I112</f>
        <v>129.67314863999999</v>
      </c>
    </row>
    <row r="10" spans="1:16" x14ac:dyDescent="0.2">
      <c r="D10" s="7"/>
    </row>
    <row r="11" spans="1:16" x14ac:dyDescent="0.2">
      <c r="A11" s="9" t="s">
        <v>443</v>
      </c>
      <c r="B11" s="9"/>
      <c r="C11" s="9"/>
      <c r="D11" s="4">
        <f>SUM(D7:D10)</f>
        <v>3839.2918283200001</v>
      </c>
    </row>
    <row r="12" spans="1:16" ht="13.5" thickBot="1" x14ac:dyDescent="0.25"/>
    <row r="13" spans="1:16" ht="13.5" thickBot="1" x14ac:dyDescent="0.25">
      <c r="A13" s="72" t="s">
        <v>444</v>
      </c>
      <c r="B13" s="66"/>
      <c r="C13" s="66"/>
      <c r="D13" s="67">
        <v>30</v>
      </c>
      <c r="F13" s="752"/>
      <c r="G13" s="752"/>
      <c r="H13" s="752"/>
      <c r="I13" s="752"/>
      <c r="J13" s="752"/>
      <c r="K13" s="752"/>
      <c r="L13" s="752"/>
      <c r="M13" s="752"/>
    </row>
    <row r="14" spans="1:16" ht="13.5" thickBot="1" x14ac:dyDescent="0.25"/>
    <row r="15" spans="1:16" ht="13.5" thickBot="1" x14ac:dyDescent="0.25">
      <c r="A15" s="53" t="s">
        <v>445</v>
      </c>
      <c r="B15" s="71"/>
      <c r="C15" s="71"/>
      <c r="D15" s="55">
        <f>D11/D13</f>
        <v>127.97639427733334</v>
      </c>
      <c r="P15" s="9" t="s">
        <v>386</v>
      </c>
    </row>
    <row r="16" spans="1:16" ht="13.5" thickBot="1" x14ac:dyDescent="0.25"/>
    <row r="17" spans="1:17" ht="13.5" thickBot="1" x14ac:dyDescent="0.25">
      <c r="A17" s="72" t="s">
        <v>446</v>
      </c>
      <c r="B17" s="66"/>
      <c r="C17" s="66"/>
      <c r="D17" s="66"/>
      <c r="E17" s="66"/>
      <c r="F17" s="66"/>
      <c r="G17" s="66"/>
      <c r="H17" s="66"/>
      <c r="I17" s="147">
        <f>P17</f>
        <v>20.9589</v>
      </c>
      <c r="P17" s="130">
        <v>20.9589</v>
      </c>
      <c r="Q17" t="s">
        <v>447</v>
      </c>
    </row>
    <row r="18" spans="1:17" ht="13.5" thickBot="1" x14ac:dyDescent="0.25">
      <c r="P18" s="131">
        <v>1</v>
      </c>
      <c r="Q18" t="s">
        <v>448</v>
      </c>
    </row>
    <row r="19" spans="1:17" ht="13.5" thickBot="1" x14ac:dyDescent="0.25">
      <c r="A19" s="72" t="s">
        <v>449</v>
      </c>
      <c r="B19" s="66"/>
      <c r="C19" s="66"/>
      <c r="D19" s="66"/>
      <c r="E19" s="66"/>
      <c r="F19" s="66"/>
      <c r="G19" s="66"/>
      <c r="H19" s="66"/>
      <c r="I19" s="147">
        <f>P18+SUM(P21:P26)+P29</f>
        <v>4.8740000000000006</v>
      </c>
      <c r="P19" s="131">
        <v>0</v>
      </c>
      <c r="Q19" t="s">
        <v>450</v>
      </c>
    </row>
    <row r="20" spans="1:17" ht="13.5" thickBot="1" x14ac:dyDescent="0.25">
      <c r="P20" s="132">
        <v>0.96589999999999998</v>
      </c>
      <c r="Q20" t="s">
        <v>451</v>
      </c>
    </row>
    <row r="21" spans="1:17" ht="13.5" thickBot="1" x14ac:dyDescent="0.25">
      <c r="A21" s="72" t="s">
        <v>452</v>
      </c>
      <c r="B21" s="66"/>
      <c r="C21" s="66"/>
      <c r="D21" s="66"/>
      <c r="E21" s="66"/>
      <c r="F21" s="66"/>
      <c r="G21" s="66"/>
      <c r="H21" s="66"/>
      <c r="I21" s="147">
        <f>P27</f>
        <v>0.19969999999999999</v>
      </c>
      <c r="P21" s="131">
        <v>3.4931999999999999</v>
      </c>
      <c r="Q21" t="s">
        <v>453</v>
      </c>
    </row>
    <row r="22" spans="1:17" ht="13.5" thickBot="1" x14ac:dyDescent="0.25">
      <c r="P22" s="131">
        <v>0.26879999999999998</v>
      </c>
      <c r="Q22" t="s">
        <v>454</v>
      </c>
    </row>
    <row r="23" spans="1:17" ht="13.5" thickBot="1" x14ac:dyDescent="0.25">
      <c r="A23" s="72" t="s">
        <v>455</v>
      </c>
      <c r="B23" s="66"/>
      <c r="C23" s="66"/>
      <c r="D23" s="66"/>
      <c r="E23" s="66"/>
      <c r="F23" s="66"/>
      <c r="G23" s="66"/>
      <c r="H23" s="66"/>
      <c r="I23" s="147">
        <f>P20</f>
        <v>0.96589999999999998</v>
      </c>
      <c r="P23" s="131">
        <v>4.2700000000000002E-2</v>
      </c>
      <c r="Q23" t="s">
        <v>456</v>
      </c>
    </row>
    <row r="24" spans="1:17" ht="13.5" thickBot="1" x14ac:dyDescent="0.25">
      <c r="P24" s="131">
        <v>3.5499999999999997E-2</v>
      </c>
      <c r="Q24" t="s">
        <v>457</v>
      </c>
    </row>
    <row r="25" spans="1:17" ht="13.5" thickBot="1" x14ac:dyDescent="0.25">
      <c r="A25" s="72" t="s">
        <v>458</v>
      </c>
      <c r="B25" s="66"/>
      <c r="C25" s="66"/>
      <c r="D25" s="66"/>
      <c r="E25" s="66"/>
      <c r="F25" s="66"/>
      <c r="G25" s="66"/>
      <c r="H25" s="66"/>
      <c r="I25" s="147">
        <f>P28</f>
        <v>2.4752999999999998</v>
      </c>
      <c r="P25" s="131">
        <v>0.02</v>
      </c>
      <c r="Q25" t="s">
        <v>459</v>
      </c>
    </row>
    <row r="26" spans="1:17" ht="13.5" thickBot="1" x14ac:dyDescent="0.25">
      <c r="P26" s="131">
        <v>4.0000000000000001E-3</v>
      </c>
      <c r="Q26" t="s">
        <v>460</v>
      </c>
    </row>
    <row r="27" spans="1:17" ht="13.5" thickBot="1" x14ac:dyDescent="0.25">
      <c r="I27" s="72" t="s">
        <v>461</v>
      </c>
      <c r="J27" s="108">
        <f>SUM(I17:I25)</f>
        <v>29.473800000000004</v>
      </c>
      <c r="P27" s="132">
        <v>0.19969999999999999</v>
      </c>
      <c r="Q27" t="s">
        <v>462</v>
      </c>
    </row>
    <row r="28" spans="1:17" ht="13.5" thickBot="1" x14ac:dyDescent="0.25">
      <c r="A28" s="72" t="s">
        <v>463</v>
      </c>
      <c r="B28" s="66"/>
      <c r="C28" s="66"/>
      <c r="D28" s="66"/>
      <c r="E28" s="68">
        <f>D15*I17/12</f>
        <v>223.52037083493349</v>
      </c>
      <c r="P28" s="132">
        <v>2.4752999999999998</v>
      </c>
      <c r="Q28" t="s">
        <v>464</v>
      </c>
    </row>
    <row r="29" spans="1:17" ht="13.5" thickBot="1" x14ac:dyDescent="0.25">
      <c r="P29" s="133">
        <v>9.7999999999999997E-3</v>
      </c>
      <c r="Q29" t="s">
        <v>465</v>
      </c>
    </row>
    <row r="30" spans="1:17" ht="13.5" thickBot="1" x14ac:dyDescent="0.25">
      <c r="A30" s="72" t="s">
        <v>466</v>
      </c>
      <c r="B30" s="66"/>
      <c r="C30" s="66"/>
      <c r="D30" s="66"/>
      <c r="E30" s="68">
        <f>D15*I19/12</f>
        <v>51.979745475643568</v>
      </c>
    </row>
    <row r="31" spans="1:17" ht="13.5" thickBot="1" x14ac:dyDescent="0.25">
      <c r="P31" s="134">
        <f>SUM(P17:P29)</f>
        <v>29.473799999999997</v>
      </c>
      <c r="Q31" s="29" t="s">
        <v>467</v>
      </c>
    </row>
    <row r="32" spans="1:17" ht="13.5" thickBot="1" x14ac:dyDescent="0.25">
      <c r="A32" s="72" t="s">
        <v>468</v>
      </c>
      <c r="B32" s="66"/>
      <c r="C32" s="66"/>
      <c r="D32" s="66"/>
      <c r="E32" s="68">
        <f>D15*I21/12</f>
        <v>2.1297404947652887</v>
      </c>
    </row>
    <row r="33" spans="1:16" ht="13.5" thickBot="1" x14ac:dyDescent="0.25"/>
    <row r="34" spans="1:16" ht="13.5" thickBot="1" x14ac:dyDescent="0.25">
      <c r="A34" s="72" t="s">
        <v>469</v>
      </c>
      <c r="B34" s="66"/>
      <c r="C34" s="66"/>
      <c r="D34" s="66"/>
      <c r="E34" s="68">
        <f>D15*I23/12</f>
        <v>10.301033269373024</v>
      </c>
      <c r="P34" s="107"/>
    </row>
    <row r="35" spans="1:16" ht="13.5" thickBot="1" x14ac:dyDescent="0.25"/>
    <row r="36" spans="1:16" ht="13.5" thickBot="1" x14ac:dyDescent="0.25">
      <c r="A36" s="72" t="s">
        <v>470</v>
      </c>
      <c r="B36" s="66"/>
      <c r="C36" s="66"/>
      <c r="D36" s="66"/>
      <c r="E36" s="68">
        <f>D15*I25/12</f>
        <v>26.398330729556932</v>
      </c>
    </row>
    <row r="37" spans="1:16" ht="13.5" thickBot="1" x14ac:dyDescent="0.25"/>
    <row r="38" spans="1:16" ht="13.5" thickBot="1" x14ac:dyDescent="0.25">
      <c r="C38" s="753" t="s">
        <v>471</v>
      </c>
      <c r="D38" s="754"/>
      <c r="E38" s="754"/>
      <c r="F38" s="754"/>
      <c r="G38" s="754"/>
      <c r="H38" s="754"/>
      <c r="I38" s="755"/>
      <c r="J38" s="68">
        <f>SUM(E28:E36)</f>
        <v>314.32922080427227</v>
      </c>
    </row>
    <row r="41" spans="1:16" ht="13.5" thickBot="1" x14ac:dyDescent="0.25"/>
    <row r="42" spans="1:16" ht="13.5" thickBot="1" x14ac:dyDescent="0.25">
      <c r="A42" s="756" t="s">
        <v>472</v>
      </c>
      <c r="B42" s="757"/>
      <c r="C42" s="757"/>
      <c r="D42" s="758"/>
      <c r="E42" s="135"/>
      <c r="F42" s="135"/>
      <c r="G42" s="135"/>
      <c r="H42" s="43"/>
      <c r="I42" s="43"/>
    </row>
    <row r="43" spans="1:16" x14ac:dyDescent="0.2">
      <c r="A43" s="136"/>
      <c r="B43" s="136"/>
      <c r="C43" s="136"/>
      <c r="D43" s="136"/>
      <c r="E43" s="136"/>
      <c r="F43" s="136"/>
      <c r="G43" s="136"/>
    </row>
    <row r="44" spans="1:16" x14ac:dyDescent="0.2">
      <c r="A44" s="137" t="s">
        <v>2</v>
      </c>
      <c r="B44" s="137"/>
      <c r="C44" s="136"/>
      <c r="D44" s="136"/>
      <c r="E44" s="136"/>
      <c r="F44" s="136"/>
      <c r="G44" s="136"/>
    </row>
    <row r="45" spans="1:16" x14ac:dyDescent="0.2">
      <c r="A45" s="136"/>
      <c r="B45" s="136"/>
      <c r="C45" s="136"/>
      <c r="D45" s="136"/>
      <c r="E45" s="136"/>
      <c r="F45" s="136"/>
      <c r="G45" s="136"/>
    </row>
    <row r="46" spans="1:16" x14ac:dyDescent="0.2">
      <c r="A46" s="136" t="s">
        <v>440</v>
      </c>
      <c r="B46" s="136"/>
      <c r="C46" s="136"/>
      <c r="D46" s="138">
        <f>'Controle de pragas - Item 9'!I45</f>
        <v>1824.45</v>
      </c>
      <c r="E46" s="136"/>
      <c r="F46" s="136"/>
      <c r="G46" s="136"/>
    </row>
    <row r="47" spans="1:16" x14ac:dyDescent="0.2">
      <c r="A47" s="136" t="s">
        <v>441</v>
      </c>
      <c r="B47" s="136"/>
      <c r="C47" s="136"/>
      <c r="D47" s="138">
        <f>'Controle de pragas - Item 9'!I102</f>
        <v>1885.1686796800002</v>
      </c>
      <c r="E47" s="136"/>
      <c r="F47" s="136"/>
      <c r="G47" s="136"/>
    </row>
    <row r="48" spans="1:16" x14ac:dyDescent="0.2">
      <c r="A48" s="136" t="s">
        <v>442</v>
      </c>
      <c r="B48" s="136"/>
      <c r="C48" s="136"/>
      <c r="D48" s="138">
        <f>'Controle de pragas - Item 9'!I112</f>
        <v>129.67314863999999</v>
      </c>
      <c r="E48" s="136"/>
      <c r="F48" s="136"/>
      <c r="G48" s="136"/>
    </row>
    <row r="49" spans="1:10" x14ac:dyDescent="0.2">
      <c r="A49" s="136"/>
      <c r="B49" s="136"/>
      <c r="C49" s="136"/>
      <c r="D49" s="138"/>
      <c r="E49" s="136"/>
      <c r="F49" s="136"/>
      <c r="G49" s="136"/>
    </row>
    <row r="50" spans="1:10" x14ac:dyDescent="0.2">
      <c r="A50" s="137" t="s">
        <v>443</v>
      </c>
      <c r="B50" s="137"/>
      <c r="C50" s="137"/>
      <c r="D50" s="139">
        <f>SUM(D46:D49)</f>
        <v>3839.2918283200001</v>
      </c>
      <c r="E50" s="136"/>
      <c r="F50" s="136"/>
      <c r="G50" s="136"/>
    </row>
    <row r="51" spans="1:10" ht="13.5" thickBot="1" x14ac:dyDescent="0.25">
      <c r="A51" s="136"/>
      <c r="B51" s="136"/>
      <c r="C51" s="136"/>
      <c r="D51" s="136"/>
      <c r="E51" s="136"/>
      <c r="F51" s="136"/>
      <c r="G51" s="136"/>
    </row>
    <row r="52" spans="1:10" ht="13.5" thickBot="1" x14ac:dyDescent="0.25">
      <c r="A52" s="140" t="s">
        <v>473</v>
      </c>
      <c r="B52" s="141"/>
      <c r="C52" s="141"/>
      <c r="D52" s="142">
        <v>220</v>
      </c>
      <c r="E52" s="143" t="s">
        <v>474</v>
      </c>
      <c r="F52" s="136" t="s">
        <v>475</v>
      </c>
      <c r="G52" s="136"/>
    </row>
    <row r="53" spans="1:10" ht="13.5" thickBot="1" x14ac:dyDescent="0.25">
      <c r="A53" s="136"/>
      <c r="B53" s="136"/>
      <c r="C53" s="136"/>
      <c r="D53" s="136"/>
      <c r="E53" s="136"/>
      <c r="F53" s="136"/>
      <c r="G53" s="136"/>
    </row>
    <row r="54" spans="1:10" ht="13.5" thickBot="1" x14ac:dyDescent="0.25">
      <c r="A54" s="144" t="s">
        <v>476</v>
      </c>
      <c r="B54" s="145"/>
      <c r="C54" s="145"/>
      <c r="D54" s="146">
        <f>D50/D52</f>
        <v>17.451326492363638</v>
      </c>
      <c r="E54" s="136"/>
      <c r="F54" s="136"/>
      <c r="G54" s="136"/>
    </row>
    <row r="55" spans="1:10" ht="13.5" thickBot="1" x14ac:dyDescent="0.25">
      <c r="A55" s="136"/>
      <c r="B55" s="136"/>
      <c r="C55" s="136"/>
      <c r="D55" s="136"/>
      <c r="E55" s="136"/>
      <c r="F55" s="136"/>
      <c r="G55" s="136"/>
    </row>
    <row r="56" spans="1:10" ht="13.5" thickBot="1" x14ac:dyDescent="0.25">
      <c r="A56" s="140" t="s">
        <v>477</v>
      </c>
      <c r="B56" s="141"/>
      <c r="C56" s="141"/>
      <c r="D56" s="142">
        <v>15</v>
      </c>
      <c r="E56" s="136"/>
      <c r="F56" s="136"/>
      <c r="G56" s="136"/>
    </row>
    <row r="57" spans="1:10" ht="13.5" thickBot="1" x14ac:dyDescent="0.25">
      <c r="A57" s="136"/>
      <c r="B57" s="136"/>
      <c r="C57" s="136"/>
      <c r="D57" s="136"/>
      <c r="E57" s="136"/>
      <c r="F57" s="136"/>
      <c r="G57" s="136"/>
    </row>
    <row r="58" spans="1:10" ht="13.5" thickBot="1" x14ac:dyDescent="0.25">
      <c r="A58" s="144" t="s">
        <v>478</v>
      </c>
      <c r="B58" s="145"/>
      <c r="C58" s="145"/>
      <c r="D58" s="146">
        <f>D54*D56</f>
        <v>261.76989738545456</v>
      </c>
      <c r="E58" s="136"/>
      <c r="F58" s="136"/>
      <c r="G58" s="136"/>
    </row>
    <row r="62" spans="1:10" x14ac:dyDescent="0.2">
      <c r="A62" s="562" t="s">
        <v>479</v>
      </c>
      <c r="B62" s="562"/>
      <c r="C62" s="562"/>
      <c r="D62" s="562"/>
      <c r="E62" s="562"/>
      <c r="F62" s="562"/>
      <c r="G62" s="562"/>
      <c r="H62" s="562"/>
      <c r="I62" s="562"/>
      <c r="J62" s="562"/>
    </row>
    <row r="63" spans="1:10" x14ac:dyDescent="0.2">
      <c r="A63" s="562"/>
      <c r="B63" s="562"/>
      <c r="C63" s="562"/>
      <c r="D63" s="562"/>
      <c r="E63" s="562"/>
      <c r="F63" s="562"/>
      <c r="G63" s="562"/>
      <c r="H63" s="562"/>
      <c r="I63" s="562"/>
      <c r="J63" s="562"/>
    </row>
    <row r="64" spans="1:10" x14ac:dyDescent="0.2">
      <c r="A64" s="562"/>
      <c r="B64" s="562"/>
      <c r="C64" s="562"/>
      <c r="D64" s="562"/>
      <c r="E64" s="562"/>
      <c r="F64" s="562"/>
      <c r="G64" s="562"/>
      <c r="H64" s="562"/>
      <c r="I64" s="562"/>
      <c r="J64" s="562"/>
    </row>
    <row r="65" spans="1:10" x14ac:dyDescent="0.2">
      <c r="A65" s="562"/>
      <c r="B65" s="562"/>
      <c r="C65" s="562"/>
      <c r="D65" s="562"/>
      <c r="E65" s="562"/>
      <c r="F65" s="562"/>
      <c r="G65" s="562"/>
      <c r="H65" s="562"/>
      <c r="I65" s="562"/>
      <c r="J65" s="562"/>
    </row>
    <row r="66" spans="1:10" x14ac:dyDescent="0.2">
      <c r="A66" s="562"/>
      <c r="B66" s="562"/>
      <c r="C66" s="562"/>
      <c r="D66" s="562"/>
      <c r="E66" s="562"/>
      <c r="F66" s="562"/>
      <c r="G66" s="562"/>
      <c r="H66" s="562"/>
      <c r="I66" s="562"/>
      <c r="J66" s="562"/>
    </row>
    <row r="67" spans="1:10" x14ac:dyDescent="0.2">
      <c r="A67" s="562"/>
      <c r="B67" s="562"/>
      <c r="C67" s="562"/>
      <c r="D67" s="562"/>
      <c r="E67" s="562"/>
      <c r="F67" s="562"/>
      <c r="G67" s="562"/>
      <c r="H67" s="562"/>
      <c r="I67" s="562"/>
      <c r="J67" s="562"/>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75" x14ac:dyDescent="0.2"/>
  <cols>
    <col min="1" max="1" width="10.85546875" customWidth="1"/>
  </cols>
  <sheetData>
    <row r="1" spans="1:4" x14ac:dyDescent="0.2">
      <c r="A1" t="s">
        <v>480</v>
      </c>
    </row>
    <row r="3" spans="1:4" x14ac:dyDescent="0.2">
      <c r="A3" s="9" t="s">
        <v>481</v>
      </c>
      <c r="B3">
        <f>'Controle de pragas - Item 9'!I172/'Controle de pragas - Item 9'!I39</f>
        <v>3.0558933627588822</v>
      </c>
    </row>
    <row r="5" spans="1:4" x14ac:dyDescent="0.2">
      <c r="A5" t="s">
        <v>482</v>
      </c>
    </row>
    <row r="7" spans="1:4" x14ac:dyDescent="0.2">
      <c r="A7" t="s">
        <v>483</v>
      </c>
    </row>
    <row r="9" spans="1:4" x14ac:dyDescent="0.2">
      <c r="A9" s="32">
        <v>2.2799999999999998</v>
      </c>
      <c r="B9" t="s">
        <v>484</v>
      </c>
      <c r="D9" s="148" t="s">
        <v>485</v>
      </c>
    </row>
    <row r="10" spans="1:4" x14ac:dyDescent="0.2">
      <c r="A10" s="32" t="s">
        <v>486</v>
      </c>
      <c r="B10" t="s">
        <v>487</v>
      </c>
      <c r="D10" t="s">
        <v>488</v>
      </c>
    </row>
    <row r="11" spans="1:4" x14ac:dyDescent="0.2">
      <c r="A11" s="32" t="s">
        <v>489</v>
      </c>
      <c r="B11" t="s">
        <v>490</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8" sqref="A8:I8"/>
    </sheetView>
  </sheetViews>
  <sheetFormatPr defaultRowHeight="12.75" x14ac:dyDescent="0.2"/>
  <cols>
    <col min="1" max="1" width="7.7109375" customWidth="1"/>
    <col min="2" max="2" width="14.5703125" customWidth="1"/>
    <col min="3" max="3" width="12.5703125" customWidth="1"/>
    <col min="5" max="5" width="10.85546875" bestFit="1" customWidth="1"/>
    <col min="6" max="6" width="10.28515625" customWidth="1"/>
    <col min="7" max="7" width="20.140625" customWidth="1"/>
    <col min="8" max="8" width="9" customWidth="1"/>
    <col min="9" max="9" width="16.140625" customWidth="1"/>
    <col min="10" max="10" width="5" customWidth="1"/>
    <col min="11" max="11" width="17.28515625" customWidth="1"/>
    <col min="12" max="12" width="15.85546875" customWidth="1"/>
    <col min="13" max="13" width="9.5703125" bestFit="1" customWidth="1"/>
  </cols>
  <sheetData>
    <row r="1" spans="1:9" ht="13.5" thickBot="1" x14ac:dyDescent="0.25">
      <c r="A1" s="439" t="s">
        <v>491</v>
      </c>
      <c r="B1" s="440"/>
      <c r="C1" s="440"/>
      <c r="D1" s="440"/>
      <c r="E1" s="440"/>
      <c r="F1" s="440"/>
      <c r="G1" s="440"/>
      <c r="H1" s="440"/>
      <c r="I1" s="441"/>
    </row>
    <row r="2" spans="1:9" x14ac:dyDescent="0.2">
      <c r="A2" s="30"/>
      <c r="B2" s="30"/>
      <c r="C2" s="30"/>
      <c r="D2" s="30"/>
      <c r="E2" s="30"/>
      <c r="F2" s="30"/>
      <c r="G2" s="30"/>
      <c r="H2" s="30"/>
      <c r="I2" s="30"/>
    </row>
    <row r="3" spans="1:9" x14ac:dyDescent="0.2">
      <c r="A3" s="30" t="s">
        <v>492</v>
      </c>
      <c r="B3" s="30"/>
      <c r="C3" s="30"/>
      <c r="D3" s="30"/>
      <c r="E3" s="30"/>
      <c r="F3" s="30"/>
      <c r="G3" s="30"/>
      <c r="H3" s="30"/>
      <c r="I3" s="30"/>
    </row>
    <row r="4" spans="1:9" ht="15" customHeight="1" x14ac:dyDescent="0.2">
      <c r="A4" s="759" t="s">
        <v>493</v>
      </c>
      <c r="B4" s="759"/>
      <c r="C4" s="759"/>
      <c r="D4" s="759"/>
      <c r="E4" s="759"/>
      <c r="F4" s="759"/>
      <c r="G4" s="759"/>
      <c r="H4" s="759"/>
      <c r="I4" s="759"/>
    </row>
    <row r="5" spans="1:9" ht="15" customHeight="1" x14ac:dyDescent="0.2">
      <c r="A5" s="759" t="s">
        <v>494</v>
      </c>
      <c r="B5" s="759"/>
      <c r="C5" s="759"/>
      <c r="D5" s="759"/>
      <c r="E5" s="759"/>
      <c r="F5" s="759"/>
      <c r="G5" s="759"/>
      <c r="H5" s="759"/>
      <c r="I5" s="759"/>
    </row>
    <row r="6" spans="1:9" ht="15" customHeight="1" x14ac:dyDescent="0.2">
      <c r="A6" s="759" t="s">
        <v>495</v>
      </c>
      <c r="B6" s="759"/>
      <c r="C6" s="759"/>
      <c r="D6" s="759"/>
      <c r="E6" s="759"/>
      <c r="F6" s="759"/>
      <c r="G6" s="759"/>
      <c r="H6" s="759"/>
      <c r="I6" s="759"/>
    </row>
    <row r="7" spans="1:9" ht="15" customHeight="1" x14ac:dyDescent="0.2">
      <c r="A7" s="759"/>
      <c r="B7" s="759"/>
      <c r="C7" s="759"/>
      <c r="D7" s="759"/>
      <c r="E7" s="759"/>
      <c r="F7" s="759"/>
      <c r="G7" s="759"/>
      <c r="H7" s="759"/>
      <c r="I7" s="759"/>
    </row>
    <row r="8" spans="1:9" ht="27" customHeight="1" x14ac:dyDescent="0.2">
      <c r="A8" s="759" t="s">
        <v>496</v>
      </c>
      <c r="B8" s="759"/>
      <c r="C8" s="759"/>
      <c r="D8" s="759"/>
      <c r="E8" s="759"/>
      <c r="F8" s="759"/>
      <c r="G8" s="759"/>
      <c r="H8" s="759"/>
      <c r="I8" s="759"/>
    </row>
    <row r="9" spans="1:9" ht="15" customHeight="1" x14ac:dyDescent="0.2">
      <c r="A9" s="765" t="s">
        <v>497</v>
      </c>
      <c r="B9" s="765"/>
      <c r="C9" s="765"/>
      <c r="D9" s="765"/>
      <c r="E9" s="765"/>
      <c r="F9" s="765"/>
      <c r="G9" s="765"/>
      <c r="H9" s="765"/>
      <c r="I9" s="765"/>
    </row>
    <row r="10" spans="1:9" ht="15" customHeight="1" x14ac:dyDescent="0.2">
      <c r="A10" s="765"/>
      <c r="B10" s="765"/>
      <c r="C10" s="765"/>
      <c r="D10" s="765"/>
      <c r="E10" s="765"/>
      <c r="F10" s="765"/>
      <c r="G10" s="765"/>
      <c r="H10" s="765"/>
      <c r="I10" s="765"/>
    </row>
    <row r="11" spans="1:9" ht="30" customHeight="1" x14ac:dyDescent="0.2">
      <c r="A11" s="759" t="s">
        <v>498</v>
      </c>
      <c r="B11" s="759"/>
      <c r="C11" s="759"/>
      <c r="D11" s="759"/>
      <c r="E11" s="759"/>
      <c r="F11" s="759"/>
      <c r="G11" s="759"/>
      <c r="H11" s="759"/>
      <c r="I11" s="759"/>
    </row>
    <row r="12" spans="1:9" ht="30" customHeight="1" x14ac:dyDescent="0.2">
      <c r="A12" s="759" t="s">
        <v>499</v>
      </c>
      <c r="B12" s="759"/>
      <c r="C12" s="759"/>
      <c r="D12" s="759"/>
      <c r="E12" s="759"/>
      <c r="F12" s="759"/>
      <c r="G12" s="759"/>
      <c r="H12" s="759"/>
      <c r="I12" s="759"/>
    </row>
    <row r="13" spans="1:9" ht="30" customHeight="1" x14ac:dyDescent="0.2">
      <c r="A13" s="759" t="s">
        <v>500</v>
      </c>
      <c r="B13" s="759"/>
      <c r="C13" s="759"/>
      <c r="D13" s="759"/>
      <c r="E13" s="759"/>
      <c r="F13" s="759"/>
      <c r="G13" s="759"/>
      <c r="H13" s="759"/>
      <c r="I13" s="759"/>
    </row>
    <row r="14" spans="1:9" ht="30" customHeight="1" x14ac:dyDescent="0.2">
      <c r="A14" s="759" t="s">
        <v>501</v>
      </c>
      <c r="B14" s="759"/>
      <c r="C14" s="759"/>
      <c r="D14" s="759"/>
      <c r="E14" s="759"/>
      <c r="F14" s="759"/>
      <c r="G14" s="759"/>
      <c r="H14" s="759"/>
      <c r="I14" s="759"/>
    </row>
    <row r="15" spans="1:9" ht="30" customHeight="1" x14ac:dyDescent="0.2">
      <c r="A15" s="760" t="s">
        <v>502</v>
      </c>
      <c r="B15" s="760"/>
      <c r="C15" s="760"/>
      <c r="D15" s="760"/>
      <c r="E15" s="760"/>
      <c r="F15" s="760"/>
      <c r="G15" s="760"/>
      <c r="H15" s="760"/>
      <c r="I15" s="760"/>
    </row>
    <row r="16" spans="1:9" ht="12.75" customHeight="1" thickBot="1" x14ac:dyDescent="0.25">
      <c r="A16" s="760"/>
      <c r="B16" s="760"/>
      <c r="C16" s="760"/>
      <c r="D16" s="760"/>
      <c r="E16" s="760"/>
      <c r="F16" s="760"/>
      <c r="G16" s="760"/>
      <c r="H16" s="760"/>
      <c r="I16" s="760"/>
    </row>
    <row r="17" spans="1:9" ht="13.5" thickBot="1" x14ac:dyDescent="0.25">
      <c r="A17" s="766" t="s">
        <v>503</v>
      </c>
      <c r="B17" s="767"/>
      <c r="C17" s="767"/>
      <c r="D17" s="767"/>
      <c r="E17" s="767"/>
      <c r="F17" s="767"/>
      <c r="G17" s="767"/>
      <c r="H17" s="767"/>
      <c r="I17" s="768"/>
    </row>
    <row r="19" spans="1:9" x14ac:dyDescent="0.2">
      <c r="A19" s="461" t="s">
        <v>87</v>
      </c>
      <c r="B19" s="461"/>
      <c r="C19" s="461"/>
      <c r="D19" s="461"/>
      <c r="E19" s="461"/>
      <c r="F19" s="461"/>
      <c r="G19" s="461"/>
      <c r="H19" s="461"/>
      <c r="I19" s="461"/>
    </row>
    <row r="20" spans="1:9" x14ac:dyDescent="0.2">
      <c r="A20" s="38" t="s">
        <v>88</v>
      </c>
      <c r="B20" s="466" t="s">
        <v>89</v>
      </c>
      <c r="C20" s="467"/>
      <c r="D20" s="467"/>
      <c r="E20" s="467"/>
      <c r="F20" s="467"/>
      <c r="G20" s="467"/>
      <c r="H20" s="468"/>
      <c r="I20" s="8" t="s">
        <v>74</v>
      </c>
    </row>
    <row r="21" spans="1:9" ht="24.75" customHeight="1" x14ac:dyDescent="0.2">
      <c r="A21" s="38" t="s">
        <v>38</v>
      </c>
      <c r="B21" s="761" t="s">
        <v>504</v>
      </c>
      <c r="C21" s="487"/>
      <c r="D21" s="487"/>
      <c r="E21" s="487"/>
      <c r="F21" s="487"/>
      <c r="G21" s="487"/>
      <c r="H21" s="488"/>
      <c r="I21" s="149">
        <f>1/12</f>
        <v>8.3333333333333329E-2</v>
      </c>
    </row>
    <row r="22" spans="1:9" ht="24.75" customHeight="1" x14ac:dyDescent="0.2">
      <c r="A22" s="8" t="s">
        <v>40</v>
      </c>
      <c r="B22" s="761" t="s">
        <v>505</v>
      </c>
      <c r="C22" s="762"/>
      <c r="D22" s="762"/>
      <c r="E22" s="762"/>
      <c r="F22" s="762"/>
      <c r="G22" s="762"/>
      <c r="H22" s="763"/>
      <c r="I22" s="22">
        <v>0.121</v>
      </c>
    </row>
    <row r="23" spans="1:9" x14ac:dyDescent="0.2">
      <c r="A23" s="448" t="s">
        <v>92</v>
      </c>
      <c r="B23" s="448"/>
      <c r="C23" s="448"/>
      <c r="D23" s="448"/>
      <c r="E23" s="448"/>
      <c r="F23" s="448"/>
      <c r="G23" s="448"/>
      <c r="H23" s="33"/>
      <c r="I23" s="33">
        <f>TRUNC(SUM(I21:I22),4)</f>
        <v>0.20430000000000001</v>
      </c>
    </row>
    <row r="24" spans="1:9" ht="37.5" customHeight="1" x14ac:dyDescent="0.2">
      <c r="A24" s="38" t="s">
        <v>43</v>
      </c>
      <c r="B24" s="761" t="s">
        <v>506</v>
      </c>
      <c r="C24" s="762"/>
      <c r="D24" s="762"/>
      <c r="E24" s="762"/>
      <c r="F24" s="762"/>
      <c r="G24" s="762"/>
      <c r="H24" s="763"/>
      <c r="I24" s="149">
        <v>7.8200000000000006E-2</v>
      </c>
    </row>
    <row r="25" spans="1:9" x14ac:dyDescent="0.2">
      <c r="A25" s="448" t="s">
        <v>94</v>
      </c>
      <c r="B25" s="448"/>
      <c r="C25" s="448"/>
      <c r="D25" s="448"/>
      <c r="E25" s="448"/>
      <c r="F25" s="448"/>
      <c r="G25" s="448"/>
      <c r="H25" s="33"/>
      <c r="I25" s="33">
        <f>TRUNC(SUM(I23:I24),4)</f>
        <v>0.28249999999999997</v>
      </c>
    </row>
    <row r="26" spans="1:9" x14ac:dyDescent="0.2">
      <c r="A26" s="153" t="s">
        <v>507</v>
      </c>
      <c r="B26" s="8"/>
      <c r="C26" s="8"/>
      <c r="D26" s="8"/>
      <c r="E26" s="8"/>
      <c r="F26" s="8"/>
      <c r="G26" s="8"/>
      <c r="H26" s="152"/>
      <c r="I26" s="152"/>
    </row>
    <row r="27" spans="1:9" s="9" customFormat="1" x14ac:dyDescent="0.2">
      <c r="A27" s="29"/>
    </row>
    <row r="28" spans="1:9" s="9" customFormat="1" x14ac:dyDescent="0.2">
      <c r="A28" s="29"/>
    </row>
    <row r="29" spans="1:9" x14ac:dyDescent="0.2">
      <c r="A29" s="3"/>
      <c r="B29" s="3"/>
      <c r="C29" s="3"/>
      <c r="D29" s="3"/>
      <c r="E29" s="3"/>
      <c r="F29" s="3"/>
      <c r="G29" s="3"/>
      <c r="H29" s="3"/>
      <c r="I29" s="4"/>
    </row>
    <row r="30" spans="1:9" s="9" customFormat="1" x14ac:dyDescent="0.2">
      <c r="A30" s="461" t="s">
        <v>140</v>
      </c>
      <c r="B30" s="461"/>
      <c r="C30" s="461"/>
      <c r="D30" s="461"/>
      <c r="E30" s="461"/>
      <c r="F30" s="461"/>
      <c r="G30" s="461"/>
      <c r="H30" s="461"/>
      <c r="I30" s="461"/>
    </row>
    <row r="31" spans="1:9" x14ac:dyDescent="0.2">
      <c r="A31" s="8">
        <v>3</v>
      </c>
      <c r="B31" s="457" t="s">
        <v>141</v>
      </c>
      <c r="C31" s="457"/>
      <c r="D31" s="457"/>
      <c r="E31" s="457"/>
      <c r="F31" s="457"/>
      <c r="G31" s="457"/>
      <c r="H31" s="8" t="s">
        <v>74</v>
      </c>
      <c r="I31" s="8" t="s">
        <v>75</v>
      </c>
    </row>
    <row r="32" spans="1:9" x14ac:dyDescent="0.2">
      <c r="A32" s="8" t="s">
        <v>38</v>
      </c>
      <c r="B32" s="445" t="s">
        <v>142</v>
      </c>
      <c r="C32" s="445"/>
      <c r="D32" s="445"/>
      <c r="E32" s="445"/>
      <c r="F32" s="445"/>
      <c r="G32" s="445"/>
      <c r="H32" s="1">
        <v>4.1999999999999997E-3</v>
      </c>
      <c r="I32" s="23"/>
    </row>
    <row r="33" spans="1:11" x14ac:dyDescent="0.2">
      <c r="A33" s="38" t="s">
        <v>40</v>
      </c>
      <c r="B33" s="465" t="s">
        <v>143</v>
      </c>
      <c r="C33" s="465"/>
      <c r="D33" s="465"/>
      <c r="E33" s="465"/>
      <c r="F33" s="465"/>
      <c r="G33" s="465"/>
      <c r="H33" s="149">
        <v>0.08</v>
      </c>
      <c r="I33" s="150"/>
    </row>
    <row r="34" spans="1:11" ht="39" customHeight="1" x14ac:dyDescent="0.2">
      <c r="A34" s="38" t="s">
        <v>43</v>
      </c>
      <c r="B34" s="465" t="s">
        <v>508</v>
      </c>
      <c r="C34" s="465"/>
      <c r="D34" s="465"/>
      <c r="E34" s="465"/>
      <c r="F34" s="465"/>
      <c r="G34" s="465"/>
      <c r="H34" s="149">
        <v>2E-3</v>
      </c>
      <c r="I34" s="150"/>
      <c r="K34" s="76"/>
    </row>
    <row r="35" spans="1:11" x14ac:dyDescent="0.2">
      <c r="A35" s="8" t="s">
        <v>46</v>
      </c>
      <c r="B35" s="445" t="s">
        <v>145</v>
      </c>
      <c r="C35" s="445"/>
      <c r="D35" s="445"/>
      <c r="E35" s="445"/>
      <c r="F35" s="445"/>
      <c r="G35" s="445"/>
      <c r="H35" s="1">
        <v>1.9400000000000001E-2</v>
      </c>
      <c r="I35" s="23"/>
    </row>
    <row r="36" spans="1:11" x14ac:dyDescent="0.2">
      <c r="A36" s="8" t="s">
        <v>80</v>
      </c>
      <c r="B36" s="485" t="s">
        <v>146</v>
      </c>
      <c r="C36" s="485"/>
      <c r="D36" s="485"/>
      <c r="E36" s="485"/>
      <c r="F36" s="485"/>
      <c r="G36" s="485"/>
      <c r="H36" s="22">
        <v>0.36799999999999999</v>
      </c>
      <c r="I36" s="23"/>
    </row>
    <row r="37" spans="1:11" ht="37.5" customHeight="1" x14ac:dyDescent="0.2">
      <c r="A37" s="38" t="s">
        <v>82</v>
      </c>
      <c r="B37" s="465" t="s">
        <v>509</v>
      </c>
      <c r="C37" s="465"/>
      <c r="D37" s="465"/>
      <c r="E37" s="465"/>
      <c r="F37" s="465"/>
      <c r="G37" s="465"/>
      <c r="H37" s="149">
        <v>3.7999999999999999E-2</v>
      </c>
      <c r="I37" s="150"/>
    </row>
    <row r="38" spans="1:11" x14ac:dyDescent="0.2">
      <c r="A38" s="478" t="s">
        <v>148</v>
      </c>
      <c r="B38" s="478"/>
      <c r="C38" s="478"/>
      <c r="D38" s="478"/>
      <c r="E38" s="478"/>
      <c r="F38" s="478"/>
      <c r="G38" s="478"/>
      <c r="H38" s="33"/>
      <c r="I38" s="117"/>
    </row>
    <row r="39" spans="1:11" x14ac:dyDescent="0.2">
      <c r="A39" s="3"/>
      <c r="B39" s="3"/>
      <c r="C39" s="3"/>
      <c r="D39" s="3"/>
      <c r="E39" s="3"/>
      <c r="F39" s="3"/>
      <c r="G39" s="3"/>
      <c r="H39" s="35"/>
      <c r="I39" s="4"/>
    </row>
    <row r="40" spans="1:11" x14ac:dyDescent="0.2">
      <c r="A40" s="748" t="s">
        <v>510</v>
      </c>
      <c r="B40" s="9" t="s">
        <v>511</v>
      </c>
      <c r="C40" s="3"/>
      <c r="D40" s="3"/>
      <c r="E40" s="3"/>
      <c r="F40" s="3"/>
      <c r="G40" s="3"/>
      <c r="H40" s="35"/>
      <c r="I40" s="4"/>
    </row>
    <row r="41" spans="1:11" x14ac:dyDescent="0.2">
      <c r="A41" s="748"/>
      <c r="B41" s="154" t="s">
        <v>512</v>
      </c>
      <c r="C41" s="3"/>
      <c r="D41" s="3"/>
      <c r="E41" s="3"/>
      <c r="F41" s="3"/>
      <c r="G41" s="3"/>
      <c r="H41" s="35"/>
      <c r="I41" s="4"/>
    </row>
    <row r="42" spans="1:11" x14ac:dyDescent="0.2">
      <c r="A42" s="748"/>
      <c r="B42" t="s">
        <v>513</v>
      </c>
      <c r="C42" s="3"/>
      <c r="D42" s="3"/>
      <c r="E42" s="3"/>
      <c r="F42" s="3"/>
      <c r="G42" s="3"/>
      <c r="H42" s="35"/>
      <c r="I42" s="4"/>
    </row>
    <row r="43" spans="1:11" x14ac:dyDescent="0.2">
      <c r="A43" s="748"/>
      <c r="B43" s="154" t="s">
        <v>514</v>
      </c>
      <c r="C43" s="3"/>
      <c r="D43" s="3"/>
      <c r="E43" s="3"/>
      <c r="F43" s="3"/>
      <c r="G43" s="3"/>
      <c r="H43" s="35"/>
      <c r="I43" s="4"/>
    </row>
    <row r="44" spans="1:11" x14ac:dyDescent="0.2">
      <c r="A44" s="748"/>
      <c r="B44" s="154" t="s">
        <v>515</v>
      </c>
      <c r="C44" s="3"/>
      <c r="D44" s="3"/>
      <c r="E44" s="3"/>
      <c r="F44" s="3"/>
      <c r="G44" s="3"/>
      <c r="H44" s="35"/>
      <c r="I44" s="4"/>
    </row>
    <row r="45" spans="1:11" x14ac:dyDescent="0.2">
      <c r="A45" s="748"/>
      <c r="B45" s="154" t="s">
        <v>516</v>
      </c>
      <c r="C45" s="3"/>
      <c r="D45" s="3"/>
      <c r="E45" s="3"/>
      <c r="F45" s="3"/>
      <c r="G45" s="3"/>
      <c r="H45" s="35"/>
      <c r="I45" s="4"/>
    </row>
    <row r="46" spans="1:11" x14ac:dyDescent="0.2">
      <c r="A46" s="748"/>
      <c r="B46" s="155" t="s">
        <v>517</v>
      </c>
      <c r="C46" s="3"/>
      <c r="D46" s="3"/>
      <c r="E46" s="3"/>
      <c r="F46" s="3"/>
      <c r="G46" s="3"/>
      <c r="H46" s="35"/>
      <c r="I46" s="4"/>
    </row>
    <row r="47" spans="1:11" x14ac:dyDescent="0.2">
      <c r="A47" s="3"/>
      <c r="C47" s="3"/>
      <c r="D47" s="3"/>
      <c r="E47" s="3"/>
      <c r="F47" s="3"/>
      <c r="G47" s="3"/>
      <c r="H47" s="35"/>
      <c r="I47" s="4"/>
    </row>
    <row r="48" spans="1:11" x14ac:dyDescent="0.2">
      <c r="A48" s="748" t="s">
        <v>518</v>
      </c>
      <c r="B48" s="154" t="s">
        <v>519</v>
      </c>
      <c r="C48" s="3"/>
      <c r="D48" s="3"/>
      <c r="E48" s="3"/>
      <c r="F48" s="3"/>
      <c r="G48" s="3"/>
      <c r="H48" s="35"/>
      <c r="I48" s="4"/>
    </row>
    <row r="49" spans="1:10" x14ac:dyDescent="0.2">
      <c r="A49" s="748"/>
      <c r="B49" s="154" t="s">
        <v>520</v>
      </c>
      <c r="C49" s="3"/>
      <c r="D49" s="3"/>
      <c r="E49" s="3"/>
      <c r="F49" s="3"/>
      <c r="G49" s="3"/>
      <c r="H49" s="35"/>
      <c r="I49" s="4"/>
    </row>
    <row r="50" spans="1:10" x14ac:dyDescent="0.2">
      <c r="A50" s="3"/>
      <c r="B50" s="155"/>
      <c r="C50" s="3"/>
      <c r="D50" s="3"/>
      <c r="E50" s="3"/>
      <c r="F50" s="3"/>
      <c r="G50" s="3"/>
      <c r="H50" s="35"/>
      <c r="I50" s="4"/>
    </row>
    <row r="51" spans="1:10" ht="27" customHeight="1" x14ac:dyDescent="0.2">
      <c r="A51" s="748" t="s">
        <v>521</v>
      </c>
      <c r="B51" s="764" t="s">
        <v>522</v>
      </c>
      <c r="C51" s="764"/>
      <c r="D51" s="764"/>
      <c r="E51" s="764"/>
      <c r="F51" s="764"/>
      <c r="G51" s="764"/>
      <c r="H51" s="764"/>
      <c r="I51" s="764"/>
    </row>
    <row r="52" spans="1:10" x14ac:dyDescent="0.2">
      <c r="A52" s="748"/>
      <c r="B52" s="154" t="s">
        <v>523</v>
      </c>
      <c r="C52" s="3"/>
      <c r="D52" s="3"/>
      <c r="E52" s="3"/>
      <c r="F52" s="3"/>
      <c r="G52" s="3"/>
      <c r="H52" s="35"/>
      <c r="I52" s="4"/>
    </row>
    <row r="53" spans="1:10" x14ac:dyDescent="0.2">
      <c r="A53" s="3"/>
      <c r="B53" s="155"/>
      <c r="C53" s="3"/>
      <c r="D53" s="3"/>
      <c r="E53" s="3"/>
      <c r="F53" s="3"/>
      <c r="G53" s="3"/>
      <c r="H53" s="35"/>
      <c r="I53" s="4"/>
    </row>
    <row r="54" spans="1:10" x14ac:dyDescent="0.2">
      <c r="A54" s="3" t="s">
        <v>524</v>
      </c>
      <c r="B54" s="75" t="s">
        <v>411</v>
      </c>
      <c r="C54" s="3"/>
      <c r="D54" s="3"/>
      <c r="E54" s="3"/>
      <c r="F54" s="3"/>
      <c r="G54" s="3"/>
      <c r="H54" s="35"/>
      <c r="I54" s="4"/>
    </row>
    <row r="56" spans="1:10" ht="12.75" customHeight="1" x14ac:dyDescent="0.2">
      <c r="A56" s="560" t="s">
        <v>412</v>
      </c>
      <c r="B56" s="560"/>
      <c r="C56" s="560"/>
      <c r="D56" s="560"/>
      <c r="E56" s="560"/>
      <c r="F56" s="560"/>
      <c r="G56" s="560"/>
      <c r="H56" s="560"/>
      <c r="I56" s="560"/>
      <c r="J56" s="560"/>
    </row>
    <row r="57" spans="1:10" x14ac:dyDescent="0.2">
      <c r="A57" s="560"/>
      <c r="B57" s="560"/>
      <c r="C57" s="560"/>
      <c r="D57" s="560"/>
      <c r="E57" s="560"/>
      <c r="F57" s="560"/>
      <c r="G57" s="560"/>
      <c r="H57" s="560"/>
      <c r="I57" s="560"/>
      <c r="J57" s="560"/>
    </row>
    <row r="58" spans="1:10" x14ac:dyDescent="0.2">
      <c r="A58" s="560"/>
      <c r="B58" s="560"/>
      <c r="C58" s="560"/>
      <c r="D58" s="560"/>
      <c r="E58" s="560"/>
      <c r="F58" s="560"/>
      <c r="G58" s="560"/>
      <c r="H58" s="560"/>
      <c r="I58" s="560"/>
      <c r="J58" s="560"/>
    </row>
    <row r="59" spans="1:10" x14ac:dyDescent="0.2">
      <c r="A59" s="560"/>
      <c r="B59" s="560"/>
      <c r="C59" s="560"/>
      <c r="D59" s="560"/>
      <c r="E59" s="560"/>
      <c r="F59" s="560"/>
      <c r="G59" s="560"/>
      <c r="H59" s="560"/>
      <c r="I59" s="560"/>
      <c r="J59" s="560"/>
    </row>
    <row r="60" spans="1:10" x14ac:dyDescent="0.2">
      <c r="A60" s="560"/>
      <c r="B60" s="560"/>
      <c r="C60" s="560"/>
      <c r="D60" s="560"/>
      <c r="E60" s="560"/>
      <c r="F60" s="560"/>
      <c r="G60" s="560"/>
      <c r="H60" s="560"/>
      <c r="I60" s="560"/>
      <c r="J60" s="560"/>
    </row>
    <row r="61" spans="1:10" x14ac:dyDescent="0.2">
      <c r="A61" s="151"/>
      <c r="B61" s="151"/>
      <c r="C61" s="151"/>
      <c r="D61" s="151"/>
      <c r="E61" s="151"/>
      <c r="F61" s="151"/>
      <c r="G61" s="151"/>
      <c r="H61" s="151"/>
      <c r="I61" s="151"/>
      <c r="J61" s="151"/>
    </row>
    <row r="62" spans="1:10" x14ac:dyDescent="0.2">
      <c r="A62" s="748" t="s">
        <v>525</v>
      </c>
      <c r="B62" s="154" t="s">
        <v>526</v>
      </c>
      <c r="C62" s="3"/>
      <c r="D62" s="3"/>
      <c r="E62" s="3"/>
      <c r="F62" s="3"/>
      <c r="G62" s="151"/>
      <c r="H62" s="151"/>
      <c r="I62" s="151"/>
      <c r="J62" s="151"/>
    </row>
    <row r="63" spans="1:10" x14ac:dyDescent="0.2">
      <c r="A63" s="748"/>
      <c r="B63" s="154" t="s">
        <v>527</v>
      </c>
      <c r="C63" s="3"/>
      <c r="D63" s="3"/>
      <c r="E63" s="3"/>
      <c r="F63" s="3"/>
      <c r="G63" s="151"/>
      <c r="H63" s="151"/>
      <c r="I63" s="151"/>
      <c r="J63" s="151"/>
    </row>
    <row r="64" spans="1:10" x14ac:dyDescent="0.2">
      <c r="A64" s="151"/>
      <c r="B64" s="151"/>
      <c r="C64" s="151"/>
      <c r="D64" s="151"/>
      <c r="E64" s="151"/>
      <c r="F64" s="151"/>
      <c r="G64" s="151"/>
      <c r="H64" s="151"/>
      <c r="I64" s="151"/>
      <c r="J64" s="151"/>
    </row>
    <row r="65" spans="1:10" x14ac:dyDescent="0.2">
      <c r="A65" s="748" t="s">
        <v>528</v>
      </c>
      <c r="B65" s="764" t="s">
        <v>522</v>
      </c>
      <c r="C65" s="764"/>
      <c r="D65" s="764"/>
      <c r="E65" s="764"/>
      <c r="F65" s="764"/>
      <c r="G65" s="764"/>
      <c r="H65" s="764"/>
      <c r="I65" s="764"/>
      <c r="J65" s="151"/>
    </row>
    <row r="66" spans="1:10" x14ac:dyDescent="0.2">
      <c r="A66" s="748"/>
      <c r="B66" s="154" t="s">
        <v>529</v>
      </c>
      <c r="C66" s="3"/>
      <c r="D66" s="3"/>
      <c r="E66" s="3"/>
      <c r="F66" s="3"/>
      <c r="G66" s="3"/>
      <c r="H66" s="35"/>
      <c r="I66" s="4"/>
      <c r="J66" s="151"/>
    </row>
    <row r="67" spans="1:10" x14ac:dyDescent="0.2">
      <c r="A67" s="151"/>
      <c r="B67" s="151"/>
      <c r="C67" s="151"/>
      <c r="D67" s="151"/>
      <c r="E67" s="151"/>
      <c r="F67" s="151"/>
      <c r="G67" s="151"/>
      <c r="H67" s="151"/>
      <c r="I67" s="151"/>
      <c r="J67" s="151"/>
    </row>
    <row r="68" spans="1:10" x14ac:dyDescent="0.2">
      <c r="A68" s="151"/>
      <c r="B68" s="151"/>
      <c r="C68" s="151"/>
      <c r="D68" s="151"/>
      <c r="E68" s="151"/>
      <c r="F68" s="151"/>
      <c r="G68" s="151"/>
      <c r="H68" s="151"/>
      <c r="I68" s="151"/>
      <c r="J68" s="151"/>
    </row>
    <row r="69" spans="1:10" x14ac:dyDescent="0.2">
      <c r="A69" s="40" t="s">
        <v>152</v>
      </c>
      <c r="B69" s="448" t="s">
        <v>153</v>
      </c>
      <c r="C69" s="448"/>
      <c r="D69" s="448"/>
      <c r="E69" s="448"/>
      <c r="F69" s="448"/>
      <c r="G69" s="448"/>
      <c r="H69" s="26" t="s">
        <v>74</v>
      </c>
      <c r="I69" s="26" t="s">
        <v>75</v>
      </c>
      <c r="J69" s="151"/>
    </row>
    <row r="70" spans="1:10" x14ac:dyDescent="0.2">
      <c r="A70" s="40" t="s">
        <v>38</v>
      </c>
      <c r="B70" s="445" t="s">
        <v>154</v>
      </c>
      <c r="C70" s="445"/>
      <c r="D70" s="445"/>
      <c r="E70" s="445"/>
      <c r="F70" s="445"/>
      <c r="G70" s="445"/>
      <c r="H70" s="34"/>
      <c r="I70" s="34"/>
      <c r="J70" s="151"/>
    </row>
    <row r="71" spans="1:10" ht="24" customHeight="1" x14ac:dyDescent="0.2">
      <c r="A71" s="45" t="s">
        <v>40</v>
      </c>
      <c r="B71" s="774" t="s">
        <v>530</v>
      </c>
      <c r="C71" s="774"/>
      <c r="D71" s="774"/>
      <c r="E71" s="774"/>
      <c r="F71" s="774"/>
      <c r="G71" s="774"/>
      <c r="H71" s="156">
        <v>1.67E-2</v>
      </c>
      <c r="I71" s="150">
        <f>H71*$I$45</f>
        <v>0</v>
      </c>
      <c r="J71" s="151"/>
    </row>
    <row r="72" spans="1:10" ht="36" customHeight="1" x14ac:dyDescent="0.2">
      <c r="A72" s="45" t="s">
        <v>43</v>
      </c>
      <c r="B72" s="773" t="s">
        <v>531</v>
      </c>
      <c r="C72" s="773"/>
      <c r="D72" s="773"/>
      <c r="E72" s="773"/>
      <c r="F72" s="773"/>
      <c r="G72" s="773"/>
      <c r="H72" s="156">
        <v>2.0000000000000001E-4</v>
      </c>
      <c r="I72" s="150">
        <f>H72*$I$45</f>
        <v>0</v>
      </c>
      <c r="J72" s="151"/>
    </row>
    <row r="73" spans="1:10" ht="42.75" customHeight="1" x14ac:dyDescent="0.2">
      <c r="A73" s="45" t="s">
        <v>46</v>
      </c>
      <c r="B73" s="773" t="s">
        <v>532</v>
      </c>
      <c r="C73" s="773"/>
      <c r="D73" s="773"/>
      <c r="E73" s="773"/>
      <c r="F73" s="773"/>
      <c r="G73" s="773"/>
      <c r="H73" s="149">
        <v>6.9999999999999999E-4</v>
      </c>
      <c r="I73" s="150">
        <f>H73*$I$45</f>
        <v>0</v>
      </c>
      <c r="J73" s="151"/>
    </row>
    <row r="74" spans="1:10" ht="35.25" customHeight="1" x14ac:dyDescent="0.2">
      <c r="A74" s="38" t="s">
        <v>80</v>
      </c>
      <c r="B74" s="773" t="s">
        <v>533</v>
      </c>
      <c r="C74" s="773"/>
      <c r="D74" s="773"/>
      <c r="E74" s="773"/>
      <c r="F74" s="773"/>
      <c r="G74" s="773"/>
      <c r="H74" s="156">
        <v>2.8999999999999998E-3</v>
      </c>
      <c r="I74" s="150">
        <f>H74*$I$45</f>
        <v>0</v>
      </c>
      <c r="J74" s="151"/>
    </row>
    <row r="75" spans="1:10" x14ac:dyDescent="0.2">
      <c r="A75" s="8" t="s">
        <v>82</v>
      </c>
      <c r="B75" s="445" t="s">
        <v>159</v>
      </c>
      <c r="C75" s="445"/>
      <c r="D75" s="445"/>
      <c r="E75" s="445"/>
      <c r="F75" s="445"/>
      <c r="G75" s="445"/>
      <c r="H75" s="157"/>
      <c r="I75" s="23">
        <f t="shared" ref="I75" si="0">H75*$I$45</f>
        <v>0</v>
      </c>
      <c r="J75" s="151"/>
    </row>
    <row r="76" spans="1:10" x14ac:dyDescent="0.2">
      <c r="A76" s="448" t="s">
        <v>160</v>
      </c>
      <c r="B76" s="448"/>
      <c r="C76" s="448"/>
      <c r="D76" s="448"/>
      <c r="E76" s="448"/>
      <c r="F76" s="448"/>
      <c r="G76" s="448"/>
      <c r="H76" s="33"/>
      <c r="I76" s="34">
        <f>SUM(I71:I75)</f>
        <v>0</v>
      </c>
      <c r="J76" s="151"/>
    </row>
    <row r="77" spans="1:10" x14ac:dyDescent="0.2">
      <c r="A77" s="8" t="s">
        <v>108</v>
      </c>
      <c r="B77" s="445" t="s">
        <v>161</v>
      </c>
      <c r="C77" s="445"/>
      <c r="D77" s="445"/>
      <c r="E77" s="445"/>
      <c r="F77" s="445"/>
      <c r="G77" s="445"/>
      <c r="H77" s="1">
        <v>0.36799999999999999</v>
      </c>
      <c r="I77" s="23">
        <f>I76*H77</f>
        <v>0</v>
      </c>
      <c r="J77" s="151"/>
    </row>
    <row r="78" spans="1:10" x14ac:dyDescent="0.2">
      <c r="A78" s="448" t="s">
        <v>162</v>
      </c>
      <c r="B78" s="448"/>
      <c r="C78" s="448"/>
      <c r="D78" s="448"/>
      <c r="E78" s="448"/>
      <c r="F78" s="448"/>
      <c r="G78" s="448"/>
      <c r="H78" s="33"/>
      <c r="I78" s="34">
        <f>SUM(I76:I77)</f>
        <v>0</v>
      </c>
    </row>
    <row r="79" spans="1:10" x14ac:dyDescent="0.2">
      <c r="A79" s="8"/>
      <c r="B79" s="464"/>
      <c r="C79" s="464"/>
      <c r="D79" s="464"/>
      <c r="E79" s="464"/>
      <c r="F79" s="464"/>
      <c r="G79" s="464"/>
      <c r="H79" s="464"/>
      <c r="I79" s="23"/>
    </row>
    <row r="80" spans="1:10" x14ac:dyDescent="0.2">
      <c r="A80" s="3"/>
      <c r="B80" s="29"/>
      <c r="C80" s="29"/>
      <c r="D80" s="29"/>
      <c r="E80" s="29"/>
      <c r="F80" s="29"/>
      <c r="G80" s="29"/>
      <c r="H80" s="29"/>
      <c r="I80" s="7"/>
    </row>
    <row r="81" spans="1:9" x14ac:dyDescent="0.2">
      <c r="A81" s="769" t="s">
        <v>534</v>
      </c>
      <c r="B81" s="769"/>
      <c r="C81" s="769"/>
      <c r="D81" s="769"/>
      <c r="E81" s="769"/>
      <c r="F81" s="769"/>
      <c r="G81" s="769"/>
      <c r="H81" s="769"/>
      <c r="I81" s="769"/>
    </row>
    <row r="82" spans="1:9" x14ac:dyDescent="0.2">
      <c r="A82" s="769"/>
      <c r="B82" s="769"/>
      <c r="C82" s="769"/>
      <c r="D82" s="769"/>
      <c r="E82" s="769"/>
      <c r="F82" s="769"/>
      <c r="G82" s="769"/>
      <c r="H82" s="769"/>
      <c r="I82" s="769"/>
    </row>
    <row r="83" spans="1:9" x14ac:dyDescent="0.2">
      <c r="A83" s="769"/>
      <c r="B83" s="769"/>
      <c r="C83" s="769"/>
      <c r="D83" s="769"/>
      <c r="E83" s="769"/>
      <c r="F83" s="769"/>
      <c r="G83" s="769"/>
      <c r="H83" s="769"/>
      <c r="I83" s="769"/>
    </row>
    <row r="84" spans="1:9" x14ac:dyDescent="0.2">
      <c r="A84" s="769"/>
      <c r="B84" s="769"/>
      <c r="C84" s="769"/>
      <c r="D84" s="769"/>
      <c r="E84" s="769"/>
      <c r="F84" s="769"/>
      <c r="G84" s="769"/>
      <c r="H84" s="769"/>
      <c r="I84" s="769"/>
    </row>
    <row r="85" spans="1:9" x14ac:dyDescent="0.2">
      <c r="A85" s="769"/>
      <c r="B85" s="769"/>
      <c r="C85" s="769"/>
      <c r="D85" s="769"/>
      <c r="E85" s="769"/>
      <c r="F85" s="769"/>
      <c r="G85" s="769"/>
      <c r="H85" s="769"/>
      <c r="I85" s="769"/>
    </row>
    <row r="86" spans="1:9" x14ac:dyDescent="0.2">
      <c r="A86" s="213"/>
      <c r="B86" s="213"/>
      <c r="C86" s="213"/>
      <c r="D86" s="213"/>
      <c r="E86" s="213"/>
      <c r="F86" s="213"/>
      <c r="G86" s="213"/>
      <c r="H86" s="213"/>
      <c r="I86" s="213"/>
    </row>
    <row r="87" spans="1:9" ht="16.5" thickBot="1" x14ac:dyDescent="0.25">
      <c r="A87" s="212"/>
      <c r="D87" s="213"/>
      <c r="E87" s="213"/>
      <c r="F87" s="213"/>
      <c r="G87" s="213"/>
      <c r="H87" s="213"/>
      <c r="I87" s="213"/>
    </row>
    <row r="88" spans="1:9" ht="26.25" thickBot="1" x14ac:dyDescent="0.25">
      <c r="A88" s="163" t="s">
        <v>279</v>
      </c>
      <c r="B88" s="164" t="s">
        <v>535</v>
      </c>
      <c r="C88" s="164" t="s">
        <v>536</v>
      </c>
      <c r="D88" s="213"/>
      <c r="E88" s="213"/>
      <c r="F88" s="213"/>
      <c r="G88" s="213"/>
      <c r="H88" s="213"/>
      <c r="I88" s="213"/>
    </row>
    <row r="89" spans="1:9" ht="13.5" thickBot="1" x14ac:dyDescent="0.25">
      <c r="A89" s="165" t="s">
        <v>447</v>
      </c>
      <c r="B89" s="166">
        <v>8.3299999999999999E-2</v>
      </c>
      <c r="C89" s="166">
        <v>6.9410000000000001E-3</v>
      </c>
      <c r="D89" s="213"/>
      <c r="E89" s="213"/>
      <c r="F89" s="213"/>
      <c r="G89" s="213"/>
      <c r="H89" s="213"/>
      <c r="I89" s="213"/>
    </row>
    <row r="90" spans="1:9" ht="39" thickBot="1" x14ac:dyDescent="0.25">
      <c r="A90" s="165" t="s">
        <v>537</v>
      </c>
      <c r="B90" s="166">
        <v>2.7799999999999998E-2</v>
      </c>
      <c r="C90" s="166">
        <v>2.3159999999999999E-3</v>
      </c>
      <c r="D90" s="213"/>
      <c r="E90" s="213"/>
      <c r="F90" s="213"/>
      <c r="G90" s="213"/>
      <c r="H90" s="213"/>
      <c r="I90" s="213"/>
    </row>
    <row r="91" spans="1:9" ht="26.25" thickBot="1" x14ac:dyDescent="0.25">
      <c r="A91" s="167" t="s">
        <v>538</v>
      </c>
      <c r="B91" s="168">
        <v>0.1111</v>
      </c>
      <c r="C91" s="168">
        <v>9.2569999999999996E-3</v>
      </c>
      <c r="D91" s="213"/>
      <c r="E91" s="213"/>
      <c r="F91" s="213"/>
      <c r="G91" s="213"/>
      <c r="H91" s="213"/>
      <c r="I91" s="213"/>
    </row>
    <row r="92" spans="1:9" ht="84.75" customHeight="1" thickBot="1" x14ac:dyDescent="0.25">
      <c r="A92" s="167" t="s">
        <v>5</v>
      </c>
      <c r="B92" s="770">
        <v>0.12039999999999999</v>
      </c>
      <c r="C92" s="771"/>
      <c r="D92" s="213"/>
      <c r="E92" s="213"/>
      <c r="F92" s="213"/>
      <c r="G92" s="213"/>
      <c r="H92" s="213"/>
      <c r="I92" s="213"/>
    </row>
    <row r="93" spans="1:9" ht="69" customHeight="1" x14ac:dyDescent="0.2">
      <c r="A93" s="162"/>
      <c r="D93" s="213"/>
      <c r="E93" s="213"/>
      <c r="F93" s="213"/>
      <c r="G93" s="213"/>
      <c r="H93" s="213"/>
      <c r="I93" s="213"/>
    </row>
    <row r="94" spans="1:9" ht="15" x14ac:dyDescent="0.2">
      <c r="A94" s="772" t="s">
        <v>539</v>
      </c>
      <c r="B94" s="772"/>
      <c r="C94" s="772"/>
      <c r="D94" s="772"/>
      <c r="E94" s="772"/>
      <c r="F94" s="772"/>
      <c r="G94" s="772"/>
      <c r="H94" s="772"/>
      <c r="I94" s="772"/>
    </row>
    <row r="95" spans="1:9" ht="15" x14ac:dyDescent="0.2">
      <c r="A95" s="772" t="s">
        <v>540</v>
      </c>
      <c r="B95" s="772"/>
      <c r="C95" s="772"/>
      <c r="D95" s="772"/>
      <c r="E95" s="772"/>
      <c r="F95" s="772"/>
      <c r="G95" s="772"/>
      <c r="H95" s="772"/>
      <c r="I95" s="772"/>
    </row>
    <row r="96" spans="1:9" x14ac:dyDescent="0.2">
      <c r="A96" s="3"/>
      <c r="B96" s="29"/>
      <c r="C96" s="29"/>
      <c r="D96" s="29"/>
      <c r="E96" s="29"/>
      <c r="F96" s="29"/>
      <c r="G96" s="29"/>
      <c r="H96" s="29"/>
      <c r="I96" s="7"/>
    </row>
    <row r="97" spans="1:9" x14ac:dyDescent="0.2">
      <c r="A97" s="3"/>
      <c r="B97" s="29"/>
      <c r="C97" s="29"/>
      <c r="D97" s="29"/>
      <c r="E97" s="29"/>
      <c r="F97" s="29"/>
      <c r="G97" s="29"/>
      <c r="H97" s="29"/>
      <c r="I97" s="7"/>
    </row>
    <row r="98" spans="1:9" x14ac:dyDescent="0.2">
      <c r="A98" s="148" t="s">
        <v>541</v>
      </c>
    </row>
  </sheetData>
  <mergeCells count="52">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25:G25"/>
    <mergeCell ref="B36:G36"/>
    <mergeCell ref="B37:G37"/>
    <mergeCell ref="A9:I10"/>
    <mergeCell ref="A16:I16"/>
    <mergeCell ref="A19:I19"/>
    <mergeCell ref="B21:H21"/>
    <mergeCell ref="B24:H24"/>
    <mergeCell ref="A17:I17"/>
    <mergeCell ref="A12:I12"/>
    <mergeCell ref="B20:H20"/>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1:I1"/>
    <mergeCell ref="A13:I13"/>
    <mergeCell ref="A14:I14"/>
    <mergeCell ref="A15:I15"/>
    <mergeCell ref="A4:I4"/>
    <mergeCell ref="A5:I5"/>
    <mergeCell ref="A11:I11"/>
    <mergeCell ref="A6:I7"/>
    <mergeCell ref="A8:I8"/>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Q164"/>
  <sheetViews>
    <sheetView topLeftCell="D1" zoomScale="115" zoomScaleNormal="115" workbookViewId="0">
      <selection activeCell="K9" sqref="K9"/>
    </sheetView>
  </sheetViews>
  <sheetFormatPr defaultRowHeight="12.75" x14ac:dyDescent="0.2"/>
  <cols>
    <col min="1" max="1" width="7.42578125" style="32" bestFit="1" customWidth="1"/>
    <col min="2" max="2" width="6.42578125" style="32" customWidth="1"/>
    <col min="3" max="3" width="52.28515625" style="206" customWidth="1"/>
    <col min="4" max="4" width="8.7109375" style="32"/>
    <col min="5" max="5" width="9.42578125" style="31" customWidth="1"/>
    <col min="6" max="6" width="13.42578125" style="31" bestFit="1" customWidth="1"/>
    <col min="7" max="7" width="13.42578125" style="31" customWidth="1"/>
    <col min="8" max="8" width="13.140625" style="31" customWidth="1"/>
    <col min="9" max="9" width="12.5703125" style="32" customWidth="1"/>
    <col min="10" max="10" width="9.42578125" style="32" bestFit="1" customWidth="1"/>
    <col min="11" max="11" width="14.42578125" bestFit="1" customWidth="1"/>
    <col min="12" max="12" width="23.85546875" customWidth="1"/>
    <col min="13" max="13" width="11.42578125" bestFit="1" customWidth="1"/>
    <col min="15" max="15" width="9.140625" bestFit="1" customWidth="1"/>
    <col min="16" max="16" width="16.85546875" bestFit="1" customWidth="1"/>
    <col min="17" max="17" width="11.42578125" bestFit="1" customWidth="1"/>
  </cols>
  <sheetData>
    <row r="1" spans="1:17" ht="51" x14ac:dyDescent="0.2">
      <c r="A1" s="275" t="s">
        <v>12</v>
      </c>
      <c r="B1" s="276" t="s">
        <v>13</v>
      </c>
      <c r="C1" s="276" t="s">
        <v>14</v>
      </c>
      <c r="D1" s="276" t="s">
        <v>15</v>
      </c>
      <c r="E1" s="276" t="s">
        <v>16</v>
      </c>
      <c r="F1" s="277" t="s">
        <v>17</v>
      </c>
      <c r="G1" s="277" t="s">
        <v>18</v>
      </c>
      <c r="H1" s="276" t="s">
        <v>19</v>
      </c>
      <c r="I1" s="276" t="s">
        <v>20</v>
      </c>
      <c r="J1" s="276" t="s">
        <v>21</v>
      </c>
      <c r="K1" s="278" t="s">
        <v>22</v>
      </c>
      <c r="L1" s="214"/>
      <c r="M1" s="214"/>
    </row>
    <row r="2" spans="1:17" ht="18.75" x14ac:dyDescent="0.2">
      <c r="A2" s="273"/>
      <c r="B2" s="437" t="s">
        <v>23</v>
      </c>
      <c r="C2" s="437"/>
      <c r="D2" s="437"/>
      <c r="E2" s="437"/>
      <c r="F2" s="437"/>
      <c r="G2" s="437"/>
      <c r="H2" s="437"/>
      <c r="I2" s="437"/>
      <c r="J2" s="437"/>
      <c r="K2" s="438"/>
      <c r="L2" s="214"/>
      <c r="M2" s="214"/>
    </row>
    <row r="3" spans="1:17" ht="33.950000000000003" customHeight="1" x14ac:dyDescent="0.2">
      <c r="A3" s="434">
        <v>2</v>
      </c>
      <c r="B3" s="28">
        <v>8</v>
      </c>
      <c r="C3" s="269" t="s">
        <v>24</v>
      </c>
      <c r="D3" s="28">
        <v>24023</v>
      </c>
      <c r="E3" s="270" t="s">
        <v>25</v>
      </c>
      <c r="F3" s="215" t="s">
        <v>26</v>
      </c>
      <c r="G3" s="343">
        <v>3172</v>
      </c>
      <c r="H3" s="28">
        <v>60</v>
      </c>
      <c r="I3" s="274">
        <f>TRUNC(H3*G3,2)</f>
        <v>190320</v>
      </c>
      <c r="J3" s="271">
        <f>'Limpeza - Item 8'!I186</f>
        <v>9.98</v>
      </c>
      <c r="K3" s="279">
        <f>TRUNC(J3*I3,2)</f>
        <v>1899393.6</v>
      </c>
      <c r="M3" s="107"/>
      <c r="O3" s="333"/>
      <c r="P3" s="334"/>
      <c r="Q3" s="107"/>
    </row>
    <row r="4" spans="1:17" ht="18.75" x14ac:dyDescent="0.2">
      <c r="A4" s="434"/>
      <c r="B4" s="437" t="s">
        <v>27</v>
      </c>
      <c r="C4" s="437"/>
      <c r="D4" s="437"/>
      <c r="E4" s="437"/>
      <c r="F4" s="437"/>
      <c r="G4" s="437"/>
      <c r="H4" s="437"/>
      <c r="I4" s="437"/>
      <c r="J4" s="437"/>
      <c r="K4" s="438"/>
      <c r="M4" s="107"/>
      <c r="P4" s="251"/>
    </row>
    <row r="5" spans="1:17" ht="37.5" customHeight="1" x14ac:dyDescent="0.2">
      <c r="A5" s="434"/>
      <c r="B5" s="28">
        <v>9</v>
      </c>
      <c r="C5" s="269" t="s">
        <v>28</v>
      </c>
      <c r="D5" s="28">
        <v>3417</v>
      </c>
      <c r="E5" s="270" t="s">
        <v>25</v>
      </c>
      <c r="F5" s="272" t="s">
        <v>29</v>
      </c>
      <c r="G5" s="419">
        <v>2498</v>
      </c>
      <c r="H5" s="28">
        <v>10</v>
      </c>
      <c r="I5" s="274">
        <f>TRUNC(H5*G5,2)</f>
        <v>24980</v>
      </c>
      <c r="J5" s="271">
        <f>'Controle de pragas - Item 9'!I181</f>
        <v>0.31</v>
      </c>
      <c r="K5" s="279">
        <f t="shared" ref="K5" si="0">TRUNC(J5*I5,2)</f>
        <v>7743.8</v>
      </c>
      <c r="M5" s="107"/>
      <c r="P5" s="251"/>
    </row>
    <row r="6" spans="1:17" ht="28.5" customHeight="1" x14ac:dyDescent="0.2">
      <c r="A6" s="434"/>
      <c r="B6" s="28">
        <v>10</v>
      </c>
      <c r="C6" s="269" t="s">
        <v>30</v>
      </c>
      <c r="D6" s="28">
        <v>25259</v>
      </c>
      <c r="E6" s="215" t="s">
        <v>31</v>
      </c>
      <c r="F6" s="272" t="s">
        <v>29</v>
      </c>
      <c r="G6" s="342">
        <v>4</v>
      </c>
      <c r="H6" s="28">
        <v>60</v>
      </c>
      <c r="I6" s="274">
        <f>TRUNC(H6*G6,2)</f>
        <v>240</v>
      </c>
      <c r="J6" s="271">
        <f>'Remanejamento- Item 10'!I220</f>
        <v>224.27</v>
      </c>
      <c r="K6" s="279">
        <f t="shared" ref="K6" si="1">TRUNC(J6*I6,2)</f>
        <v>53824.800000000003</v>
      </c>
      <c r="M6" s="107"/>
    </row>
    <row r="7" spans="1:17" ht="20.100000000000001" customHeight="1" thickBot="1" x14ac:dyDescent="0.25">
      <c r="A7" s="435" t="s">
        <v>32</v>
      </c>
      <c r="B7" s="436"/>
      <c r="C7" s="436"/>
      <c r="D7" s="436"/>
      <c r="E7" s="436"/>
      <c r="F7" s="436"/>
      <c r="G7" s="436"/>
      <c r="H7" s="436"/>
      <c r="I7" s="436"/>
      <c r="J7" s="280"/>
      <c r="K7" s="281">
        <f>TRUNC(SUM(K3:K6),2)</f>
        <v>1960962.2</v>
      </c>
      <c r="L7" s="251"/>
    </row>
    <row r="13" spans="1:17" x14ac:dyDescent="0.2">
      <c r="A13" s="244"/>
    </row>
    <row r="23" spans="1:1" x14ac:dyDescent="0.2">
      <c r="A23" s="245"/>
    </row>
    <row r="24" spans="1:1" x14ac:dyDescent="0.2">
      <c r="A24" s="245"/>
    </row>
    <row r="48" spans="1:1" x14ac:dyDescent="0.2">
      <c r="A48" s="245"/>
    </row>
    <row r="57" spans="1:3" x14ac:dyDescent="0.2">
      <c r="A57" s="244"/>
    </row>
    <row r="58" spans="1:3" x14ac:dyDescent="0.2">
      <c r="A58" s="244"/>
    </row>
    <row r="59" spans="1:3" x14ac:dyDescent="0.2">
      <c r="A59" s="244"/>
    </row>
    <row r="60" spans="1:3" x14ac:dyDescent="0.2">
      <c r="A60" s="244"/>
      <c r="C60" s="250"/>
    </row>
    <row r="65" spans="1:1" x14ac:dyDescent="0.2">
      <c r="A65" s="246"/>
    </row>
    <row r="69" spans="1:1" x14ac:dyDescent="0.2">
      <c r="A69" s="246"/>
    </row>
    <row r="70" spans="1:1" x14ac:dyDescent="0.2">
      <c r="A70" s="246"/>
    </row>
    <row r="72" spans="1:1" x14ac:dyDescent="0.2">
      <c r="A72" s="244"/>
    </row>
    <row r="129" spans="1:11" x14ac:dyDescent="0.2">
      <c r="K129" s="185"/>
    </row>
    <row r="130" spans="1:11" s="185" customFormat="1" x14ac:dyDescent="0.2">
      <c r="A130" s="32"/>
      <c r="B130" s="32"/>
      <c r="C130" s="206"/>
      <c r="D130" s="32"/>
      <c r="E130" s="31"/>
      <c r="F130" s="31"/>
      <c r="G130" s="31"/>
      <c r="H130" s="31"/>
      <c r="I130" s="32"/>
      <c r="J130" s="32"/>
      <c r="K130"/>
    </row>
    <row r="156" spans="1:11" x14ac:dyDescent="0.2">
      <c r="A156" s="31"/>
      <c r="B156" s="31"/>
      <c r="D156" s="31"/>
      <c r="I156" s="31"/>
      <c r="J156" s="31"/>
      <c r="K156" s="214"/>
    </row>
    <row r="157" spans="1:11" s="214" customFormat="1" x14ac:dyDescent="0.2">
      <c r="A157" s="31"/>
      <c r="B157" s="31"/>
      <c r="C157" s="206"/>
      <c r="D157" s="31"/>
      <c r="E157" s="31"/>
      <c r="F157" s="31"/>
      <c r="G157" s="31"/>
      <c r="H157" s="31"/>
      <c r="I157" s="31"/>
      <c r="J157" s="31"/>
    </row>
    <row r="158" spans="1:11" s="214" customFormat="1" x14ac:dyDescent="0.2">
      <c r="A158" s="31"/>
      <c r="B158" s="31"/>
      <c r="C158" s="206"/>
      <c r="D158" s="31"/>
      <c r="E158" s="31"/>
      <c r="F158" s="31"/>
      <c r="G158" s="31"/>
      <c r="H158" s="31"/>
      <c r="I158" s="31"/>
      <c r="J158" s="31"/>
    </row>
    <row r="159" spans="1:11" s="214" customFormat="1" x14ac:dyDescent="0.2">
      <c r="A159" s="31"/>
      <c r="B159" s="31"/>
      <c r="C159" s="206"/>
      <c r="D159" s="31"/>
      <c r="E159" s="31"/>
      <c r="F159" s="31"/>
      <c r="G159" s="31"/>
      <c r="H159" s="31"/>
      <c r="I159" s="31"/>
      <c r="J159" s="31"/>
    </row>
    <row r="160" spans="1:11" s="214" customFormat="1" x14ac:dyDescent="0.2">
      <c r="A160" s="31"/>
      <c r="B160" s="31"/>
      <c r="C160" s="206"/>
      <c r="D160" s="31"/>
      <c r="E160" s="31"/>
      <c r="F160" s="31"/>
      <c r="G160" s="31"/>
      <c r="H160" s="31"/>
      <c r="I160" s="31"/>
      <c r="J160" s="31"/>
    </row>
    <row r="161" spans="1:11" s="214" customFormat="1" x14ac:dyDescent="0.2">
      <c r="A161" s="31"/>
      <c r="B161" s="31"/>
      <c r="C161" s="206"/>
      <c r="D161" s="31"/>
      <c r="E161" s="31"/>
      <c r="F161" s="31"/>
      <c r="G161" s="31"/>
      <c r="H161" s="31"/>
      <c r="I161" s="31"/>
      <c r="J161" s="31"/>
    </row>
    <row r="162" spans="1:11" s="214" customFormat="1" x14ac:dyDescent="0.2">
      <c r="A162" s="31"/>
      <c r="B162" s="31"/>
      <c r="C162" s="206"/>
      <c r="D162" s="31"/>
      <c r="E162" s="31"/>
      <c r="F162" s="31"/>
      <c r="G162" s="31"/>
      <c r="H162" s="31"/>
      <c r="I162" s="31"/>
      <c r="J162" s="31"/>
    </row>
    <row r="163" spans="1:11" s="214" customFormat="1" x14ac:dyDescent="0.2">
      <c r="A163" s="247"/>
      <c r="B163" s="169"/>
      <c r="C163" s="249"/>
      <c r="D163" s="169"/>
      <c r="E163" s="248"/>
      <c r="F163" s="248"/>
      <c r="G163" s="248"/>
      <c r="H163" s="248"/>
      <c r="I163" s="169"/>
      <c r="J163" s="169"/>
      <c r="K163" s="9"/>
    </row>
    <row r="164" spans="1:11" s="9" customFormat="1" x14ac:dyDescent="0.2">
      <c r="A164" s="239"/>
      <c r="B164" s="32"/>
      <c r="C164" s="206"/>
      <c r="D164" s="32"/>
      <c r="E164" s="31"/>
      <c r="F164" s="31"/>
      <c r="G164" s="31"/>
      <c r="H164" s="31"/>
      <c r="I164" s="32"/>
      <c r="J164" s="32"/>
      <c r="K164"/>
    </row>
  </sheetData>
  <mergeCells count="4">
    <mergeCell ref="A3:A6"/>
    <mergeCell ref="A7:I7"/>
    <mergeCell ref="B2:K2"/>
    <mergeCell ref="B4:K4"/>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DE86B-E802-4766-ABCC-2E85443F2AD9}">
  <sheetPr>
    <tabColor indexed="13"/>
  </sheetPr>
  <dimension ref="A1:AA224"/>
  <sheetViews>
    <sheetView tabSelected="1" topLeftCell="A164" zoomScaleNormal="100" workbookViewId="0">
      <selection activeCell="AA41" sqref="AA41"/>
    </sheetView>
  </sheetViews>
  <sheetFormatPr defaultRowHeight="12.75" outlineLevelRow="1" x14ac:dyDescent="0.2"/>
  <cols>
    <col min="1" max="1" width="7.7109375" customWidth="1"/>
    <col min="2" max="2" width="15.28515625" customWidth="1"/>
    <col min="3" max="3" width="13.7109375" bestFit="1" customWidth="1"/>
    <col min="4" max="4" width="20.5703125" customWidth="1"/>
    <col min="5" max="5" width="17.7109375" customWidth="1"/>
    <col min="6" max="6" width="12.85546875" customWidth="1"/>
    <col min="7" max="7" width="12.140625" customWidth="1"/>
    <col min="8" max="8" width="17.42578125" customWidth="1"/>
    <col min="9" max="9" width="21.85546875" customWidth="1"/>
    <col min="10" max="10" width="17.28515625" hidden="1" customWidth="1"/>
    <col min="11" max="16" width="0" hidden="1" customWidth="1"/>
    <col min="17" max="17" width="13.85546875" customWidth="1"/>
    <col min="18" max="18" width="15.42578125" bestFit="1" customWidth="1"/>
    <col min="26" max="26" width="16.5703125" customWidth="1"/>
  </cols>
  <sheetData>
    <row r="1" spans="1:26" x14ac:dyDescent="0.2">
      <c r="A1" s="439" t="s">
        <v>33</v>
      </c>
      <c r="B1" s="440"/>
      <c r="C1" s="440"/>
      <c r="D1" s="440"/>
      <c r="E1" s="440"/>
      <c r="F1" s="440"/>
      <c r="G1" s="440"/>
      <c r="H1" s="440"/>
      <c r="I1" s="441"/>
      <c r="J1" s="439"/>
      <c r="K1" s="440"/>
      <c r="L1" s="440"/>
      <c r="M1" s="440"/>
      <c r="N1" s="440"/>
      <c r="O1" s="440"/>
      <c r="P1" s="440"/>
    </row>
    <row r="2" spans="1:26" x14ac:dyDescent="0.2">
      <c r="A2" s="287"/>
      <c r="B2" s="233"/>
      <c r="C2" s="233"/>
      <c r="D2" s="233"/>
      <c r="E2" s="233"/>
      <c r="F2" s="233"/>
      <c r="G2" s="233"/>
      <c r="H2" s="233"/>
      <c r="I2" s="288"/>
      <c r="J2" s="287"/>
      <c r="K2" s="233"/>
      <c r="L2" s="233"/>
      <c r="M2" s="233"/>
      <c r="N2" s="233"/>
      <c r="O2" s="233"/>
      <c r="P2" s="233"/>
    </row>
    <row r="3" spans="1:26" ht="15" customHeight="1" x14ac:dyDescent="0.2">
      <c r="A3" s="442" t="s">
        <v>34</v>
      </c>
      <c r="B3" s="443"/>
      <c r="C3" s="443"/>
      <c r="D3" s="443"/>
      <c r="E3" s="443"/>
      <c r="F3" s="443"/>
      <c r="G3" s="233"/>
      <c r="H3" s="233"/>
      <c r="I3" s="288"/>
      <c r="J3" s="444"/>
      <c r="K3" s="443"/>
      <c r="L3" s="443"/>
      <c r="M3" s="443"/>
      <c r="N3" s="443"/>
      <c r="O3" s="443"/>
      <c r="P3" s="233"/>
    </row>
    <row r="4" spans="1:26" ht="15" customHeight="1" x14ac:dyDescent="0.2">
      <c r="A4" s="444" t="s">
        <v>35</v>
      </c>
      <c r="B4" s="443"/>
      <c r="C4" s="443"/>
      <c r="D4" s="443"/>
      <c r="E4" s="443"/>
      <c r="F4" s="443"/>
      <c r="G4" s="233"/>
      <c r="H4" s="233"/>
      <c r="I4" s="288"/>
      <c r="J4" s="444"/>
      <c r="K4" s="443"/>
      <c r="L4" s="443"/>
      <c r="M4" s="443"/>
      <c r="N4" s="443"/>
      <c r="O4" s="443"/>
      <c r="P4" s="233"/>
    </row>
    <row r="5" spans="1:26" x14ac:dyDescent="0.2">
      <c r="A5" s="59"/>
      <c r="B5" s="9"/>
      <c r="C5" s="9"/>
      <c r="D5" s="9"/>
      <c r="E5" s="9"/>
      <c r="F5" s="9"/>
      <c r="G5" s="9"/>
      <c r="H5" s="9"/>
      <c r="I5" s="97"/>
      <c r="J5" s="59"/>
      <c r="K5" s="9"/>
      <c r="L5" s="9"/>
      <c r="M5" s="9"/>
      <c r="N5" s="9"/>
      <c r="O5" s="9"/>
      <c r="P5" s="9"/>
    </row>
    <row r="6" spans="1:26" x14ac:dyDescent="0.2">
      <c r="A6" s="444" t="s">
        <v>36</v>
      </c>
      <c r="B6" s="443"/>
      <c r="C6" s="443"/>
      <c r="D6" s="443"/>
      <c r="E6" s="443"/>
      <c r="F6" s="443"/>
      <c r="G6" s="9"/>
      <c r="H6" s="9"/>
      <c r="I6" s="97"/>
      <c r="J6" s="444"/>
      <c r="K6" s="443"/>
      <c r="L6" s="443"/>
      <c r="M6" s="443"/>
      <c r="N6" s="443"/>
      <c r="O6" s="443"/>
      <c r="P6" s="9"/>
    </row>
    <row r="7" spans="1:26" x14ac:dyDescent="0.2">
      <c r="A7" s="289"/>
      <c r="B7" s="234"/>
      <c r="C7" s="234"/>
      <c r="D7" s="234"/>
      <c r="E7" s="234"/>
      <c r="F7" s="234"/>
      <c r="G7" s="234"/>
      <c r="H7" s="234"/>
      <c r="I7" s="290"/>
      <c r="J7" s="289"/>
      <c r="K7" s="234"/>
      <c r="L7" s="234"/>
      <c r="M7" s="234"/>
      <c r="N7" s="234"/>
      <c r="O7" s="234"/>
      <c r="P7" s="234"/>
    </row>
    <row r="8" spans="1:26" x14ac:dyDescent="0.2">
      <c r="A8" s="447" t="s">
        <v>37</v>
      </c>
      <c r="B8" s="448"/>
      <c r="C8" s="448"/>
      <c r="D8" s="448"/>
      <c r="E8" s="448"/>
      <c r="F8" s="448"/>
      <c r="G8" s="448"/>
      <c r="H8" s="448"/>
      <c r="I8" s="449"/>
      <c r="J8" s="447"/>
      <c r="K8" s="448"/>
      <c r="L8" s="448"/>
      <c r="M8" s="448"/>
      <c r="N8" s="448"/>
      <c r="O8" s="448"/>
      <c r="P8" s="448"/>
      <c r="R8" s="447" t="s">
        <v>37</v>
      </c>
      <c r="S8" s="448"/>
      <c r="T8" s="448"/>
      <c r="U8" s="448"/>
      <c r="V8" s="448"/>
      <c r="W8" s="448"/>
      <c r="X8" s="448"/>
      <c r="Y8" s="448"/>
      <c r="Z8" s="449"/>
    </row>
    <row r="9" spans="1:26" x14ac:dyDescent="0.2">
      <c r="A9" s="292" t="s">
        <v>38</v>
      </c>
      <c r="B9" s="445" t="s">
        <v>39</v>
      </c>
      <c r="C9" s="446"/>
      <c r="D9" s="446"/>
      <c r="E9" s="446"/>
      <c r="F9" s="446"/>
      <c r="G9" s="446"/>
      <c r="H9" s="446"/>
      <c r="I9" s="293">
        <v>45863</v>
      </c>
      <c r="J9" s="292"/>
      <c r="K9" s="445"/>
      <c r="L9" s="446"/>
      <c r="M9" s="446"/>
      <c r="N9" s="446"/>
      <c r="O9" s="446"/>
      <c r="P9" s="446"/>
      <c r="R9" s="292" t="s">
        <v>38</v>
      </c>
      <c r="S9" s="445" t="s">
        <v>39</v>
      </c>
      <c r="T9" s="446"/>
      <c r="U9" s="446"/>
      <c r="V9" s="446"/>
      <c r="W9" s="446"/>
      <c r="X9" s="446"/>
      <c r="Y9" s="446"/>
      <c r="Z9" s="293">
        <v>45863</v>
      </c>
    </row>
    <row r="10" spans="1:26" x14ac:dyDescent="0.2">
      <c r="A10" s="292" t="s">
        <v>40</v>
      </c>
      <c r="B10" s="445" t="s">
        <v>41</v>
      </c>
      <c r="C10" s="446"/>
      <c r="D10" s="446"/>
      <c r="E10" s="446"/>
      <c r="F10" s="446"/>
      <c r="G10" s="446"/>
      <c r="H10" s="446"/>
      <c r="I10" s="294" t="s">
        <v>42</v>
      </c>
      <c r="J10" s="292"/>
      <c r="K10" s="445"/>
      <c r="L10" s="446"/>
      <c r="M10" s="446"/>
      <c r="N10" s="446"/>
      <c r="O10" s="446"/>
      <c r="P10" s="446"/>
      <c r="R10" s="292" t="s">
        <v>40</v>
      </c>
      <c r="S10" s="445" t="s">
        <v>41</v>
      </c>
      <c r="T10" s="446"/>
      <c r="U10" s="446"/>
      <c r="V10" s="446"/>
      <c r="W10" s="446"/>
      <c r="X10" s="446"/>
      <c r="Y10" s="446"/>
      <c r="Z10" s="294" t="s">
        <v>42</v>
      </c>
    </row>
    <row r="11" spans="1:26" x14ac:dyDescent="0.2">
      <c r="A11" s="292" t="s">
        <v>43</v>
      </c>
      <c r="B11" s="445" t="s">
        <v>44</v>
      </c>
      <c r="C11" s="445"/>
      <c r="D11" s="445"/>
      <c r="E11" s="445"/>
      <c r="F11" s="445"/>
      <c r="G11" s="445"/>
      <c r="H11" s="445"/>
      <c r="I11" s="294" t="s">
        <v>45</v>
      </c>
      <c r="J11" s="292"/>
      <c r="K11" s="445"/>
      <c r="L11" s="445"/>
      <c r="M11" s="445"/>
      <c r="N11" s="445"/>
      <c r="O11" s="445"/>
      <c r="P11" s="445"/>
      <c r="R11" s="292" t="s">
        <v>43</v>
      </c>
      <c r="S11" s="445" t="s">
        <v>44</v>
      </c>
      <c r="T11" s="445"/>
      <c r="U11" s="445"/>
      <c r="V11" s="445"/>
      <c r="W11" s="445"/>
      <c r="X11" s="445"/>
      <c r="Y11" s="445"/>
      <c r="Z11" s="294" t="s">
        <v>45</v>
      </c>
    </row>
    <row r="12" spans="1:26" x14ac:dyDescent="0.2">
      <c r="A12" s="292" t="s">
        <v>46</v>
      </c>
      <c r="B12" s="445" t="s">
        <v>47</v>
      </c>
      <c r="C12" s="446"/>
      <c r="D12" s="446"/>
      <c r="E12" s="446"/>
      <c r="F12" s="446"/>
      <c r="G12" s="446"/>
      <c r="H12" s="446"/>
      <c r="I12" s="295">
        <v>60</v>
      </c>
      <c r="J12" s="292"/>
      <c r="K12" s="445"/>
      <c r="L12" s="446"/>
      <c r="M12" s="446"/>
      <c r="N12" s="446"/>
      <c r="O12" s="446"/>
      <c r="P12" s="446"/>
      <c r="R12" s="292" t="s">
        <v>46</v>
      </c>
      <c r="S12" s="445" t="s">
        <v>47</v>
      </c>
      <c r="T12" s="446"/>
      <c r="U12" s="446"/>
      <c r="V12" s="446"/>
      <c r="W12" s="446"/>
      <c r="X12" s="446"/>
      <c r="Y12" s="446"/>
      <c r="Z12" s="295">
        <v>60</v>
      </c>
    </row>
    <row r="13" spans="1:26" x14ac:dyDescent="0.2">
      <c r="A13" s="287"/>
      <c r="B13" s="234"/>
      <c r="C13" s="234"/>
      <c r="D13" s="234"/>
      <c r="E13" s="234"/>
      <c r="F13" s="234"/>
      <c r="G13" s="234"/>
      <c r="H13" s="233"/>
      <c r="I13" s="288"/>
      <c r="J13" s="287"/>
      <c r="K13" s="234"/>
      <c r="L13" s="234"/>
      <c r="M13" s="234"/>
      <c r="N13" s="234"/>
      <c r="O13" s="234"/>
      <c r="P13" s="234"/>
      <c r="R13" s="287"/>
      <c r="S13" s="234"/>
      <c r="T13" s="234"/>
      <c r="U13" s="234"/>
      <c r="V13" s="234"/>
      <c r="W13" s="234"/>
      <c r="X13" s="234"/>
      <c r="Y13" s="233"/>
      <c r="Z13" s="288"/>
    </row>
    <row r="14" spans="1:26" x14ac:dyDescent="0.2">
      <c r="A14" s="447" t="s">
        <v>48</v>
      </c>
      <c r="B14" s="448"/>
      <c r="C14" s="448"/>
      <c r="D14" s="448"/>
      <c r="E14" s="448"/>
      <c r="F14" s="448"/>
      <c r="G14" s="448"/>
      <c r="H14" s="448"/>
      <c r="I14" s="449"/>
      <c r="J14" s="447"/>
      <c r="K14" s="448"/>
      <c r="L14" s="448"/>
      <c r="M14" s="448"/>
      <c r="N14" s="448"/>
      <c r="O14" s="448"/>
      <c r="P14" s="448"/>
      <c r="R14" s="447" t="s">
        <v>48</v>
      </c>
      <c r="S14" s="448"/>
      <c r="T14" s="448"/>
      <c r="U14" s="448"/>
      <c r="V14" s="448"/>
      <c r="W14" s="448"/>
      <c r="X14" s="448"/>
      <c r="Y14" s="448"/>
      <c r="Z14" s="449"/>
    </row>
    <row r="15" spans="1:26" x14ac:dyDescent="0.2">
      <c r="A15" s="456" t="s">
        <v>49</v>
      </c>
      <c r="B15" s="457"/>
      <c r="C15" s="457" t="s">
        <v>50</v>
      </c>
      <c r="D15" s="457"/>
      <c r="E15" s="458" t="s">
        <v>51</v>
      </c>
      <c r="F15" s="458"/>
      <c r="G15" s="458"/>
      <c r="H15" s="458"/>
      <c r="I15" s="459"/>
      <c r="J15" s="456"/>
      <c r="K15" s="457"/>
      <c r="L15" s="457"/>
      <c r="M15" s="457"/>
      <c r="N15" s="457"/>
      <c r="O15" s="457"/>
      <c r="P15" s="457"/>
      <c r="R15" s="456" t="s">
        <v>49</v>
      </c>
      <c r="S15" s="457"/>
      <c r="T15" s="457" t="s">
        <v>50</v>
      </c>
      <c r="U15" s="457"/>
      <c r="V15" s="457" t="s">
        <v>51</v>
      </c>
      <c r="W15" s="457"/>
      <c r="X15" s="457"/>
      <c r="Y15" s="457"/>
      <c r="Z15" s="459"/>
    </row>
    <row r="16" spans="1:26" s="41" customFormat="1" ht="25.5" customHeight="1" x14ac:dyDescent="0.2">
      <c r="A16" s="450" t="s">
        <v>52</v>
      </c>
      <c r="B16" s="451"/>
      <c r="C16" s="452" t="s">
        <v>53</v>
      </c>
      <c r="D16" s="453"/>
      <c r="E16" s="454" t="s">
        <v>18</v>
      </c>
      <c r="F16" s="454"/>
      <c r="G16" s="454"/>
      <c r="H16" s="454"/>
      <c r="I16" s="344">
        <v>1</v>
      </c>
      <c r="J16" s="450"/>
      <c r="K16" s="451"/>
      <c r="L16" s="452"/>
      <c r="M16" s="451"/>
      <c r="O16" s="286"/>
      <c r="P16" s="286"/>
      <c r="R16" s="450" t="s">
        <v>52</v>
      </c>
      <c r="S16" s="451"/>
      <c r="T16" s="452"/>
      <c r="U16" s="451"/>
      <c r="W16" s="286"/>
      <c r="X16" s="286"/>
      <c r="Y16" s="422" t="s">
        <v>18</v>
      </c>
      <c r="Z16" s="115">
        <v>1</v>
      </c>
    </row>
    <row r="17" spans="1:26" ht="15" customHeight="1" x14ac:dyDescent="0.2">
      <c r="A17" s="298"/>
      <c r="B17" s="235"/>
      <c r="C17" s="31"/>
      <c r="D17" s="236"/>
      <c r="E17" s="32"/>
      <c r="F17" s="237"/>
      <c r="G17" s="237"/>
      <c r="H17" s="237"/>
      <c r="I17" s="299"/>
      <c r="J17" s="298"/>
      <c r="K17" s="235"/>
      <c r="L17" s="31"/>
      <c r="M17" s="236"/>
      <c r="N17" s="32"/>
      <c r="O17" s="237"/>
      <c r="P17" s="237"/>
      <c r="R17" s="298"/>
      <c r="S17" s="235"/>
      <c r="T17" s="31"/>
      <c r="U17" s="236"/>
      <c r="V17" s="32"/>
      <c r="W17" s="237"/>
      <c r="X17" s="237"/>
      <c r="Y17" s="237"/>
      <c r="Z17" s="299"/>
    </row>
    <row r="18" spans="1:26" ht="15" customHeight="1" x14ac:dyDescent="0.2">
      <c r="A18" s="300" t="s">
        <v>54</v>
      </c>
      <c r="B18" s="235"/>
      <c r="C18" s="31"/>
      <c r="D18" s="236"/>
      <c r="E18" s="32"/>
      <c r="F18" s="237"/>
      <c r="G18" s="237"/>
      <c r="H18" s="237"/>
      <c r="I18" s="299"/>
      <c r="J18" s="300"/>
      <c r="K18" s="235"/>
      <c r="L18" s="31"/>
      <c r="M18" s="236"/>
      <c r="N18" s="32"/>
      <c r="O18" s="237"/>
      <c r="P18" s="237"/>
      <c r="R18" s="300" t="s">
        <v>54</v>
      </c>
      <c r="S18" s="235"/>
      <c r="T18" s="31"/>
      <c r="U18" s="236"/>
      <c r="V18" s="32"/>
      <c r="W18" s="237"/>
      <c r="X18" s="237"/>
      <c r="Y18" s="237"/>
      <c r="Z18" s="299"/>
    </row>
    <row r="19" spans="1:26" ht="15" customHeight="1" x14ac:dyDescent="0.2">
      <c r="A19" s="300" t="s">
        <v>55</v>
      </c>
      <c r="B19" s="235"/>
      <c r="C19" s="31"/>
      <c r="D19" s="236"/>
      <c r="E19" s="32"/>
      <c r="F19" s="237"/>
      <c r="G19" s="237"/>
      <c r="H19" s="237"/>
      <c r="I19" s="299"/>
      <c r="J19" s="300"/>
      <c r="K19" s="235"/>
      <c r="L19" s="31"/>
      <c r="M19" s="236"/>
      <c r="N19" s="32"/>
      <c r="O19" s="237"/>
      <c r="P19" s="237"/>
      <c r="R19" s="300" t="s">
        <v>55</v>
      </c>
      <c r="S19" s="235"/>
      <c r="T19" s="31"/>
      <c r="U19" s="236"/>
      <c r="V19" s="32"/>
      <c r="W19" s="237"/>
      <c r="X19" s="237"/>
      <c r="Y19" s="237"/>
      <c r="Z19" s="299"/>
    </row>
    <row r="20" spans="1:26" ht="15" customHeight="1" x14ac:dyDescent="0.2">
      <c r="A20" s="300" t="s">
        <v>56</v>
      </c>
      <c r="B20" s="235"/>
      <c r="C20" s="31"/>
      <c r="D20" s="236"/>
      <c r="E20" s="32"/>
      <c r="F20" s="237"/>
      <c r="G20" s="237"/>
      <c r="H20" s="237"/>
      <c r="I20" s="299"/>
      <c r="J20" s="300"/>
      <c r="K20" s="235"/>
      <c r="L20" s="31"/>
      <c r="M20" s="236"/>
      <c r="N20" s="32"/>
      <c r="O20" s="237"/>
      <c r="P20" s="237"/>
      <c r="R20" s="300" t="s">
        <v>56</v>
      </c>
      <c r="S20" s="235"/>
      <c r="T20" s="31"/>
      <c r="U20" s="236"/>
      <c r="V20" s="32"/>
      <c r="W20" s="237"/>
      <c r="X20" s="237"/>
      <c r="Y20" s="237"/>
      <c r="Z20" s="299"/>
    </row>
    <row r="21" spans="1:26" ht="15" customHeight="1" x14ac:dyDescent="0.2">
      <c r="A21" s="300" t="s">
        <v>57</v>
      </c>
      <c r="B21" s="235"/>
      <c r="C21" s="31"/>
      <c r="D21" s="236"/>
      <c r="E21" s="32"/>
      <c r="F21" s="237"/>
      <c r="G21" s="237"/>
      <c r="H21" s="237"/>
      <c r="I21" s="299"/>
      <c r="J21" s="300"/>
      <c r="K21" s="235"/>
      <c r="L21" s="31"/>
      <c r="M21" s="236"/>
      <c r="N21" s="32"/>
      <c r="O21" s="237"/>
      <c r="P21" s="237"/>
      <c r="R21" s="300" t="s">
        <v>57</v>
      </c>
      <c r="S21" s="235"/>
      <c r="T21" s="31"/>
      <c r="U21" s="236"/>
      <c r="V21" s="32"/>
      <c r="W21" s="237"/>
      <c r="X21" s="237"/>
      <c r="Y21" s="237"/>
      <c r="Z21" s="299"/>
    </row>
    <row r="22" spans="1:26" ht="15" customHeight="1" x14ac:dyDescent="0.2">
      <c r="A22" s="301"/>
      <c r="B22" s="235"/>
      <c r="C22" s="31"/>
      <c r="D22" s="236"/>
      <c r="E22" s="32"/>
      <c r="F22" s="237"/>
      <c r="G22" s="237"/>
      <c r="H22" s="237"/>
      <c r="I22" s="302"/>
      <c r="J22" s="301"/>
      <c r="K22" s="235"/>
      <c r="L22" s="31"/>
      <c r="M22" s="236"/>
      <c r="N22" s="32"/>
      <c r="O22" s="237"/>
      <c r="P22" s="237"/>
      <c r="R22" s="301"/>
      <c r="S22" s="235"/>
      <c r="T22" s="31"/>
      <c r="U22" s="236"/>
      <c r="V22" s="32"/>
      <c r="W22" s="237"/>
      <c r="X22" s="237"/>
      <c r="Y22" s="237"/>
      <c r="Z22" s="299"/>
    </row>
    <row r="23" spans="1:26" ht="15" customHeight="1" x14ac:dyDescent="0.2">
      <c r="A23" s="303" t="s">
        <v>58</v>
      </c>
      <c r="B23" s="235"/>
      <c r="C23" s="31"/>
      <c r="D23" s="236"/>
      <c r="E23" s="32"/>
      <c r="F23" s="237"/>
      <c r="G23" s="237"/>
      <c r="H23" s="237"/>
      <c r="I23" s="299"/>
      <c r="J23" s="303"/>
      <c r="K23" s="235"/>
      <c r="L23" s="31"/>
      <c r="M23" s="236"/>
      <c r="N23" s="32"/>
      <c r="O23" s="237"/>
      <c r="P23" s="237"/>
      <c r="R23" s="303" t="s">
        <v>58</v>
      </c>
      <c r="S23" s="235"/>
      <c r="T23" s="31"/>
      <c r="U23" s="236"/>
      <c r="V23" s="32"/>
      <c r="W23" s="237"/>
      <c r="X23" s="237"/>
      <c r="Y23" s="237"/>
      <c r="Z23" s="299"/>
    </row>
    <row r="24" spans="1:26" ht="15" customHeight="1" x14ac:dyDescent="0.2">
      <c r="A24" s="298"/>
      <c r="B24" s="235"/>
      <c r="C24" s="31"/>
      <c r="D24" s="236"/>
      <c r="E24" s="32"/>
      <c r="F24" s="237"/>
      <c r="G24" s="237"/>
      <c r="H24" s="237"/>
      <c r="I24" s="299"/>
      <c r="J24" s="298"/>
      <c r="K24" s="235"/>
      <c r="L24" s="31"/>
      <c r="M24" s="236"/>
      <c r="N24" s="32"/>
      <c r="O24" s="237"/>
      <c r="P24" s="237"/>
      <c r="R24" s="298"/>
      <c r="S24" s="235"/>
      <c r="T24" s="31"/>
      <c r="U24" s="236"/>
      <c r="V24" s="32"/>
      <c r="W24" s="237"/>
      <c r="X24" s="237"/>
      <c r="Y24" s="237"/>
      <c r="Z24" s="299"/>
    </row>
    <row r="25" spans="1:26" ht="15" customHeight="1" x14ac:dyDescent="0.2">
      <c r="A25" s="303" t="s">
        <v>59</v>
      </c>
      <c r="B25" s="235"/>
      <c r="C25" s="31"/>
      <c r="D25" s="236"/>
      <c r="E25" s="32"/>
      <c r="F25" s="237"/>
      <c r="G25" s="237"/>
      <c r="H25" s="237"/>
      <c r="I25" s="299"/>
      <c r="J25" s="303"/>
      <c r="K25" s="235"/>
      <c r="L25" s="31"/>
      <c r="M25" s="236"/>
      <c r="N25" s="32"/>
      <c r="O25" s="237"/>
      <c r="P25" s="237"/>
      <c r="R25" s="303" t="s">
        <v>59</v>
      </c>
      <c r="S25" s="235"/>
      <c r="T25" s="31"/>
      <c r="U25" s="236"/>
      <c r="V25" s="32"/>
      <c r="W25" s="237"/>
      <c r="X25" s="237"/>
      <c r="Y25" s="237"/>
      <c r="Z25" s="299"/>
    </row>
    <row r="26" spans="1:26" ht="15" customHeight="1" x14ac:dyDescent="0.2">
      <c r="A26" s="300" t="s">
        <v>60</v>
      </c>
      <c r="B26" s="235"/>
      <c r="C26" s="31"/>
      <c r="D26" s="236"/>
      <c r="E26" s="32"/>
      <c r="F26" s="237"/>
      <c r="G26" s="237"/>
      <c r="H26" s="237"/>
      <c r="I26" s="299"/>
      <c r="J26" s="300"/>
      <c r="K26" s="235"/>
      <c r="L26" s="31"/>
      <c r="M26" s="236"/>
      <c r="N26" s="32"/>
      <c r="O26" s="237"/>
      <c r="P26" s="237"/>
      <c r="R26" s="300" t="s">
        <v>60</v>
      </c>
      <c r="S26" s="235"/>
      <c r="T26" s="31"/>
      <c r="U26" s="236"/>
      <c r="V26" s="32"/>
      <c r="W26" s="237"/>
      <c r="X26" s="237"/>
      <c r="Y26" s="237"/>
      <c r="Z26" s="299"/>
    </row>
    <row r="27" spans="1:26" x14ac:dyDescent="0.2">
      <c r="A27" s="447" t="s">
        <v>61</v>
      </c>
      <c r="B27" s="448"/>
      <c r="C27" s="448"/>
      <c r="D27" s="448"/>
      <c r="E27" s="448"/>
      <c r="F27" s="448"/>
      <c r="G27" s="448"/>
      <c r="H27" s="448"/>
      <c r="I27" s="449"/>
      <c r="J27" s="447"/>
      <c r="K27" s="448"/>
      <c r="L27" s="448"/>
      <c r="M27" s="448"/>
      <c r="N27" s="448"/>
      <c r="O27" s="448"/>
      <c r="P27" s="448"/>
      <c r="R27" s="447" t="s">
        <v>61</v>
      </c>
      <c r="S27" s="448"/>
      <c r="T27" s="448"/>
      <c r="U27" s="448"/>
      <c r="V27" s="448"/>
      <c r="W27" s="448"/>
      <c r="X27" s="448"/>
      <c r="Y27" s="448"/>
      <c r="Z27" s="449"/>
    </row>
    <row r="28" spans="1:26" ht="25.5" x14ac:dyDescent="0.2">
      <c r="A28" s="304">
        <v>1</v>
      </c>
      <c r="B28" s="455" t="s">
        <v>62</v>
      </c>
      <c r="C28" s="455"/>
      <c r="D28" s="455"/>
      <c r="E28" s="455"/>
      <c r="F28" s="455"/>
      <c r="G28" s="455"/>
      <c r="H28" s="455"/>
      <c r="I28" s="305" t="str">
        <f>A16</f>
        <v>Limpeza e Conservação</v>
      </c>
      <c r="J28" s="304"/>
      <c r="K28" s="455"/>
      <c r="L28" s="455"/>
      <c r="M28" s="455"/>
      <c r="N28" s="455"/>
      <c r="O28" s="455"/>
      <c r="P28" s="455"/>
      <c r="R28" s="304">
        <v>1</v>
      </c>
      <c r="S28" s="455" t="s">
        <v>62</v>
      </c>
      <c r="T28" s="455"/>
      <c r="U28" s="455"/>
      <c r="V28" s="455"/>
      <c r="W28" s="455"/>
      <c r="X28" s="455"/>
      <c r="Y28" s="455"/>
      <c r="Z28" s="305" t="str">
        <f>R16</f>
        <v>Limpeza e Conservação</v>
      </c>
    </row>
    <row r="29" spans="1:26" x14ac:dyDescent="0.2">
      <c r="A29" s="292">
        <v>2</v>
      </c>
      <c r="B29" s="445" t="s">
        <v>63</v>
      </c>
      <c r="C29" s="445"/>
      <c r="D29" s="445"/>
      <c r="E29" s="445"/>
      <c r="F29" s="445"/>
      <c r="G29" s="445"/>
      <c r="H29" s="445"/>
      <c r="I29" s="306" t="s">
        <v>64</v>
      </c>
      <c r="J29" s="292"/>
      <c r="K29" s="445"/>
      <c r="L29" s="445"/>
      <c r="M29" s="445"/>
      <c r="N29" s="445"/>
      <c r="O29" s="445"/>
      <c r="P29" s="445"/>
      <c r="R29" s="292">
        <v>2</v>
      </c>
      <c r="S29" s="445" t="s">
        <v>63</v>
      </c>
      <c r="T29" s="445"/>
      <c r="U29" s="445"/>
      <c r="V29" s="445"/>
      <c r="W29" s="445"/>
      <c r="X29" s="445"/>
      <c r="Y29" s="445"/>
      <c r="Z29" s="306" t="s">
        <v>64</v>
      </c>
    </row>
    <row r="30" spans="1:26" x14ac:dyDescent="0.2">
      <c r="A30" s="292">
        <v>3</v>
      </c>
      <c r="B30" s="446" t="s">
        <v>65</v>
      </c>
      <c r="C30" s="446"/>
      <c r="D30" s="446"/>
      <c r="E30" s="446"/>
      <c r="F30" s="446"/>
      <c r="G30" s="446"/>
      <c r="H30" s="446"/>
      <c r="I30" s="307">
        <v>1553.88</v>
      </c>
      <c r="J30" s="292"/>
      <c r="K30" s="446"/>
      <c r="L30" s="446"/>
      <c r="M30" s="446"/>
      <c r="N30" s="446"/>
      <c r="O30" s="446"/>
      <c r="P30" s="446"/>
      <c r="R30" s="292">
        <v>3</v>
      </c>
      <c r="S30" s="446" t="s">
        <v>65</v>
      </c>
      <c r="T30" s="446"/>
      <c r="U30" s="446"/>
      <c r="V30" s="446"/>
      <c r="W30" s="446"/>
      <c r="X30" s="446"/>
      <c r="Y30" s="446"/>
      <c r="Z30" s="307">
        <v>1553.88</v>
      </c>
    </row>
    <row r="31" spans="1:26" ht="60.95" customHeight="1" x14ac:dyDescent="0.2">
      <c r="A31" s="304">
        <v>4</v>
      </c>
      <c r="B31" s="455" t="s">
        <v>66</v>
      </c>
      <c r="C31" s="455"/>
      <c r="D31" s="455"/>
      <c r="E31" s="455"/>
      <c r="F31" s="455"/>
      <c r="G31" s="455"/>
      <c r="H31" s="455"/>
      <c r="I31" s="308" t="s">
        <v>67</v>
      </c>
      <c r="J31" s="304"/>
      <c r="K31" s="455"/>
      <c r="L31" s="455"/>
      <c r="M31" s="455"/>
      <c r="N31" s="455"/>
      <c r="O31" s="455"/>
      <c r="P31" s="455"/>
      <c r="R31" s="304">
        <v>4</v>
      </c>
      <c r="S31" s="455" t="s">
        <v>66</v>
      </c>
      <c r="T31" s="455"/>
      <c r="U31" s="455"/>
      <c r="V31" s="455"/>
      <c r="W31" s="455"/>
      <c r="X31" s="455"/>
      <c r="Y31" s="455"/>
      <c r="Z31" s="308" t="s">
        <v>68</v>
      </c>
    </row>
    <row r="32" spans="1:26" x14ac:dyDescent="0.2">
      <c r="A32" s="292">
        <v>5</v>
      </c>
      <c r="B32" s="445" t="s">
        <v>69</v>
      </c>
      <c r="C32" s="446"/>
      <c r="D32" s="446"/>
      <c r="E32" s="446"/>
      <c r="F32" s="446"/>
      <c r="G32" s="446"/>
      <c r="H32" s="446"/>
      <c r="I32" s="293">
        <v>45688</v>
      </c>
      <c r="J32" s="292"/>
      <c r="K32" s="445"/>
      <c r="L32" s="446"/>
      <c r="M32" s="446"/>
      <c r="N32" s="446"/>
      <c r="O32" s="446"/>
      <c r="P32" s="446"/>
      <c r="R32" s="292">
        <v>5</v>
      </c>
      <c r="S32" s="445" t="s">
        <v>69</v>
      </c>
      <c r="T32" s="446"/>
      <c r="U32" s="446"/>
      <c r="V32" s="446"/>
      <c r="W32" s="446"/>
      <c r="X32" s="446"/>
      <c r="Y32" s="446"/>
      <c r="Z32" s="293">
        <v>45688</v>
      </c>
    </row>
    <row r="33" spans="1:27" x14ac:dyDescent="0.2">
      <c r="A33" s="287"/>
      <c r="B33" s="234"/>
      <c r="C33" s="234"/>
      <c r="D33" s="234"/>
      <c r="E33" s="234"/>
      <c r="F33" s="234"/>
      <c r="G33" s="234"/>
      <c r="H33" s="234"/>
      <c r="I33" s="309"/>
      <c r="J33" s="287"/>
      <c r="K33" s="234"/>
      <c r="L33" s="234"/>
      <c r="M33" s="234"/>
      <c r="N33" s="234"/>
      <c r="O33" s="234"/>
      <c r="P33" s="234"/>
      <c r="R33" s="287"/>
      <c r="S33" s="234"/>
      <c r="T33" s="234"/>
      <c r="U33" s="234"/>
      <c r="V33" s="234"/>
      <c r="W33" s="234"/>
      <c r="X33" s="234"/>
      <c r="Y33" s="234"/>
      <c r="Z33" s="309"/>
    </row>
    <row r="34" spans="1:27" x14ac:dyDescent="0.2">
      <c r="A34" s="300" t="s">
        <v>70</v>
      </c>
      <c r="B34" s="234"/>
      <c r="C34" s="234"/>
      <c r="D34" s="234"/>
      <c r="E34" s="234"/>
      <c r="F34" s="234"/>
      <c r="G34" s="234"/>
      <c r="H34" s="234"/>
      <c r="I34" s="309"/>
      <c r="J34" s="300"/>
      <c r="K34" s="234"/>
      <c r="L34" s="234"/>
      <c r="M34" s="234"/>
      <c r="N34" s="234"/>
      <c r="O34" s="234"/>
      <c r="P34" s="234"/>
      <c r="R34" s="300" t="s">
        <v>70</v>
      </c>
      <c r="S34" s="234"/>
      <c r="T34" s="234"/>
      <c r="U34" s="234"/>
      <c r="V34" s="234"/>
      <c r="W34" s="234"/>
      <c r="X34" s="234"/>
      <c r="Y34" s="234"/>
      <c r="Z34" s="309"/>
    </row>
    <row r="35" spans="1:27" x14ac:dyDescent="0.2">
      <c r="A35" s="300" t="s">
        <v>71</v>
      </c>
      <c r="B35" s="234"/>
      <c r="C35" s="234"/>
      <c r="D35" s="234"/>
      <c r="E35" s="234"/>
      <c r="F35" s="234"/>
      <c r="G35" s="234"/>
      <c r="H35" s="234"/>
      <c r="I35" s="309"/>
      <c r="J35" s="300"/>
      <c r="K35" s="234"/>
      <c r="L35" s="234"/>
      <c r="M35" s="234"/>
      <c r="N35" s="234"/>
      <c r="O35" s="234"/>
      <c r="P35" s="234"/>
      <c r="R35" s="300" t="s">
        <v>71</v>
      </c>
      <c r="S35" s="234"/>
      <c r="T35" s="234"/>
      <c r="U35" s="234"/>
      <c r="V35" s="234"/>
      <c r="W35" s="234"/>
      <c r="X35" s="234"/>
      <c r="Y35" s="234"/>
      <c r="Z35" s="309"/>
    </row>
    <row r="36" spans="1:27" x14ac:dyDescent="0.2">
      <c r="A36" s="57"/>
      <c r="I36" s="58"/>
      <c r="J36" s="57"/>
      <c r="R36" s="57"/>
      <c r="Z36" s="58"/>
    </row>
    <row r="37" spans="1:27" ht="12.95" customHeight="1" x14ac:dyDescent="0.2">
      <c r="A37" s="460" t="s">
        <v>72</v>
      </c>
      <c r="B37" s="461"/>
      <c r="C37" s="461"/>
      <c r="D37" s="461"/>
      <c r="E37" s="461"/>
      <c r="F37" s="461"/>
      <c r="G37" s="461"/>
      <c r="H37" s="461"/>
      <c r="I37" s="462"/>
      <c r="J37" s="460"/>
      <c r="K37" s="461"/>
      <c r="L37" s="461"/>
      <c r="M37" s="461"/>
      <c r="N37" s="461"/>
      <c r="O37" s="461"/>
      <c r="P37" s="461"/>
      <c r="R37" s="460" t="s">
        <v>72</v>
      </c>
      <c r="S37" s="461"/>
      <c r="T37" s="461"/>
      <c r="U37" s="461"/>
      <c r="V37" s="461"/>
      <c r="W37" s="461"/>
      <c r="X37" s="461"/>
      <c r="Y37" s="461"/>
      <c r="Z37" s="462"/>
    </row>
    <row r="38" spans="1:27" x14ac:dyDescent="0.2">
      <c r="A38" s="296">
        <v>1</v>
      </c>
      <c r="B38" s="457" t="s">
        <v>73</v>
      </c>
      <c r="C38" s="457"/>
      <c r="D38" s="457"/>
      <c r="E38" s="457"/>
      <c r="F38" s="457"/>
      <c r="G38" s="457"/>
      <c r="H38" s="8" t="s">
        <v>74</v>
      </c>
      <c r="I38" s="297" t="s">
        <v>75</v>
      </c>
      <c r="J38" s="296"/>
      <c r="K38" s="457"/>
      <c r="L38" s="457"/>
      <c r="M38" s="457"/>
      <c r="N38" s="457"/>
      <c r="O38" s="457"/>
      <c r="P38" s="457"/>
      <c r="R38" s="296">
        <v>1</v>
      </c>
      <c r="S38" s="457" t="s">
        <v>73</v>
      </c>
      <c r="T38" s="457"/>
      <c r="U38" s="457"/>
      <c r="V38" s="457"/>
      <c r="W38" s="457"/>
      <c r="X38" s="457"/>
      <c r="Y38" s="8" t="s">
        <v>74</v>
      </c>
      <c r="Z38" s="297" t="s">
        <v>75</v>
      </c>
    </row>
    <row r="39" spans="1:27" x14ac:dyDescent="0.2">
      <c r="A39" s="296" t="s">
        <v>38</v>
      </c>
      <c r="B39" s="445" t="s">
        <v>76</v>
      </c>
      <c r="C39" s="445"/>
      <c r="D39" s="445"/>
      <c r="E39" s="445"/>
      <c r="F39" s="445"/>
      <c r="G39" s="445"/>
      <c r="H39" s="20"/>
      <c r="I39" s="310">
        <f>I30</f>
        <v>1553.88</v>
      </c>
      <c r="J39" s="296"/>
      <c r="K39" s="445"/>
      <c r="L39" s="445"/>
      <c r="M39" s="445"/>
      <c r="N39" s="445"/>
      <c r="O39" s="445"/>
      <c r="P39" s="445"/>
      <c r="R39" s="296" t="s">
        <v>38</v>
      </c>
      <c r="S39" s="445" t="s">
        <v>76</v>
      </c>
      <c r="T39" s="445"/>
      <c r="U39" s="445"/>
      <c r="V39" s="445"/>
      <c r="W39" s="445"/>
      <c r="X39" s="445"/>
      <c r="Y39" s="20"/>
      <c r="Z39" s="310">
        <f>Z30</f>
        <v>1553.88</v>
      </c>
    </row>
    <row r="40" spans="1:27" x14ac:dyDescent="0.2">
      <c r="A40" s="296" t="s">
        <v>40</v>
      </c>
      <c r="B40" s="445" t="s">
        <v>77</v>
      </c>
      <c r="C40" s="445"/>
      <c r="D40" s="445"/>
      <c r="E40" s="445"/>
      <c r="F40" s="445"/>
      <c r="G40" s="445"/>
      <c r="H40" s="2"/>
      <c r="I40" s="310">
        <f>I39*H40</f>
        <v>0</v>
      </c>
      <c r="J40" s="296"/>
      <c r="K40" s="445"/>
      <c r="L40" s="445"/>
      <c r="M40" s="445"/>
      <c r="N40" s="445"/>
      <c r="O40" s="445"/>
      <c r="P40" s="445"/>
      <c r="Q40" s="25"/>
      <c r="R40" s="296" t="s">
        <v>40</v>
      </c>
      <c r="S40" s="445" t="s">
        <v>77</v>
      </c>
      <c r="T40" s="445"/>
      <c r="U40" s="445"/>
      <c r="V40" s="445"/>
      <c r="W40" s="445"/>
      <c r="X40" s="445"/>
      <c r="Y40" s="2"/>
      <c r="Z40" s="310">
        <f>Z39*Y40</f>
        <v>0</v>
      </c>
    </row>
    <row r="41" spans="1:27" s="41" customFormat="1" ht="25.5" x14ac:dyDescent="0.2">
      <c r="A41" s="313" t="s">
        <v>43</v>
      </c>
      <c r="B41" s="774" t="s">
        <v>542</v>
      </c>
      <c r="C41" s="774"/>
      <c r="D41" s="774"/>
      <c r="E41" s="774"/>
      <c r="F41" s="774"/>
      <c r="G41" s="774"/>
      <c r="H41" s="424">
        <v>0.2</v>
      </c>
      <c r="I41" s="425">
        <f>H41*I39</f>
        <v>310.77600000000007</v>
      </c>
      <c r="J41" s="313"/>
      <c r="K41" s="464"/>
      <c r="L41" s="464"/>
      <c r="M41" s="464"/>
      <c r="N41" s="464"/>
      <c r="O41" s="464"/>
      <c r="P41" s="464"/>
      <c r="Q41" s="372" t="s">
        <v>543</v>
      </c>
      <c r="R41" s="313" t="s">
        <v>43</v>
      </c>
      <c r="S41" s="774" t="s">
        <v>542</v>
      </c>
      <c r="T41" s="774"/>
      <c r="U41" s="774"/>
      <c r="V41" s="774"/>
      <c r="W41" s="774"/>
      <c r="X41" s="774"/>
      <c r="Y41" s="424">
        <v>0.4</v>
      </c>
      <c r="Z41" s="425">
        <f>Y41*Z39</f>
        <v>621.55200000000013</v>
      </c>
      <c r="AA41" s="426" t="s">
        <v>543</v>
      </c>
    </row>
    <row r="42" spans="1:27" x14ac:dyDescent="0.2">
      <c r="A42" s="296" t="s">
        <v>46</v>
      </c>
      <c r="B42" s="445" t="s">
        <v>79</v>
      </c>
      <c r="C42" s="445"/>
      <c r="D42" s="445"/>
      <c r="E42" s="445"/>
      <c r="F42" s="445"/>
      <c r="G42" s="445"/>
      <c r="H42" s="2"/>
      <c r="I42" s="310">
        <v>0</v>
      </c>
      <c r="J42" s="296"/>
      <c r="K42" s="445"/>
      <c r="L42" s="445"/>
      <c r="M42" s="445"/>
      <c r="N42" s="445"/>
      <c r="O42" s="445"/>
      <c r="P42" s="445"/>
      <c r="Q42" s="25"/>
      <c r="R42" s="296" t="s">
        <v>46</v>
      </c>
      <c r="S42" s="445" t="s">
        <v>79</v>
      </c>
      <c r="T42" s="445"/>
      <c r="U42" s="445"/>
      <c r="V42" s="445"/>
      <c r="W42" s="445"/>
      <c r="X42" s="445"/>
      <c r="Y42" s="2"/>
      <c r="Z42" s="310">
        <v>0</v>
      </c>
    </row>
    <row r="43" spans="1:27" x14ac:dyDescent="0.2">
      <c r="A43" s="296" t="s">
        <v>80</v>
      </c>
      <c r="B43" s="445" t="s">
        <v>81</v>
      </c>
      <c r="C43" s="445"/>
      <c r="D43" s="445"/>
      <c r="E43" s="445"/>
      <c r="F43" s="445"/>
      <c r="G43" s="445"/>
      <c r="H43" s="5"/>
      <c r="I43" s="310">
        <v>0</v>
      </c>
      <c r="J43" s="296"/>
      <c r="K43" s="445"/>
      <c r="L43" s="445"/>
      <c r="M43" s="445"/>
      <c r="N43" s="445"/>
      <c r="O43" s="445"/>
      <c r="P43" s="445"/>
      <c r="Q43" s="25"/>
      <c r="R43" s="296" t="s">
        <v>80</v>
      </c>
      <c r="S43" s="445" t="s">
        <v>81</v>
      </c>
      <c r="T43" s="445"/>
      <c r="U43" s="445"/>
      <c r="V43" s="445"/>
      <c r="W43" s="445"/>
      <c r="X43" s="445"/>
      <c r="Y43" s="5"/>
      <c r="Z43" s="310">
        <v>0</v>
      </c>
    </row>
    <row r="44" spans="1:27" x14ac:dyDescent="0.2">
      <c r="A44" s="296" t="s">
        <v>82</v>
      </c>
      <c r="B44" s="445" t="s">
        <v>83</v>
      </c>
      <c r="C44" s="445"/>
      <c r="D44" s="445"/>
      <c r="E44" s="445"/>
      <c r="F44" s="445"/>
      <c r="G44" s="445"/>
      <c r="H44" s="2"/>
      <c r="I44" s="310">
        <v>0</v>
      </c>
      <c r="J44" s="296"/>
      <c r="K44" s="445"/>
      <c r="L44" s="445"/>
      <c r="M44" s="445"/>
      <c r="N44" s="445"/>
      <c r="O44" s="445"/>
      <c r="P44" s="445"/>
      <c r="R44" s="296" t="s">
        <v>82</v>
      </c>
      <c r="S44" s="445" t="s">
        <v>83</v>
      </c>
      <c r="T44" s="445"/>
      <c r="U44" s="445"/>
      <c r="V44" s="445"/>
      <c r="W44" s="445"/>
      <c r="X44" s="445"/>
      <c r="Y44" s="2"/>
      <c r="Z44" s="310">
        <v>0</v>
      </c>
    </row>
    <row r="45" spans="1:27" x14ac:dyDescent="0.2">
      <c r="A45" s="463" t="s">
        <v>84</v>
      </c>
      <c r="B45" s="448"/>
      <c r="C45" s="448"/>
      <c r="D45" s="448"/>
      <c r="E45" s="448"/>
      <c r="F45" s="448"/>
      <c r="G45" s="448"/>
      <c r="H45" s="448"/>
      <c r="I45" s="311">
        <f>SUM(I39:I44)</f>
        <v>1864.6560000000002</v>
      </c>
      <c r="J45" s="463"/>
      <c r="K45" s="448"/>
      <c r="L45" s="448"/>
      <c r="M45" s="448"/>
      <c r="N45" s="448"/>
      <c r="O45" s="448"/>
      <c r="P45" s="448"/>
      <c r="R45" s="463" t="s">
        <v>84</v>
      </c>
      <c r="S45" s="448"/>
      <c r="T45" s="448"/>
      <c r="U45" s="448"/>
      <c r="V45" s="448"/>
      <c r="W45" s="448"/>
      <c r="X45" s="448"/>
      <c r="Y45" s="448"/>
      <c r="Z45" s="311">
        <f>SUM(Z39:Z44)</f>
        <v>2175.4320000000002</v>
      </c>
    </row>
    <row r="46" spans="1:27" s="9" customFormat="1" x14ac:dyDescent="0.2">
      <c r="A46" s="59"/>
      <c r="I46" s="97"/>
      <c r="J46" s="59"/>
      <c r="R46" s="59"/>
      <c r="Z46" s="97"/>
    </row>
    <row r="47" spans="1:27" s="9" customFormat="1" x14ac:dyDescent="0.2">
      <c r="A47" s="300" t="s">
        <v>85</v>
      </c>
      <c r="I47" s="97"/>
      <c r="J47" s="300"/>
      <c r="R47" s="300" t="s">
        <v>85</v>
      </c>
      <c r="Z47" s="97"/>
    </row>
    <row r="48" spans="1:27" s="9" customFormat="1" x14ac:dyDescent="0.2">
      <c r="A48" s="300" t="s">
        <v>86</v>
      </c>
      <c r="I48" s="97"/>
      <c r="J48" s="300"/>
      <c r="R48" s="300" t="s">
        <v>86</v>
      </c>
      <c r="Z48" s="97"/>
    </row>
    <row r="49" spans="1:26" x14ac:dyDescent="0.2">
      <c r="A49" s="312"/>
      <c r="B49" s="3"/>
      <c r="C49" s="3"/>
      <c r="D49" s="3"/>
      <c r="E49" s="3"/>
      <c r="F49" s="3"/>
      <c r="G49" s="3"/>
      <c r="H49" s="3"/>
      <c r="I49" s="61"/>
      <c r="J49" s="312"/>
      <c r="K49" s="3"/>
      <c r="L49" s="3"/>
      <c r="M49" s="3"/>
      <c r="N49" s="3"/>
      <c r="O49" s="3"/>
      <c r="P49" s="3"/>
      <c r="R49" s="312"/>
      <c r="S49" s="3"/>
      <c r="T49" s="3"/>
      <c r="U49" s="3"/>
      <c r="V49" s="3"/>
      <c r="W49" s="3"/>
      <c r="X49" s="3"/>
      <c r="Y49" s="3"/>
      <c r="Z49" s="61"/>
    </row>
    <row r="50" spans="1:26" x14ac:dyDescent="0.2">
      <c r="A50" s="460" t="s">
        <v>87</v>
      </c>
      <c r="B50" s="461"/>
      <c r="C50" s="461"/>
      <c r="D50" s="461"/>
      <c r="E50" s="461"/>
      <c r="F50" s="461"/>
      <c r="G50" s="461"/>
      <c r="H50" s="461"/>
      <c r="I50" s="462"/>
      <c r="J50" s="460"/>
      <c r="K50" s="461"/>
      <c r="L50" s="461"/>
      <c r="M50" s="461"/>
      <c r="N50" s="461"/>
      <c r="O50" s="461"/>
      <c r="P50" s="461"/>
      <c r="R50" s="460" t="s">
        <v>87</v>
      </c>
      <c r="S50" s="461"/>
      <c r="T50" s="461"/>
      <c r="U50" s="461"/>
      <c r="V50" s="461"/>
      <c r="W50" s="461"/>
      <c r="X50" s="461"/>
      <c r="Y50" s="461"/>
      <c r="Z50" s="462"/>
    </row>
    <row r="51" spans="1:26" x14ac:dyDescent="0.2">
      <c r="A51" s="313" t="s">
        <v>88</v>
      </c>
      <c r="B51" s="466" t="s">
        <v>89</v>
      </c>
      <c r="C51" s="467"/>
      <c r="D51" s="467"/>
      <c r="E51" s="467"/>
      <c r="F51" s="467"/>
      <c r="G51" s="468"/>
      <c r="H51" s="8" t="s">
        <v>74</v>
      </c>
      <c r="I51" s="297" t="s">
        <v>75</v>
      </c>
      <c r="J51" s="313"/>
      <c r="K51" s="466"/>
      <c r="L51" s="467"/>
      <c r="M51" s="467"/>
      <c r="N51" s="467"/>
      <c r="O51" s="467"/>
      <c r="P51" s="468"/>
      <c r="R51" s="313" t="s">
        <v>88</v>
      </c>
      <c r="S51" s="466" t="s">
        <v>89</v>
      </c>
      <c r="T51" s="467"/>
      <c r="U51" s="467"/>
      <c r="V51" s="467"/>
      <c r="W51" s="467"/>
      <c r="X51" s="468"/>
      <c r="Y51" s="8" t="s">
        <v>74</v>
      </c>
      <c r="Z51" s="297" t="s">
        <v>75</v>
      </c>
    </row>
    <row r="52" spans="1:26" ht="13.5" customHeight="1" x14ac:dyDescent="0.2">
      <c r="A52" s="296" t="s">
        <v>38</v>
      </c>
      <c r="B52" s="445" t="s">
        <v>90</v>
      </c>
      <c r="C52" s="445"/>
      <c r="D52" s="445"/>
      <c r="E52" s="445"/>
      <c r="F52" s="445"/>
      <c r="G52" s="445"/>
      <c r="H52" s="1">
        <f>1/12</f>
        <v>8.3333333333333329E-2</v>
      </c>
      <c r="I52" s="82">
        <f>$I$45*H52</f>
        <v>155.38800000000001</v>
      </c>
      <c r="J52" s="296"/>
      <c r="K52" s="445"/>
      <c r="L52" s="445"/>
      <c r="M52" s="445"/>
      <c r="N52" s="445"/>
      <c r="O52" s="445"/>
      <c r="P52" s="445"/>
      <c r="R52" s="296" t="s">
        <v>38</v>
      </c>
      <c r="S52" s="445" t="s">
        <v>90</v>
      </c>
      <c r="T52" s="445"/>
      <c r="U52" s="445"/>
      <c r="V52" s="445"/>
      <c r="W52" s="445"/>
      <c r="X52" s="445"/>
      <c r="Y52" s="1">
        <f>1/12</f>
        <v>8.3333333333333329E-2</v>
      </c>
      <c r="Z52" s="82">
        <f>$Z$45*Y52</f>
        <v>181.286</v>
      </c>
    </row>
    <row r="53" spans="1:26" x14ac:dyDescent="0.2">
      <c r="A53" s="296" t="s">
        <v>40</v>
      </c>
      <c r="B53" s="445" t="s">
        <v>91</v>
      </c>
      <c r="C53" s="445"/>
      <c r="D53" s="445"/>
      <c r="E53" s="445"/>
      <c r="F53" s="445"/>
      <c r="G53" s="445"/>
      <c r="H53" s="22">
        <v>0.121</v>
      </c>
      <c r="I53" s="82">
        <f>$I$45*H53</f>
        <v>225.62337600000001</v>
      </c>
      <c r="J53" s="296"/>
      <c r="K53" s="445"/>
      <c r="L53" s="445"/>
      <c r="M53" s="445"/>
      <c r="N53" s="445"/>
      <c r="O53" s="445"/>
      <c r="P53" s="445"/>
      <c r="R53" s="296" t="s">
        <v>40</v>
      </c>
      <c r="S53" s="445" t="s">
        <v>91</v>
      </c>
      <c r="T53" s="445"/>
      <c r="U53" s="445"/>
      <c r="V53" s="445"/>
      <c r="W53" s="445"/>
      <c r="X53" s="445"/>
      <c r="Y53" s="22">
        <v>0.121</v>
      </c>
      <c r="Z53" s="82">
        <f>$Z$45*Y53</f>
        <v>263.22727200000003</v>
      </c>
    </row>
    <row r="54" spans="1:26" x14ac:dyDescent="0.2">
      <c r="A54" s="447" t="s">
        <v>92</v>
      </c>
      <c r="B54" s="448"/>
      <c r="C54" s="448"/>
      <c r="D54" s="448"/>
      <c r="E54" s="448"/>
      <c r="F54" s="448"/>
      <c r="G54" s="448"/>
      <c r="H54" s="33">
        <f>TRUNC(SUM(H52:H53),4)</f>
        <v>0.20430000000000001</v>
      </c>
      <c r="I54" s="314">
        <f>SUM(I52:I53)</f>
        <v>381.01137600000004</v>
      </c>
      <c r="J54" s="447"/>
      <c r="K54" s="448"/>
      <c r="L54" s="448"/>
      <c r="M54" s="448"/>
      <c r="N54" s="448"/>
      <c r="O54" s="448"/>
      <c r="P54" s="448"/>
      <c r="R54" s="447" t="s">
        <v>92</v>
      </c>
      <c r="S54" s="448"/>
      <c r="T54" s="448"/>
      <c r="U54" s="448"/>
      <c r="V54" s="448"/>
      <c r="W54" s="448"/>
      <c r="X54" s="448"/>
      <c r="Y54" s="33">
        <f>TRUNC(SUM(Y52:Y53),4)</f>
        <v>0.20430000000000001</v>
      </c>
      <c r="Z54" s="314">
        <f>SUM(Z52:Z53)</f>
        <v>444.51327200000003</v>
      </c>
    </row>
    <row r="55" spans="1:26" ht="21.95" customHeight="1" x14ac:dyDescent="0.2">
      <c r="A55" s="313" t="s">
        <v>43</v>
      </c>
      <c r="B55" s="465" t="s">
        <v>93</v>
      </c>
      <c r="C55" s="465"/>
      <c r="D55" s="465"/>
      <c r="E55" s="465"/>
      <c r="F55" s="465"/>
      <c r="G55" s="465"/>
      <c r="H55" s="149">
        <f>H54*H75</f>
        <v>7.518240000000001E-2</v>
      </c>
      <c r="I55" s="83">
        <f>$I$45*H55</f>
        <v>140.18931325440002</v>
      </c>
      <c r="J55" s="313"/>
      <c r="K55" s="465"/>
      <c r="L55" s="465"/>
      <c r="M55" s="465"/>
      <c r="N55" s="465"/>
      <c r="O55" s="465"/>
      <c r="P55" s="465"/>
      <c r="R55" s="313" t="s">
        <v>43</v>
      </c>
      <c r="S55" s="465" t="s">
        <v>93</v>
      </c>
      <c r="T55" s="465"/>
      <c r="U55" s="465"/>
      <c r="V55" s="465"/>
      <c r="W55" s="465"/>
      <c r="X55" s="465"/>
      <c r="Y55" s="149">
        <f>Y54*Y75</f>
        <v>7.518240000000001E-2</v>
      </c>
      <c r="Z55" s="83">
        <f>$Z$45*Y55</f>
        <v>163.55419879680005</v>
      </c>
    </row>
    <row r="56" spans="1:26" x14ac:dyDescent="0.2">
      <c r="A56" s="447" t="s">
        <v>94</v>
      </c>
      <c r="B56" s="448"/>
      <c r="C56" s="448"/>
      <c r="D56" s="448"/>
      <c r="E56" s="448"/>
      <c r="F56" s="448"/>
      <c r="G56" s="448"/>
      <c r="H56" s="33">
        <f>TRUNC(SUM(H54:H55),4)</f>
        <v>0.27939999999999998</v>
      </c>
      <c r="I56" s="314">
        <f>SUM(I54:I55)</f>
        <v>521.2006892544</v>
      </c>
      <c r="J56" s="447"/>
      <c r="K56" s="448"/>
      <c r="L56" s="448"/>
      <c r="M56" s="448"/>
      <c r="N56" s="448"/>
      <c r="O56" s="448"/>
      <c r="P56" s="448"/>
      <c r="R56" s="447" t="s">
        <v>94</v>
      </c>
      <c r="S56" s="448"/>
      <c r="T56" s="448"/>
      <c r="U56" s="448"/>
      <c r="V56" s="448"/>
      <c r="W56" s="448"/>
      <c r="X56" s="448"/>
      <c r="Y56" s="33">
        <f>TRUNC(SUM(Y54:Y55),4)</f>
        <v>0.27939999999999998</v>
      </c>
      <c r="Z56" s="314">
        <f>SUM(Z54:Z55)</f>
        <v>608.06747079680008</v>
      </c>
    </row>
    <row r="57" spans="1:26" x14ac:dyDescent="0.2">
      <c r="A57" s="312"/>
      <c r="B57" s="3"/>
      <c r="C57" s="3"/>
      <c r="D57" s="3"/>
      <c r="E57" s="3"/>
      <c r="F57" s="3"/>
      <c r="G57" s="3"/>
      <c r="H57" s="35"/>
      <c r="I57" s="61"/>
      <c r="J57" s="312"/>
      <c r="K57" s="3"/>
      <c r="L57" s="3"/>
      <c r="M57" s="3"/>
      <c r="N57" s="3"/>
      <c r="O57" s="3"/>
      <c r="P57" s="3"/>
      <c r="R57" s="312"/>
      <c r="S57" s="3"/>
      <c r="T57" s="3"/>
      <c r="U57" s="3"/>
      <c r="V57" s="3"/>
      <c r="W57" s="3"/>
      <c r="X57" s="3"/>
      <c r="Y57" s="35"/>
      <c r="Z57" s="61"/>
    </row>
    <row r="58" spans="1:26" x14ac:dyDescent="0.2">
      <c r="A58" s="300" t="s">
        <v>95</v>
      </c>
      <c r="B58" s="3"/>
      <c r="C58" s="3"/>
      <c r="D58" s="3"/>
      <c r="E58" s="3"/>
      <c r="F58" s="3"/>
      <c r="G58" s="3"/>
      <c r="H58" s="35"/>
      <c r="I58" s="61"/>
      <c r="J58" s="300"/>
      <c r="K58" s="3"/>
      <c r="L58" s="3"/>
      <c r="M58" s="3"/>
      <c r="N58" s="3"/>
      <c r="O58" s="3"/>
      <c r="P58" s="3"/>
      <c r="R58" s="300" t="s">
        <v>95</v>
      </c>
      <c r="S58" s="3"/>
      <c r="T58" s="3"/>
      <c r="U58" s="3"/>
      <c r="V58" s="3"/>
      <c r="W58" s="3"/>
      <c r="X58" s="3"/>
      <c r="Y58" s="35"/>
      <c r="Z58" s="61"/>
    </row>
    <row r="59" spans="1:26" x14ac:dyDescent="0.2">
      <c r="A59" s="300" t="s">
        <v>96</v>
      </c>
      <c r="B59" s="3"/>
      <c r="C59" s="3"/>
      <c r="D59" s="3"/>
      <c r="E59" s="3"/>
      <c r="F59" s="3"/>
      <c r="G59" s="3"/>
      <c r="H59" s="35"/>
      <c r="I59" s="61"/>
      <c r="J59" s="300"/>
      <c r="K59" s="3"/>
      <c r="L59" s="3"/>
      <c r="M59" s="3"/>
      <c r="N59" s="3"/>
      <c r="O59" s="3"/>
      <c r="P59" s="3"/>
      <c r="R59" s="300" t="s">
        <v>96</v>
      </c>
      <c r="S59" s="3"/>
      <c r="T59" s="3"/>
      <c r="U59" s="3"/>
      <c r="V59" s="3"/>
      <c r="W59" s="3"/>
      <c r="X59" s="3"/>
      <c r="Y59" s="35"/>
      <c r="Z59" s="61"/>
    </row>
    <row r="60" spans="1:26" x14ac:dyDescent="0.2">
      <c r="A60" s="300" t="s">
        <v>97</v>
      </c>
      <c r="B60" s="3"/>
      <c r="C60" s="3"/>
      <c r="D60" s="3"/>
      <c r="E60" s="3"/>
      <c r="F60" s="3"/>
      <c r="G60" s="3"/>
      <c r="H60" s="35"/>
      <c r="I60" s="61"/>
      <c r="J60" s="300"/>
      <c r="K60" s="3"/>
      <c r="L60" s="3"/>
      <c r="M60" s="3"/>
      <c r="N60" s="3"/>
      <c r="O60" s="3"/>
      <c r="P60" s="3"/>
      <c r="R60" s="300" t="s">
        <v>97</v>
      </c>
      <c r="S60" s="3"/>
      <c r="T60" s="3"/>
      <c r="U60" s="3"/>
      <c r="V60" s="3"/>
      <c r="W60" s="3"/>
      <c r="X60" s="3"/>
      <c r="Y60" s="35"/>
      <c r="Z60" s="61"/>
    </row>
    <row r="61" spans="1:26" x14ac:dyDescent="0.2">
      <c r="A61" s="300" t="s">
        <v>98</v>
      </c>
      <c r="B61" s="9"/>
      <c r="C61" s="9"/>
      <c r="D61" s="9"/>
      <c r="E61" s="9"/>
      <c r="F61" s="9"/>
      <c r="G61" s="9"/>
      <c r="H61" s="9"/>
      <c r="I61" s="97"/>
      <c r="J61" s="300"/>
      <c r="K61" s="9"/>
      <c r="L61" s="9"/>
      <c r="M61" s="9"/>
      <c r="N61" s="9"/>
      <c r="O61" s="9"/>
      <c r="P61" s="9"/>
      <c r="R61" s="300" t="s">
        <v>98</v>
      </c>
      <c r="S61" s="9"/>
      <c r="T61" s="9"/>
      <c r="U61" s="9"/>
      <c r="V61" s="9"/>
      <c r="W61" s="9"/>
      <c r="X61" s="9"/>
      <c r="Y61" s="9"/>
      <c r="Z61" s="97"/>
    </row>
    <row r="62" spans="1:26" x14ac:dyDescent="0.2">
      <c r="A62" s="300" t="s">
        <v>99</v>
      </c>
      <c r="B62" s="9"/>
      <c r="C62" s="9"/>
      <c r="D62" s="9"/>
      <c r="E62" s="9"/>
      <c r="F62" s="9"/>
      <c r="G62" s="9"/>
      <c r="H62" s="9"/>
      <c r="I62" s="97"/>
      <c r="J62" s="300"/>
      <c r="K62" s="9"/>
      <c r="L62" s="9"/>
      <c r="M62" s="9"/>
      <c r="N62" s="9"/>
      <c r="O62" s="9"/>
      <c r="P62" s="9"/>
      <c r="R62" s="300" t="s">
        <v>99</v>
      </c>
      <c r="S62" s="9"/>
      <c r="T62" s="9"/>
      <c r="U62" s="9"/>
      <c r="V62" s="9"/>
      <c r="W62" s="9"/>
      <c r="X62" s="9"/>
      <c r="Y62" s="9"/>
      <c r="Z62" s="97"/>
    </row>
    <row r="63" spans="1:26" x14ac:dyDescent="0.2">
      <c r="A63" s="300"/>
      <c r="B63" s="9"/>
      <c r="C63" s="9"/>
      <c r="D63" s="9"/>
      <c r="E63" s="9"/>
      <c r="F63" s="9"/>
      <c r="G63" s="9"/>
      <c r="H63" s="9"/>
      <c r="I63" s="97"/>
      <c r="J63" s="300"/>
      <c r="K63" s="9"/>
      <c r="L63" s="9"/>
      <c r="M63" s="9"/>
      <c r="N63" s="9"/>
      <c r="O63" s="9"/>
      <c r="P63" s="9"/>
      <c r="R63" s="300"/>
      <c r="S63" s="9"/>
      <c r="T63" s="9"/>
      <c r="U63" s="9"/>
      <c r="V63" s="9"/>
      <c r="W63" s="9"/>
      <c r="X63" s="9"/>
      <c r="Y63" s="9"/>
      <c r="Z63" s="97"/>
    </row>
    <row r="64" spans="1:26" x14ac:dyDescent="0.2">
      <c r="A64" s="300"/>
      <c r="B64" s="9"/>
      <c r="C64" s="9"/>
      <c r="D64" s="9"/>
      <c r="E64" s="9"/>
      <c r="F64" s="9"/>
      <c r="G64" s="9"/>
      <c r="H64" s="9"/>
      <c r="I64" s="97"/>
      <c r="J64" s="300"/>
      <c r="K64" s="9"/>
      <c r="L64" s="9"/>
      <c r="M64" s="9"/>
      <c r="N64" s="9"/>
      <c r="O64" s="9"/>
      <c r="P64" s="9"/>
      <c r="R64" s="300"/>
      <c r="S64" s="9"/>
      <c r="T64" s="9"/>
      <c r="U64" s="9"/>
      <c r="V64" s="9"/>
      <c r="W64" s="9"/>
      <c r="X64" s="9"/>
      <c r="Y64" s="9"/>
      <c r="Z64" s="97"/>
    </row>
    <row r="65" spans="1:26" x14ac:dyDescent="0.2">
      <c r="A65" s="42"/>
      <c r="B65" s="36"/>
      <c r="C65" s="36"/>
      <c r="D65" s="36"/>
      <c r="E65" s="36"/>
      <c r="F65" s="36"/>
      <c r="G65" s="36"/>
      <c r="H65" s="36"/>
      <c r="I65" s="315"/>
      <c r="J65" s="42"/>
      <c r="K65" s="36"/>
      <c r="L65" s="36"/>
      <c r="M65" s="36"/>
      <c r="N65" s="36"/>
      <c r="O65" s="36"/>
      <c r="P65" s="36"/>
      <c r="R65" s="42"/>
      <c r="S65" s="36"/>
      <c r="T65" s="36"/>
      <c r="U65" s="36"/>
      <c r="V65" s="36"/>
      <c r="W65" s="36"/>
      <c r="X65" s="36"/>
      <c r="Y65" s="36"/>
      <c r="Z65" s="315"/>
    </row>
    <row r="66" spans="1:26" x14ac:dyDescent="0.2">
      <c r="A66" s="316" t="s">
        <v>100</v>
      </c>
      <c r="B66" s="469" t="s">
        <v>101</v>
      </c>
      <c r="C66" s="470"/>
      <c r="D66" s="470"/>
      <c r="E66" s="470"/>
      <c r="F66" s="470"/>
      <c r="G66" s="471"/>
      <c r="H66" s="26" t="s">
        <v>74</v>
      </c>
      <c r="I66" s="291" t="s">
        <v>75</v>
      </c>
      <c r="J66" s="316"/>
      <c r="K66" s="469"/>
      <c r="L66" s="470"/>
      <c r="M66" s="470"/>
      <c r="N66" s="470"/>
      <c r="O66" s="470"/>
      <c r="P66" s="471"/>
      <c r="R66" s="316" t="s">
        <v>100</v>
      </c>
      <c r="S66" s="469" t="s">
        <v>101</v>
      </c>
      <c r="T66" s="470"/>
      <c r="U66" s="470"/>
      <c r="V66" s="470"/>
      <c r="W66" s="470"/>
      <c r="X66" s="471"/>
      <c r="Y66" s="26" t="s">
        <v>74</v>
      </c>
      <c r="Z66" s="291" t="s">
        <v>75</v>
      </c>
    </row>
    <row r="67" spans="1:26" x14ac:dyDescent="0.2">
      <c r="A67" s="296" t="s">
        <v>38</v>
      </c>
      <c r="B67" s="445" t="s">
        <v>102</v>
      </c>
      <c r="C67" s="445"/>
      <c r="D67" s="445"/>
      <c r="E67" s="445"/>
      <c r="F67" s="445"/>
      <c r="G67" s="445"/>
      <c r="H67" s="1">
        <v>0.2</v>
      </c>
      <c r="I67" s="82">
        <f t="shared" ref="I67:I74" si="0">H67*($I$45)</f>
        <v>372.93120000000005</v>
      </c>
      <c r="J67" s="296"/>
      <c r="K67" s="445"/>
      <c r="L67" s="445"/>
      <c r="M67" s="445"/>
      <c r="N67" s="445"/>
      <c r="O67" s="445"/>
      <c r="P67" s="445"/>
      <c r="R67" s="296" t="s">
        <v>38</v>
      </c>
      <c r="S67" s="445" t="s">
        <v>102</v>
      </c>
      <c r="T67" s="445"/>
      <c r="U67" s="445"/>
      <c r="V67" s="445"/>
      <c r="W67" s="445"/>
      <c r="X67" s="445"/>
      <c r="Y67" s="1">
        <v>0.2</v>
      </c>
      <c r="Z67" s="82">
        <f>Y67*($Z$45)</f>
        <v>435.08640000000008</v>
      </c>
    </row>
    <row r="68" spans="1:26" x14ac:dyDescent="0.2">
      <c r="A68" s="296" t="s">
        <v>40</v>
      </c>
      <c r="B68" s="445" t="s">
        <v>103</v>
      </c>
      <c r="C68" s="445"/>
      <c r="D68" s="445"/>
      <c r="E68" s="445"/>
      <c r="F68" s="445"/>
      <c r="G68" s="445"/>
      <c r="H68" s="1">
        <v>2.5000000000000001E-2</v>
      </c>
      <c r="I68" s="82">
        <f t="shared" si="0"/>
        <v>46.616400000000006</v>
      </c>
      <c r="J68" s="296"/>
      <c r="K68" s="445"/>
      <c r="L68" s="445"/>
      <c r="M68" s="445"/>
      <c r="N68" s="445"/>
      <c r="O68" s="445"/>
      <c r="P68" s="445"/>
      <c r="R68" s="296" t="s">
        <v>40</v>
      </c>
      <c r="S68" s="445" t="s">
        <v>103</v>
      </c>
      <c r="T68" s="445"/>
      <c r="U68" s="445"/>
      <c r="V68" s="445"/>
      <c r="W68" s="445"/>
      <c r="X68" s="445"/>
      <c r="Y68" s="1">
        <v>2.5000000000000001E-2</v>
      </c>
      <c r="Z68" s="82">
        <f t="shared" ref="Z68:Z74" si="1">Y68*($Z$45)</f>
        <v>54.38580000000001</v>
      </c>
    </row>
    <row r="69" spans="1:26" x14ac:dyDescent="0.2">
      <c r="A69" s="296" t="s">
        <v>43</v>
      </c>
      <c r="B69" s="445" t="s">
        <v>104</v>
      </c>
      <c r="C69" s="445"/>
      <c r="D69" s="445"/>
      <c r="E69" s="445"/>
      <c r="F69" s="445"/>
      <c r="G69" s="445"/>
      <c r="H69" s="1">
        <v>0.03</v>
      </c>
      <c r="I69" s="82">
        <f t="shared" si="0"/>
        <v>55.939680000000003</v>
      </c>
      <c r="J69" s="296"/>
      <c r="K69" s="445"/>
      <c r="L69" s="445"/>
      <c r="M69" s="445"/>
      <c r="N69" s="445"/>
      <c r="O69" s="445"/>
      <c r="P69" s="445"/>
      <c r="Q69" s="25"/>
      <c r="R69" s="296" t="s">
        <v>43</v>
      </c>
      <c r="S69" s="445" t="s">
        <v>104</v>
      </c>
      <c r="T69" s="445"/>
      <c r="U69" s="445"/>
      <c r="V69" s="445"/>
      <c r="W69" s="445"/>
      <c r="X69" s="445"/>
      <c r="Y69" s="1">
        <v>0.03</v>
      </c>
      <c r="Z69" s="82">
        <f t="shared" si="1"/>
        <v>65.262960000000007</v>
      </c>
    </row>
    <row r="70" spans="1:26" x14ac:dyDescent="0.2">
      <c r="A70" s="296" t="s">
        <v>46</v>
      </c>
      <c r="B70" s="445" t="s">
        <v>105</v>
      </c>
      <c r="C70" s="445"/>
      <c r="D70" s="445"/>
      <c r="E70" s="445"/>
      <c r="F70" s="445"/>
      <c r="G70" s="445"/>
      <c r="H70" s="1">
        <v>1.4999999999999999E-2</v>
      </c>
      <c r="I70" s="82">
        <f t="shared" si="0"/>
        <v>27.969840000000001</v>
      </c>
      <c r="J70" s="296"/>
      <c r="K70" s="445"/>
      <c r="L70" s="445"/>
      <c r="M70" s="445"/>
      <c r="N70" s="445"/>
      <c r="O70" s="445"/>
      <c r="P70" s="445"/>
      <c r="R70" s="296" t="s">
        <v>46</v>
      </c>
      <c r="S70" s="445" t="s">
        <v>105</v>
      </c>
      <c r="T70" s="445"/>
      <c r="U70" s="445"/>
      <c r="V70" s="445"/>
      <c r="W70" s="445"/>
      <c r="X70" s="445"/>
      <c r="Y70" s="1">
        <v>1.4999999999999999E-2</v>
      </c>
      <c r="Z70" s="82">
        <f t="shared" si="1"/>
        <v>32.631480000000003</v>
      </c>
    </row>
    <row r="71" spans="1:26" x14ac:dyDescent="0.2">
      <c r="A71" s="296" t="s">
        <v>80</v>
      </c>
      <c r="B71" s="445" t="s">
        <v>106</v>
      </c>
      <c r="C71" s="445"/>
      <c r="D71" s="445"/>
      <c r="E71" s="445"/>
      <c r="F71" s="445"/>
      <c r="G71" s="445"/>
      <c r="H71" s="1">
        <v>0.01</v>
      </c>
      <c r="I71" s="82">
        <f t="shared" si="0"/>
        <v>18.646560000000001</v>
      </c>
      <c r="J71" s="296"/>
      <c r="K71" s="445"/>
      <c r="L71" s="445"/>
      <c r="M71" s="445"/>
      <c r="N71" s="445"/>
      <c r="O71" s="445"/>
      <c r="P71" s="445"/>
      <c r="R71" s="296" t="s">
        <v>80</v>
      </c>
      <c r="S71" s="445" t="s">
        <v>106</v>
      </c>
      <c r="T71" s="445"/>
      <c r="U71" s="445"/>
      <c r="V71" s="445"/>
      <c r="W71" s="445"/>
      <c r="X71" s="445"/>
      <c r="Y71" s="1">
        <v>0.01</v>
      </c>
      <c r="Z71" s="82">
        <f t="shared" si="1"/>
        <v>21.754320000000003</v>
      </c>
    </row>
    <row r="72" spans="1:26" x14ac:dyDescent="0.2">
      <c r="A72" s="296" t="s">
        <v>82</v>
      </c>
      <c r="B72" s="445" t="s">
        <v>107</v>
      </c>
      <c r="C72" s="445"/>
      <c r="D72" s="445"/>
      <c r="E72" s="445"/>
      <c r="F72" s="445"/>
      <c r="G72" s="445"/>
      <c r="H72" s="1">
        <v>6.0000000000000001E-3</v>
      </c>
      <c r="I72" s="82">
        <f t="shared" si="0"/>
        <v>11.187936000000001</v>
      </c>
      <c r="J72" s="296"/>
      <c r="K72" s="445"/>
      <c r="L72" s="445"/>
      <c r="M72" s="445"/>
      <c r="N72" s="445"/>
      <c r="O72" s="445"/>
      <c r="P72" s="445"/>
      <c r="R72" s="296" t="s">
        <v>82</v>
      </c>
      <c r="S72" s="445" t="s">
        <v>107</v>
      </c>
      <c r="T72" s="445"/>
      <c r="U72" s="445"/>
      <c r="V72" s="445"/>
      <c r="W72" s="445"/>
      <c r="X72" s="445"/>
      <c r="Y72" s="1">
        <v>6.0000000000000001E-3</v>
      </c>
      <c r="Z72" s="82">
        <f t="shared" si="1"/>
        <v>13.052592000000002</v>
      </c>
    </row>
    <row r="73" spans="1:26" x14ac:dyDescent="0.2">
      <c r="A73" s="296" t="s">
        <v>108</v>
      </c>
      <c r="B73" s="445" t="s">
        <v>109</v>
      </c>
      <c r="C73" s="445"/>
      <c r="D73" s="445"/>
      <c r="E73" s="445"/>
      <c r="F73" s="445"/>
      <c r="G73" s="445"/>
      <c r="H73" s="1">
        <v>2E-3</v>
      </c>
      <c r="I73" s="82">
        <f t="shared" si="0"/>
        <v>3.7293120000000006</v>
      </c>
      <c r="J73" s="296"/>
      <c r="K73" s="445"/>
      <c r="L73" s="445"/>
      <c r="M73" s="445"/>
      <c r="N73" s="445"/>
      <c r="O73" s="445"/>
      <c r="P73" s="445"/>
      <c r="R73" s="296" t="s">
        <v>108</v>
      </c>
      <c r="S73" s="445" t="s">
        <v>109</v>
      </c>
      <c r="T73" s="445"/>
      <c r="U73" s="445"/>
      <c r="V73" s="445"/>
      <c r="W73" s="445"/>
      <c r="X73" s="445"/>
      <c r="Y73" s="1">
        <v>2E-3</v>
      </c>
      <c r="Z73" s="82">
        <f t="shared" si="1"/>
        <v>4.3508640000000005</v>
      </c>
    </row>
    <row r="74" spans="1:26" x14ac:dyDescent="0.2">
      <c r="A74" s="296" t="s">
        <v>110</v>
      </c>
      <c r="B74" s="445" t="s">
        <v>111</v>
      </c>
      <c r="C74" s="445"/>
      <c r="D74" s="445"/>
      <c r="E74" s="445"/>
      <c r="F74" s="445"/>
      <c r="G74" s="445"/>
      <c r="H74" s="1">
        <v>0.08</v>
      </c>
      <c r="I74" s="82">
        <f t="shared" si="0"/>
        <v>149.17248000000001</v>
      </c>
      <c r="J74" s="296"/>
      <c r="K74" s="445"/>
      <c r="L74" s="445"/>
      <c r="M74" s="445"/>
      <c r="N74" s="445"/>
      <c r="O74" s="445"/>
      <c r="P74" s="445"/>
      <c r="R74" s="296" t="s">
        <v>110</v>
      </c>
      <c r="S74" s="445" t="s">
        <v>111</v>
      </c>
      <c r="T74" s="445"/>
      <c r="U74" s="445"/>
      <c r="V74" s="445"/>
      <c r="W74" s="445"/>
      <c r="X74" s="445"/>
      <c r="Y74" s="1">
        <v>0.08</v>
      </c>
      <c r="Z74" s="82">
        <f t="shared" si="1"/>
        <v>174.03456000000003</v>
      </c>
    </row>
    <row r="75" spans="1:26" x14ac:dyDescent="0.2">
      <c r="A75" s="447" t="s">
        <v>11</v>
      </c>
      <c r="B75" s="448"/>
      <c r="C75" s="448"/>
      <c r="D75" s="448"/>
      <c r="E75" s="448"/>
      <c r="F75" s="448"/>
      <c r="G75" s="448"/>
      <c r="H75" s="33">
        <f>SUM(H67:H74)</f>
        <v>0.36800000000000005</v>
      </c>
      <c r="I75" s="314">
        <f>SUM(I67:I74)</f>
        <v>686.19340800000009</v>
      </c>
      <c r="J75" s="447"/>
      <c r="K75" s="448"/>
      <c r="L75" s="448"/>
      <c r="M75" s="448"/>
      <c r="N75" s="448"/>
      <c r="O75" s="448"/>
      <c r="P75" s="448"/>
      <c r="R75" s="447" t="s">
        <v>11</v>
      </c>
      <c r="S75" s="448"/>
      <c r="T75" s="448"/>
      <c r="U75" s="448"/>
      <c r="V75" s="448"/>
      <c r="W75" s="448"/>
      <c r="X75" s="448"/>
      <c r="Y75" s="33">
        <f>SUM(Y67:Y74)</f>
        <v>0.36800000000000005</v>
      </c>
      <c r="Z75" s="314">
        <f>SUM(Z67:Z74)</f>
        <v>800.55897600000014</v>
      </c>
    </row>
    <row r="76" spans="1:26" ht="13.5" customHeight="1" x14ac:dyDescent="0.2">
      <c r="A76" s="312"/>
      <c r="B76" s="3"/>
      <c r="C76" s="3"/>
      <c r="D76" s="3"/>
      <c r="E76" s="3"/>
      <c r="F76" s="3"/>
      <c r="G76" s="3"/>
      <c r="H76" s="35"/>
      <c r="I76" s="61"/>
      <c r="J76" s="312"/>
      <c r="K76" s="3"/>
      <c r="L76" s="3"/>
      <c r="M76" s="3"/>
      <c r="N76" s="3"/>
      <c r="O76" s="3"/>
      <c r="P76" s="3"/>
      <c r="R76" s="312"/>
      <c r="S76" s="3"/>
      <c r="T76" s="3"/>
      <c r="U76" s="3"/>
      <c r="V76" s="3"/>
      <c r="W76" s="3"/>
      <c r="X76" s="3"/>
      <c r="Y76" s="35"/>
      <c r="Z76" s="61"/>
    </row>
    <row r="77" spans="1:26" x14ac:dyDescent="0.2">
      <c r="A77" s="300" t="s">
        <v>112</v>
      </c>
      <c r="B77" s="3"/>
      <c r="C77" s="3"/>
      <c r="D77" s="3"/>
      <c r="E77" s="3"/>
      <c r="F77" s="3"/>
      <c r="G77" s="3"/>
      <c r="H77" s="35"/>
      <c r="I77" s="61"/>
      <c r="J77" s="300"/>
      <c r="K77" s="3"/>
      <c r="L77" s="3"/>
      <c r="M77" s="3"/>
      <c r="N77" s="3"/>
      <c r="O77" s="3"/>
      <c r="P77" s="3"/>
      <c r="R77" s="300" t="s">
        <v>112</v>
      </c>
      <c r="S77" s="3"/>
      <c r="T77" s="3"/>
      <c r="U77" s="3"/>
      <c r="V77" s="3"/>
      <c r="W77" s="3"/>
      <c r="X77" s="3"/>
      <c r="Y77" s="35"/>
      <c r="Z77" s="61"/>
    </row>
    <row r="78" spans="1:26" x14ac:dyDescent="0.2">
      <c r="A78" s="300" t="s">
        <v>113</v>
      </c>
      <c r="B78" s="3"/>
      <c r="C78" s="3"/>
      <c r="D78" s="3"/>
      <c r="E78" s="3"/>
      <c r="F78" s="3"/>
      <c r="G78" s="3"/>
      <c r="H78" s="35"/>
      <c r="I78" s="61"/>
      <c r="J78" s="300"/>
      <c r="K78" s="3"/>
      <c r="L78" s="3"/>
      <c r="M78" s="3"/>
      <c r="N78" s="3"/>
      <c r="O78" s="3"/>
      <c r="P78" s="3"/>
      <c r="R78" s="300" t="s">
        <v>113</v>
      </c>
      <c r="S78" s="3"/>
      <c r="T78" s="3"/>
      <c r="U78" s="3"/>
      <c r="V78" s="3"/>
      <c r="W78" s="3"/>
      <c r="X78" s="3"/>
      <c r="Y78" s="35"/>
      <c r="Z78" s="61"/>
    </row>
    <row r="79" spans="1:26" x14ac:dyDescent="0.2">
      <c r="A79" s="300" t="s">
        <v>114</v>
      </c>
      <c r="B79" s="3"/>
      <c r="C79" s="3"/>
      <c r="D79" s="3"/>
      <c r="E79" s="3"/>
      <c r="F79" s="3"/>
      <c r="G79" s="3"/>
      <c r="H79" s="35"/>
      <c r="I79" s="61"/>
      <c r="J79" s="300"/>
      <c r="K79" s="3"/>
      <c r="L79" s="3"/>
      <c r="M79" s="3"/>
      <c r="N79" s="3"/>
      <c r="O79" s="3"/>
      <c r="P79" s="3"/>
      <c r="R79" s="300" t="s">
        <v>114</v>
      </c>
      <c r="S79" s="3"/>
      <c r="T79" s="3"/>
      <c r="U79" s="3"/>
      <c r="V79" s="3"/>
      <c r="W79" s="3"/>
      <c r="X79" s="3"/>
      <c r="Y79" s="35"/>
      <c r="Z79" s="61"/>
    </row>
    <row r="80" spans="1:26" x14ac:dyDescent="0.2">
      <c r="A80" s="300" t="s">
        <v>115</v>
      </c>
      <c r="B80" s="3"/>
      <c r="C80" s="3"/>
      <c r="D80" s="3"/>
      <c r="E80" s="3"/>
      <c r="F80" s="3"/>
      <c r="G80" s="3"/>
      <c r="H80" s="35"/>
      <c r="I80" s="61"/>
      <c r="J80" s="300"/>
      <c r="K80" s="3"/>
      <c r="L80" s="3"/>
      <c r="M80" s="3"/>
      <c r="N80" s="3"/>
      <c r="O80" s="3"/>
      <c r="P80" s="3"/>
      <c r="R80" s="300" t="s">
        <v>115</v>
      </c>
      <c r="S80" s="3"/>
      <c r="T80" s="3"/>
      <c r="U80" s="3"/>
      <c r="V80" s="3"/>
      <c r="W80" s="3"/>
      <c r="X80" s="3"/>
      <c r="Y80" s="35"/>
      <c r="Z80" s="61"/>
    </row>
    <row r="81" spans="1:26" x14ac:dyDescent="0.2">
      <c r="A81" s="300" t="s">
        <v>116</v>
      </c>
      <c r="B81" s="3"/>
      <c r="C81" s="3"/>
      <c r="D81" s="3"/>
      <c r="E81" s="3"/>
      <c r="F81" s="3"/>
      <c r="G81" s="3"/>
      <c r="H81" s="35"/>
      <c r="I81" s="61"/>
      <c r="J81" s="300"/>
      <c r="K81" s="3"/>
      <c r="L81" s="3"/>
      <c r="M81" s="3"/>
      <c r="N81" s="3"/>
      <c r="O81" s="3"/>
      <c r="P81" s="3"/>
      <c r="R81" s="300" t="s">
        <v>116</v>
      </c>
      <c r="S81" s="3"/>
      <c r="T81" s="3"/>
      <c r="U81" s="3"/>
      <c r="V81" s="3"/>
      <c r="W81" s="3"/>
      <c r="X81" s="3"/>
      <c r="Y81" s="35"/>
      <c r="Z81" s="61"/>
    </row>
    <row r="82" spans="1:26" x14ac:dyDescent="0.2">
      <c r="A82" s="59"/>
      <c r="B82" s="9"/>
      <c r="C82" s="9"/>
      <c r="D82" s="9"/>
      <c r="E82" s="9"/>
      <c r="F82" s="9"/>
      <c r="G82" s="9"/>
      <c r="H82" s="9"/>
      <c r="I82" s="97"/>
      <c r="J82" s="59"/>
      <c r="K82" s="9"/>
      <c r="L82" s="9"/>
      <c r="M82" s="9"/>
      <c r="N82" s="9"/>
      <c r="O82" s="9"/>
      <c r="P82" s="9"/>
      <c r="R82" s="59"/>
      <c r="S82" s="9"/>
      <c r="T82" s="9"/>
      <c r="U82" s="9"/>
      <c r="V82" s="9"/>
      <c r="W82" s="9"/>
      <c r="X82" s="9"/>
      <c r="Y82" s="9"/>
      <c r="Z82" s="97"/>
    </row>
    <row r="83" spans="1:26" x14ac:dyDescent="0.2">
      <c r="A83" s="316" t="s">
        <v>117</v>
      </c>
      <c r="B83" s="472" t="s">
        <v>118</v>
      </c>
      <c r="C83" s="473"/>
      <c r="D83" s="473"/>
      <c r="E83" s="473"/>
      <c r="F83" s="473"/>
      <c r="G83" s="474"/>
      <c r="H83" s="33"/>
      <c r="I83" s="291" t="s">
        <v>75</v>
      </c>
      <c r="J83" s="316"/>
      <c r="K83" s="472"/>
      <c r="L83" s="473"/>
      <c r="M83" s="473"/>
      <c r="N83" s="473"/>
      <c r="O83" s="473"/>
      <c r="P83" s="474"/>
      <c r="R83" s="316" t="s">
        <v>117</v>
      </c>
      <c r="S83" s="472" t="s">
        <v>118</v>
      </c>
      <c r="T83" s="473"/>
      <c r="U83" s="473"/>
      <c r="V83" s="473"/>
      <c r="W83" s="473"/>
      <c r="X83" s="474"/>
      <c r="Y83" s="33"/>
      <c r="Z83" s="291" t="s">
        <v>75</v>
      </c>
    </row>
    <row r="84" spans="1:26" ht="14.1" customHeight="1" x14ac:dyDescent="0.2">
      <c r="A84" s="296" t="s">
        <v>38</v>
      </c>
      <c r="B84" s="475" t="s">
        <v>119</v>
      </c>
      <c r="C84" s="475"/>
      <c r="D84" s="475"/>
      <c r="E84" s="475"/>
      <c r="F84" s="475"/>
      <c r="G84" s="475"/>
      <c r="H84" s="21" t="s">
        <v>120</v>
      </c>
      <c r="I84" s="317">
        <f>'Mód2.3 '!E12</f>
        <v>106.13300000000002</v>
      </c>
      <c r="J84" s="296"/>
      <c r="K84" s="475"/>
      <c r="L84" s="475"/>
      <c r="M84" s="475"/>
      <c r="N84" s="475"/>
      <c r="O84" s="475"/>
      <c r="P84" s="475"/>
      <c r="R84" s="296" t="s">
        <v>38</v>
      </c>
      <c r="S84" s="475" t="s">
        <v>119</v>
      </c>
      <c r="T84" s="475"/>
      <c r="U84" s="475"/>
      <c r="V84" s="475"/>
      <c r="W84" s="475"/>
      <c r="X84" s="475"/>
      <c r="Y84" s="21" t="s">
        <v>120</v>
      </c>
      <c r="Z84" s="317">
        <f>I84</f>
        <v>106.13300000000002</v>
      </c>
    </row>
    <row r="85" spans="1:26" x14ac:dyDescent="0.2">
      <c r="A85" s="296" t="s">
        <v>40</v>
      </c>
      <c r="B85" s="475" t="s">
        <v>121</v>
      </c>
      <c r="C85" s="475"/>
      <c r="D85" s="475"/>
      <c r="E85" s="475"/>
      <c r="F85" s="475"/>
      <c r="G85" s="475"/>
      <c r="H85" s="21" t="s">
        <v>120</v>
      </c>
      <c r="I85" s="317">
        <f>'Mód2.3 '!E25</f>
        <v>482.34559999999999</v>
      </c>
      <c r="J85" s="296"/>
      <c r="K85" s="475"/>
      <c r="L85" s="475"/>
      <c r="M85" s="475"/>
      <c r="N85" s="475"/>
      <c r="O85" s="475"/>
      <c r="P85" s="475"/>
      <c r="R85" s="296" t="s">
        <v>40</v>
      </c>
      <c r="S85" s="475" t="s">
        <v>121</v>
      </c>
      <c r="T85" s="475"/>
      <c r="U85" s="475"/>
      <c r="V85" s="475"/>
      <c r="W85" s="475"/>
      <c r="X85" s="475"/>
      <c r="Y85" s="21" t="s">
        <v>120</v>
      </c>
      <c r="Z85" s="317">
        <f t="shared" ref="Z85:Z89" si="2">I85</f>
        <v>482.34559999999999</v>
      </c>
    </row>
    <row r="86" spans="1:26" x14ac:dyDescent="0.2">
      <c r="A86" s="296" t="s">
        <v>43</v>
      </c>
      <c r="B86" s="475" t="s">
        <v>122</v>
      </c>
      <c r="C86" s="475"/>
      <c r="D86" s="475"/>
      <c r="E86" s="475"/>
      <c r="F86" s="475"/>
      <c r="G86" s="475"/>
      <c r="H86" s="21" t="s">
        <v>120</v>
      </c>
      <c r="I86" s="317">
        <f>'Mód2.3 '!E33</f>
        <v>0</v>
      </c>
      <c r="J86" s="296"/>
      <c r="K86" s="475"/>
      <c r="L86" s="475"/>
      <c r="M86" s="475"/>
      <c r="N86" s="475"/>
      <c r="O86" s="475"/>
      <c r="P86" s="475"/>
      <c r="R86" s="296" t="s">
        <v>43</v>
      </c>
      <c r="S86" s="475" t="s">
        <v>122</v>
      </c>
      <c r="T86" s="475"/>
      <c r="U86" s="475"/>
      <c r="V86" s="475"/>
      <c r="W86" s="475"/>
      <c r="X86" s="475"/>
      <c r="Y86" s="21" t="s">
        <v>120</v>
      </c>
      <c r="Z86" s="317">
        <f t="shared" si="2"/>
        <v>0</v>
      </c>
    </row>
    <row r="87" spans="1:26" ht="15" customHeight="1" x14ac:dyDescent="0.2">
      <c r="A87" s="313" t="s">
        <v>46</v>
      </c>
      <c r="B87" s="476" t="s">
        <v>123</v>
      </c>
      <c r="C87" s="475"/>
      <c r="D87" s="475"/>
      <c r="E87" s="475"/>
      <c r="F87" s="475"/>
      <c r="G87" s="475"/>
      <c r="H87" s="28" t="s">
        <v>120</v>
      </c>
      <c r="I87" s="318">
        <f>'Mód2.3 '!E42</f>
        <v>115.33</v>
      </c>
      <c r="J87" s="313"/>
      <c r="K87" s="477"/>
      <c r="L87" s="477"/>
      <c r="M87" s="477"/>
      <c r="N87" s="477"/>
      <c r="O87" s="477"/>
      <c r="P87" s="477"/>
      <c r="R87" s="313" t="s">
        <v>46</v>
      </c>
      <c r="S87" s="477" t="s">
        <v>124</v>
      </c>
      <c r="T87" s="477"/>
      <c r="U87" s="477"/>
      <c r="V87" s="477"/>
      <c r="W87" s="477"/>
      <c r="X87" s="477"/>
      <c r="Y87" s="28" t="s">
        <v>120</v>
      </c>
      <c r="Z87" s="317">
        <f t="shared" si="2"/>
        <v>115.33</v>
      </c>
    </row>
    <row r="88" spans="1:26" x14ac:dyDescent="0.2">
      <c r="A88" s="296" t="s">
        <v>80</v>
      </c>
      <c r="B88" s="475" t="s">
        <v>125</v>
      </c>
      <c r="C88" s="475"/>
      <c r="D88" s="475"/>
      <c r="E88" s="475"/>
      <c r="F88" s="475"/>
      <c r="G88" s="475"/>
      <c r="H88" s="21" t="s">
        <v>120</v>
      </c>
      <c r="I88" s="317">
        <f>'Mód2.3 '!E52</f>
        <v>0</v>
      </c>
      <c r="J88" s="296"/>
      <c r="K88" s="475"/>
      <c r="L88" s="475"/>
      <c r="M88" s="475"/>
      <c r="N88" s="475"/>
      <c r="O88" s="475"/>
      <c r="P88" s="475"/>
      <c r="Q88" s="25" t="s">
        <v>126</v>
      </c>
      <c r="R88" s="296" t="s">
        <v>80</v>
      </c>
      <c r="S88" s="475" t="s">
        <v>127</v>
      </c>
      <c r="T88" s="475"/>
      <c r="U88" s="475"/>
      <c r="V88" s="475"/>
      <c r="W88" s="475"/>
      <c r="X88" s="475"/>
      <c r="Y88" s="21" t="s">
        <v>120</v>
      </c>
      <c r="Z88" s="317">
        <f t="shared" si="2"/>
        <v>0</v>
      </c>
    </row>
    <row r="89" spans="1:26" x14ac:dyDescent="0.2">
      <c r="A89" s="296"/>
      <c r="B89" s="476"/>
      <c r="C89" s="475"/>
      <c r="D89" s="475"/>
      <c r="E89" s="475"/>
      <c r="F89" s="475"/>
      <c r="G89" s="475"/>
      <c r="H89" s="21"/>
      <c r="I89" s="317"/>
      <c r="J89" s="296"/>
      <c r="K89" s="475"/>
      <c r="L89" s="475"/>
      <c r="M89" s="475"/>
      <c r="N89" s="475"/>
      <c r="O89" s="475"/>
      <c r="P89" s="475"/>
      <c r="R89" s="296" t="s">
        <v>82</v>
      </c>
      <c r="S89" s="475" t="s">
        <v>128</v>
      </c>
      <c r="T89" s="475"/>
      <c r="U89" s="475"/>
      <c r="V89" s="475"/>
      <c r="W89" s="475"/>
      <c r="X89" s="475"/>
      <c r="Y89" s="21" t="s">
        <v>120</v>
      </c>
      <c r="Z89" s="317">
        <f t="shared" si="2"/>
        <v>0</v>
      </c>
    </row>
    <row r="90" spans="1:26" x14ac:dyDescent="0.2">
      <c r="A90" s="447" t="s">
        <v>129</v>
      </c>
      <c r="B90" s="448"/>
      <c r="C90" s="448"/>
      <c r="D90" s="448"/>
      <c r="E90" s="448"/>
      <c r="F90" s="448"/>
      <c r="G90" s="448"/>
      <c r="H90" s="448"/>
      <c r="I90" s="314">
        <f>SUM(I84:I89)</f>
        <v>703.80860000000007</v>
      </c>
      <c r="J90" s="447"/>
      <c r="K90" s="448"/>
      <c r="L90" s="448"/>
      <c r="M90" s="448"/>
      <c r="N90" s="448"/>
      <c r="O90" s="448"/>
      <c r="P90" s="448"/>
      <c r="R90" s="447" t="s">
        <v>129</v>
      </c>
      <c r="S90" s="448"/>
      <c r="T90" s="448"/>
      <c r="U90" s="448"/>
      <c r="V90" s="448"/>
      <c r="W90" s="448"/>
      <c r="X90" s="448"/>
      <c r="Y90" s="448"/>
      <c r="Z90" s="314">
        <f>SUM(Z84:Z89)</f>
        <v>703.80860000000007</v>
      </c>
    </row>
    <row r="91" spans="1:26" x14ac:dyDescent="0.2">
      <c r="A91" s="312"/>
      <c r="B91" s="3"/>
      <c r="C91" s="3"/>
      <c r="D91" s="3"/>
      <c r="E91" s="3"/>
      <c r="F91" s="3"/>
      <c r="G91" s="3"/>
      <c r="H91" s="3"/>
      <c r="I91" s="61"/>
      <c r="J91" s="312"/>
      <c r="K91" s="3"/>
      <c r="L91" s="3"/>
      <c r="M91" s="3"/>
      <c r="N91" s="3"/>
      <c r="O91" s="3"/>
      <c r="P91" s="3"/>
      <c r="R91" s="312"/>
      <c r="S91" s="3"/>
      <c r="T91" s="3"/>
      <c r="U91" s="3"/>
      <c r="V91" s="3"/>
      <c r="W91" s="3"/>
      <c r="X91" s="3"/>
      <c r="Y91" s="3"/>
      <c r="Z91" s="61"/>
    </row>
    <row r="92" spans="1:26" x14ac:dyDescent="0.2">
      <c r="A92" s="300" t="s">
        <v>130</v>
      </c>
      <c r="B92" s="3"/>
      <c r="C92" s="3"/>
      <c r="D92" s="3"/>
      <c r="E92" s="3"/>
      <c r="F92" s="3"/>
      <c r="G92" s="3"/>
      <c r="H92" s="3"/>
      <c r="I92" s="61"/>
      <c r="J92" s="300"/>
      <c r="K92" s="3"/>
      <c r="L92" s="3"/>
      <c r="M92" s="3"/>
      <c r="N92" s="3"/>
      <c r="O92" s="3"/>
      <c r="P92" s="3"/>
      <c r="R92" s="300" t="s">
        <v>130</v>
      </c>
      <c r="S92" s="3"/>
      <c r="T92" s="3"/>
      <c r="U92" s="3"/>
      <c r="V92" s="3"/>
      <c r="W92" s="3"/>
      <c r="X92" s="3"/>
      <c r="Y92" s="3"/>
      <c r="Z92" s="61"/>
    </row>
    <row r="93" spans="1:26" x14ac:dyDescent="0.2">
      <c r="A93" s="300" t="s">
        <v>131</v>
      </c>
      <c r="B93" s="3"/>
      <c r="C93" s="3"/>
      <c r="D93" s="3"/>
      <c r="E93" s="3"/>
      <c r="F93" s="3"/>
      <c r="G93" s="3"/>
      <c r="H93" s="3"/>
      <c r="I93" s="61"/>
      <c r="J93" s="300"/>
      <c r="K93" s="3"/>
      <c r="L93" s="3"/>
      <c r="M93" s="3"/>
      <c r="N93" s="3"/>
      <c r="O93" s="3"/>
      <c r="P93" s="3"/>
      <c r="R93" s="300" t="s">
        <v>131</v>
      </c>
      <c r="S93" s="3"/>
      <c r="T93" s="3"/>
      <c r="U93" s="3"/>
      <c r="V93" s="3"/>
      <c r="W93" s="3"/>
      <c r="X93" s="3"/>
      <c r="Y93" s="3"/>
      <c r="Z93" s="61"/>
    </row>
    <row r="94" spans="1:26" x14ac:dyDescent="0.2">
      <c r="A94" s="300" t="s">
        <v>132</v>
      </c>
      <c r="B94" s="3"/>
      <c r="C94" s="3"/>
      <c r="D94" s="3"/>
      <c r="E94" s="3"/>
      <c r="F94" s="3"/>
      <c r="G94" s="3"/>
      <c r="H94" s="3"/>
      <c r="I94" s="61"/>
      <c r="J94" s="300"/>
      <c r="K94" s="3"/>
      <c r="L94" s="3"/>
      <c r="M94" s="3"/>
      <c r="N94" s="3"/>
      <c r="O94" s="3"/>
      <c r="P94" s="3"/>
      <c r="R94" s="300" t="s">
        <v>132</v>
      </c>
      <c r="S94" s="3"/>
      <c r="T94" s="3"/>
      <c r="U94" s="3"/>
      <c r="V94" s="3"/>
      <c r="W94" s="3"/>
      <c r="X94" s="3"/>
      <c r="Y94" s="3"/>
      <c r="Z94" s="61"/>
    </row>
    <row r="95" spans="1:26" x14ac:dyDescent="0.2">
      <c r="A95" s="300" t="s">
        <v>133</v>
      </c>
      <c r="B95" s="3"/>
      <c r="C95" s="3"/>
      <c r="D95" s="3"/>
      <c r="E95" s="3"/>
      <c r="F95" s="3"/>
      <c r="G95" s="3"/>
      <c r="H95" s="3"/>
      <c r="I95" s="61"/>
      <c r="J95" s="300"/>
      <c r="K95" s="3"/>
      <c r="L95" s="3"/>
      <c r="M95" s="3"/>
      <c r="N95" s="3"/>
      <c r="O95" s="3"/>
      <c r="P95" s="3"/>
      <c r="R95" s="300" t="s">
        <v>133</v>
      </c>
      <c r="S95" s="3"/>
      <c r="T95" s="3"/>
      <c r="U95" s="3"/>
      <c r="V95" s="3"/>
      <c r="W95" s="3"/>
      <c r="X95" s="3"/>
      <c r="Y95" s="3"/>
      <c r="Z95" s="61"/>
    </row>
    <row r="96" spans="1:26" x14ac:dyDescent="0.2">
      <c r="A96" s="59"/>
      <c r="B96" s="9"/>
      <c r="C96" s="9"/>
      <c r="D96" s="9"/>
      <c r="E96" s="9"/>
      <c r="F96" s="9"/>
      <c r="G96" s="9"/>
      <c r="H96" s="9"/>
      <c r="I96" s="97"/>
      <c r="J96" s="59"/>
      <c r="K96" s="9"/>
      <c r="L96" s="9"/>
      <c r="M96" s="9"/>
      <c r="N96" s="9"/>
      <c r="O96" s="9"/>
      <c r="P96" s="9"/>
      <c r="R96" s="59"/>
      <c r="S96" s="9"/>
      <c r="T96" s="9"/>
      <c r="U96" s="9"/>
      <c r="V96" s="9"/>
      <c r="W96" s="9"/>
      <c r="X96" s="9"/>
      <c r="Y96" s="9"/>
      <c r="Z96" s="97"/>
    </row>
    <row r="97" spans="1:26" x14ac:dyDescent="0.2">
      <c r="A97" s="316">
        <v>2</v>
      </c>
      <c r="B97" s="39" t="s">
        <v>134</v>
      </c>
      <c r="C97" s="39"/>
      <c r="D97" s="39"/>
      <c r="E97" s="39"/>
      <c r="F97" s="39"/>
      <c r="G97" s="39"/>
      <c r="H97" s="39"/>
      <c r="I97" s="319"/>
      <c r="J97" s="316"/>
      <c r="K97" s="39"/>
      <c r="L97" s="39"/>
      <c r="M97" s="39"/>
      <c r="N97" s="39"/>
      <c r="O97" s="39"/>
      <c r="P97" s="39"/>
      <c r="R97" s="316">
        <v>2</v>
      </c>
      <c r="S97" s="39" t="s">
        <v>134</v>
      </c>
      <c r="T97" s="39"/>
      <c r="U97" s="39"/>
      <c r="V97" s="39"/>
      <c r="W97" s="39"/>
      <c r="X97" s="39"/>
      <c r="Y97" s="39"/>
      <c r="Z97" s="319"/>
    </row>
    <row r="98" spans="1:26" x14ac:dyDescent="0.2">
      <c r="A98" s="456" t="s">
        <v>135</v>
      </c>
      <c r="B98" s="457"/>
      <c r="C98" s="457"/>
      <c r="D98" s="457"/>
      <c r="E98" s="457"/>
      <c r="F98" s="457"/>
      <c r="G98" s="457"/>
      <c r="H98" s="457"/>
      <c r="I98" s="297" t="s">
        <v>75</v>
      </c>
      <c r="J98" s="456"/>
      <c r="K98" s="457"/>
      <c r="L98" s="457"/>
      <c r="M98" s="457"/>
      <c r="N98" s="457"/>
      <c r="O98" s="457"/>
      <c r="P98" s="457"/>
      <c r="R98" s="456" t="s">
        <v>135</v>
      </c>
      <c r="S98" s="457"/>
      <c r="T98" s="457"/>
      <c r="U98" s="457"/>
      <c r="V98" s="457"/>
      <c r="W98" s="457"/>
      <c r="X98" s="457"/>
      <c r="Y98" s="457"/>
      <c r="Z98" s="297" t="s">
        <v>75</v>
      </c>
    </row>
    <row r="99" spans="1:26" x14ac:dyDescent="0.2">
      <c r="A99" s="296" t="s">
        <v>88</v>
      </c>
      <c r="B99" s="464" t="s">
        <v>136</v>
      </c>
      <c r="C99" s="464"/>
      <c r="D99" s="464"/>
      <c r="E99" s="464"/>
      <c r="F99" s="464"/>
      <c r="G99" s="464"/>
      <c r="H99" s="464"/>
      <c r="I99" s="82">
        <f>I56</f>
        <v>521.2006892544</v>
      </c>
      <c r="J99" s="296"/>
      <c r="K99" s="464"/>
      <c r="L99" s="464"/>
      <c r="M99" s="464"/>
      <c r="N99" s="464"/>
      <c r="O99" s="464"/>
      <c r="P99" s="464"/>
      <c r="R99" s="296" t="s">
        <v>88</v>
      </c>
      <c r="S99" s="464" t="s">
        <v>136</v>
      </c>
      <c r="T99" s="464"/>
      <c r="U99" s="464"/>
      <c r="V99" s="464"/>
      <c r="W99" s="464"/>
      <c r="X99" s="464"/>
      <c r="Y99" s="464"/>
      <c r="Z99" s="82">
        <f>Z56</f>
        <v>608.06747079680008</v>
      </c>
    </row>
    <row r="100" spans="1:26" x14ac:dyDescent="0.2">
      <c r="A100" s="296" t="s">
        <v>100</v>
      </c>
      <c r="B100" s="464" t="s">
        <v>137</v>
      </c>
      <c r="C100" s="464"/>
      <c r="D100" s="464"/>
      <c r="E100" s="464"/>
      <c r="F100" s="464"/>
      <c r="G100" s="464"/>
      <c r="H100" s="464"/>
      <c r="I100" s="82">
        <f>I75</f>
        <v>686.19340800000009</v>
      </c>
      <c r="J100" s="296"/>
      <c r="K100" s="464"/>
      <c r="L100" s="464"/>
      <c r="M100" s="464"/>
      <c r="N100" s="464"/>
      <c r="O100" s="464"/>
      <c r="P100" s="464"/>
      <c r="R100" s="296" t="s">
        <v>100</v>
      </c>
      <c r="S100" s="464" t="s">
        <v>137</v>
      </c>
      <c r="T100" s="464"/>
      <c r="U100" s="464"/>
      <c r="V100" s="464"/>
      <c r="W100" s="464"/>
      <c r="X100" s="464"/>
      <c r="Y100" s="464"/>
      <c r="Z100" s="82">
        <f>Z75</f>
        <v>800.55897600000014</v>
      </c>
    </row>
    <row r="101" spans="1:26" x14ac:dyDescent="0.2">
      <c r="A101" s="296" t="s">
        <v>117</v>
      </c>
      <c r="B101" s="464" t="s">
        <v>138</v>
      </c>
      <c r="C101" s="464"/>
      <c r="D101" s="464"/>
      <c r="E101" s="464"/>
      <c r="F101" s="464"/>
      <c r="G101" s="464"/>
      <c r="H101" s="464"/>
      <c r="I101" s="82">
        <f>I90</f>
        <v>703.80860000000007</v>
      </c>
      <c r="J101" s="296"/>
      <c r="K101" s="464"/>
      <c r="L101" s="464"/>
      <c r="M101" s="464"/>
      <c r="N101" s="464"/>
      <c r="O101" s="464"/>
      <c r="P101" s="464"/>
      <c r="R101" s="296" t="s">
        <v>117</v>
      </c>
      <c r="S101" s="464" t="s">
        <v>138</v>
      </c>
      <c r="T101" s="464"/>
      <c r="U101" s="464"/>
      <c r="V101" s="464"/>
      <c r="W101" s="464"/>
      <c r="X101" s="464"/>
      <c r="Y101" s="464"/>
      <c r="Z101" s="82">
        <f>Z90</f>
        <v>703.80860000000007</v>
      </c>
    </row>
    <row r="102" spans="1:26" x14ac:dyDescent="0.2">
      <c r="A102" s="463" t="s">
        <v>139</v>
      </c>
      <c r="B102" s="478"/>
      <c r="C102" s="478"/>
      <c r="D102" s="478"/>
      <c r="E102" s="478"/>
      <c r="F102" s="478"/>
      <c r="G102" s="478"/>
      <c r="H102" s="478"/>
      <c r="I102" s="320">
        <f>SUM(I99:I101)</f>
        <v>1911.2026972544002</v>
      </c>
      <c r="J102" s="463"/>
      <c r="K102" s="478"/>
      <c r="L102" s="478"/>
      <c r="M102" s="478"/>
      <c r="N102" s="478"/>
      <c r="O102" s="478"/>
      <c r="P102" s="478"/>
      <c r="R102" s="463" t="s">
        <v>139</v>
      </c>
      <c r="S102" s="478"/>
      <c r="T102" s="478"/>
      <c r="U102" s="478"/>
      <c r="V102" s="478"/>
      <c r="W102" s="478"/>
      <c r="X102" s="478"/>
      <c r="Y102" s="478"/>
      <c r="Z102" s="320">
        <f>SUM(Z99:Z101)</f>
        <v>2112.4350467968006</v>
      </c>
    </row>
    <row r="103" spans="1:26" x14ac:dyDescent="0.2">
      <c r="A103" s="479"/>
      <c r="B103" s="480"/>
      <c r="C103" s="480"/>
      <c r="D103" s="480"/>
      <c r="E103" s="480"/>
      <c r="F103" s="480"/>
      <c r="G103" s="480"/>
      <c r="H103" s="480"/>
      <c r="I103" s="481"/>
      <c r="J103" s="479"/>
      <c r="K103" s="480"/>
      <c r="L103" s="480"/>
      <c r="M103" s="480"/>
      <c r="N103" s="480"/>
      <c r="O103" s="480"/>
      <c r="P103" s="480"/>
      <c r="R103" s="479"/>
      <c r="S103" s="480"/>
      <c r="T103" s="480"/>
      <c r="U103" s="480"/>
      <c r="V103" s="480"/>
      <c r="W103" s="480"/>
      <c r="X103" s="480"/>
      <c r="Y103" s="480"/>
      <c r="Z103" s="481"/>
    </row>
    <row r="104" spans="1:26" ht="13.5" customHeight="1" x14ac:dyDescent="0.2">
      <c r="A104" s="460" t="s">
        <v>140</v>
      </c>
      <c r="B104" s="461"/>
      <c r="C104" s="461"/>
      <c r="D104" s="461"/>
      <c r="E104" s="461"/>
      <c r="F104" s="461"/>
      <c r="G104" s="461"/>
      <c r="H104" s="461"/>
      <c r="I104" s="462"/>
      <c r="J104" s="460"/>
      <c r="K104" s="461"/>
      <c r="L104" s="461"/>
      <c r="M104" s="461"/>
      <c r="N104" s="461"/>
      <c r="O104" s="461"/>
      <c r="P104" s="461"/>
      <c r="R104" s="460" t="s">
        <v>140</v>
      </c>
      <c r="S104" s="461"/>
      <c r="T104" s="461"/>
      <c r="U104" s="461"/>
      <c r="V104" s="461"/>
      <c r="W104" s="461"/>
      <c r="X104" s="461"/>
      <c r="Y104" s="461"/>
      <c r="Z104" s="462"/>
    </row>
    <row r="105" spans="1:26" ht="14.1" customHeight="1" x14ac:dyDescent="0.2">
      <c r="A105" s="296">
        <v>3</v>
      </c>
      <c r="B105" s="457" t="s">
        <v>141</v>
      </c>
      <c r="C105" s="457"/>
      <c r="D105" s="457"/>
      <c r="E105" s="457"/>
      <c r="F105" s="457"/>
      <c r="G105" s="457"/>
      <c r="H105" s="8" t="s">
        <v>74</v>
      </c>
      <c r="I105" s="297" t="s">
        <v>75</v>
      </c>
      <c r="J105" s="296"/>
      <c r="K105" s="457"/>
      <c r="L105" s="457"/>
      <c r="M105" s="457"/>
      <c r="N105" s="457"/>
      <c r="O105" s="457"/>
      <c r="P105" s="457"/>
      <c r="R105" s="296">
        <v>3</v>
      </c>
      <c r="S105" s="457" t="s">
        <v>141</v>
      </c>
      <c r="T105" s="457"/>
      <c r="U105" s="457"/>
      <c r="V105" s="457"/>
      <c r="W105" s="457"/>
      <c r="X105" s="457"/>
      <c r="Y105" s="8" t="s">
        <v>74</v>
      </c>
      <c r="Z105" s="297" t="s">
        <v>75</v>
      </c>
    </row>
    <row r="106" spans="1:26" x14ac:dyDescent="0.2">
      <c r="A106" s="296" t="s">
        <v>38</v>
      </c>
      <c r="B106" s="445" t="s">
        <v>142</v>
      </c>
      <c r="C106" s="445"/>
      <c r="D106" s="445"/>
      <c r="E106" s="445"/>
      <c r="F106" s="445"/>
      <c r="G106" s="445"/>
      <c r="H106" s="1">
        <v>4.1999999999999997E-3</v>
      </c>
      <c r="I106" s="82">
        <f>H106*I45</f>
        <v>7.8315552000000004</v>
      </c>
      <c r="J106" s="296"/>
      <c r="K106" s="445"/>
      <c r="L106" s="445"/>
      <c r="M106" s="445"/>
      <c r="N106" s="445"/>
      <c r="O106" s="445"/>
      <c r="P106" s="445"/>
      <c r="R106" s="296" t="s">
        <v>38</v>
      </c>
      <c r="S106" s="445" t="s">
        <v>142</v>
      </c>
      <c r="T106" s="445"/>
      <c r="U106" s="445"/>
      <c r="V106" s="445"/>
      <c r="W106" s="445"/>
      <c r="X106" s="445"/>
      <c r="Y106" s="1">
        <v>4.1999999999999997E-3</v>
      </c>
      <c r="Z106" s="82">
        <f>Y106*Z45</f>
        <v>9.1368144000000004</v>
      </c>
    </row>
    <row r="107" spans="1:26" x14ac:dyDescent="0.2">
      <c r="A107" s="313" t="s">
        <v>40</v>
      </c>
      <c r="B107" s="465" t="s">
        <v>143</v>
      </c>
      <c r="C107" s="465"/>
      <c r="D107" s="465"/>
      <c r="E107" s="465"/>
      <c r="F107" s="465"/>
      <c r="G107" s="465"/>
      <c r="H107" s="149">
        <f>H74</f>
        <v>0.08</v>
      </c>
      <c r="I107" s="83">
        <f>I106*H107</f>
        <v>0.62652441600000008</v>
      </c>
      <c r="J107" s="313"/>
      <c r="K107" s="465"/>
      <c r="L107" s="465"/>
      <c r="M107" s="465"/>
      <c r="N107" s="465"/>
      <c r="O107" s="465"/>
      <c r="P107" s="465"/>
      <c r="R107" s="313" t="s">
        <v>40</v>
      </c>
      <c r="S107" s="465" t="s">
        <v>143</v>
      </c>
      <c r="T107" s="465"/>
      <c r="U107" s="465"/>
      <c r="V107" s="465"/>
      <c r="W107" s="465"/>
      <c r="X107" s="465"/>
      <c r="Y107" s="149">
        <f>Y74</f>
        <v>0.08</v>
      </c>
      <c r="Z107" s="83">
        <f>Z106*Y107</f>
        <v>0.7309451520000001</v>
      </c>
    </row>
    <row r="108" spans="1:26" ht="24.75" customHeight="1" x14ac:dyDescent="0.2">
      <c r="A108" s="313" t="s">
        <v>43</v>
      </c>
      <c r="B108" s="465" t="s">
        <v>144</v>
      </c>
      <c r="C108" s="465"/>
      <c r="D108" s="465"/>
      <c r="E108" s="465"/>
      <c r="F108" s="465"/>
      <c r="G108" s="465"/>
      <c r="H108" s="149">
        <v>2E-3</v>
      </c>
      <c r="I108" s="83">
        <f>H108*I45</f>
        <v>3.7293120000000006</v>
      </c>
      <c r="J108" s="313"/>
      <c r="K108" s="465"/>
      <c r="L108" s="465"/>
      <c r="M108" s="465"/>
      <c r="N108" s="465"/>
      <c r="O108" s="465"/>
      <c r="P108" s="465"/>
      <c r="R108" s="313" t="s">
        <v>43</v>
      </c>
      <c r="S108" s="465" t="s">
        <v>144</v>
      </c>
      <c r="T108" s="465"/>
      <c r="U108" s="465"/>
      <c r="V108" s="465"/>
      <c r="W108" s="465"/>
      <c r="X108" s="465"/>
      <c r="Y108" s="149">
        <v>2E-3</v>
      </c>
      <c r="Z108" s="83">
        <f>Y108*Z45</f>
        <v>4.3508640000000005</v>
      </c>
    </row>
    <row r="109" spans="1:26" x14ac:dyDescent="0.2">
      <c r="A109" s="296" t="s">
        <v>46</v>
      </c>
      <c r="B109" s="445" t="s">
        <v>145</v>
      </c>
      <c r="C109" s="445"/>
      <c r="D109" s="445"/>
      <c r="E109" s="445"/>
      <c r="F109" s="445"/>
      <c r="G109" s="445"/>
      <c r="H109" s="1">
        <v>1.9400000000000001E-2</v>
      </c>
      <c r="I109" s="82">
        <f>H109*I45</f>
        <v>36.174326400000005</v>
      </c>
      <c r="J109" s="296"/>
      <c r="K109" s="445"/>
      <c r="L109" s="445"/>
      <c r="M109" s="445"/>
      <c r="N109" s="445"/>
      <c r="O109" s="445"/>
      <c r="P109" s="445"/>
      <c r="R109" s="296" t="s">
        <v>46</v>
      </c>
      <c r="S109" s="445" t="s">
        <v>145</v>
      </c>
      <c r="T109" s="445"/>
      <c r="U109" s="445"/>
      <c r="V109" s="445"/>
      <c r="W109" s="445"/>
      <c r="X109" s="445"/>
      <c r="Y109" s="1">
        <v>1.9400000000000001E-2</v>
      </c>
      <c r="Z109" s="82">
        <f>Y109*Z45</f>
        <v>42.203380800000005</v>
      </c>
    </row>
    <row r="110" spans="1:26" x14ac:dyDescent="0.2">
      <c r="A110" s="296" t="s">
        <v>80</v>
      </c>
      <c r="B110" s="485" t="s">
        <v>146</v>
      </c>
      <c r="C110" s="485"/>
      <c r="D110" s="485"/>
      <c r="E110" s="485"/>
      <c r="F110" s="485"/>
      <c r="G110" s="485"/>
      <c r="H110" s="22">
        <f>H75</f>
        <v>0.36800000000000005</v>
      </c>
      <c r="I110" s="82">
        <f>I109*H110</f>
        <v>13.312152115200004</v>
      </c>
      <c r="J110" s="296"/>
      <c r="K110" s="485"/>
      <c r="L110" s="485"/>
      <c r="M110" s="485"/>
      <c r="N110" s="485"/>
      <c r="O110" s="485"/>
      <c r="P110" s="485"/>
      <c r="R110" s="296" t="s">
        <v>80</v>
      </c>
      <c r="S110" s="485" t="s">
        <v>146</v>
      </c>
      <c r="T110" s="485"/>
      <c r="U110" s="485"/>
      <c r="V110" s="485"/>
      <c r="W110" s="485"/>
      <c r="X110" s="485"/>
      <c r="Y110" s="22">
        <f>Y75</f>
        <v>0.36800000000000005</v>
      </c>
      <c r="Z110" s="82">
        <f>Z109*Y110</f>
        <v>15.530844134400004</v>
      </c>
    </row>
    <row r="111" spans="1:26" ht="25.5" customHeight="1" x14ac:dyDescent="0.2">
      <c r="A111" s="313" t="s">
        <v>82</v>
      </c>
      <c r="B111" s="465" t="s">
        <v>147</v>
      </c>
      <c r="C111" s="465"/>
      <c r="D111" s="465"/>
      <c r="E111" s="465"/>
      <c r="F111" s="465"/>
      <c r="G111" s="465"/>
      <c r="H111" s="149">
        <v>3.7999999999999999E-2</v>
      </c>
      <c r="I111" s="83">
        <f>H111*I45</f>
        <v>70.856928000000011</v>
      </c>
      <c r="J111" s="313"/>
      <c r="K111" s="465"/>
      <c r="L111" s="465"/>
      <c r="M111" s="465"/>
      <c r="N111" s="465"/>
      <c r="O111" s="465"/>
      <c r="P111" s="465"/>
      <c r="R111" s="313" t="s">
        <v>82</v>
      </c>
      <c r="S111" s="465" t="s">
        <v>147</v>
      </c>
      <c r="T111" s="465"/>
      <c r="U111" s="465"/>
      <c r="V111" s="465"/>
      <c r="W111" s="465"/>
      <c r="X111" s="465"/>
      <c r="Y111" s="149">
        <v>3.7999999999999999E-2</v>
      </c>
      <c r="Z111" s="83">
        <f>Y111*Z45</f>
        <v>82.666416000000012</v>
      </c>
    </row>
    <row r="112" spans="1:26" x14ac:dyDescent="0.2">
      <c r="A112" s="463" t="s">
        <v>148</v>
      </c>
      <c r="B112" s="478"/>
      <c r="C112" s="478"/>
      <c r="D112" s="478"/>
      <c r="E112" s="478"/>
      <c r="F112" s="478"/>
      <c r="G112" s="478"/>
      <c r="H112" s="33"/>
      <c r="I112" s="320">
        <f>SUM(I106:I111)</f>
        <v>132.53079813120002</v>
      </c>
      <c r="J112" s="463"/>
      <c r="K112" s="478"/>
      <c r="L112" s="478"/>
      <c r="M112" s="478"/>
      <c r="N112" s="478"/>
      <c r="O112" s="478"/>
      <c r="P112" s="478"/>
      <c r="R112" s="463" t="s">
        <v>148</v>
      </c>
      <c r="S112" s="478"/>
      <c r="T112" s="478"/>
      <c r="U112" s="478"/>
      <c r="V112" s="478"/>
      <c r="W112" s="478"/>
      <c r="X112" s="478"/>
      <c r="Y112" s="33"/>
      <c r="Z112" s="320">
        <f>SUM(Z106:Z111)</f>
        <v>154.61926448640003</v>
      </c>
    </row>
    <row r="113" spans="1:26" x14ac:dyDescent="0.2">
      <c r="A113" s="482"/>
      <c r="B113" s="483"/>
      <c r="C113" s="483"/>
      <c r="D113" s="483"/>
      <c r="E113" s="483"/>
      <c r="F113" s="483"/>
      <c r="G113" s="483"/>
      <c r="H113" s="483"/>
      <c r="I113" s="484"/>
      <c r="J113" s="482"/>
      <c r="K113" s="483"/>
      <c r="L113" s="483"/>
      <c r="M113" s="483"/>
      <c r="N113" s="483"/>
      <c r="O113" s="483"/>
      <c r="P113" s="483"/>
      <c r="R113" s="482"/>
      <c r="S113" s="483"/>
      <c r="T113" s="483"/>
      <c r="U113" s="483"/>
      <c r="V113" s="483"/>
      <c r="W113" s="483"/>
      <c r="X113" s="483"/>
      <c r="Y113" s="483"/>
      <c r="Z113" s="484"/>
    </row>
    <row r="114" spans="1:26" x14ac:dyDescent="0.2">
      <c r="A114" s="460" t="s">
        <v>149</v>
      </c>
      <c r="B114" s="461"/>
      <c r="C114" s="461"/>
      <c r="D114" s="461"/>
      <c r="E114" s="461"/>
      <c r="F114" s="461"/>
      <c r="G114" s="461"/>
      <c r="H114" s="461"/>
      <c r="I114" s="462"/>
      <c r="J114" s="460"/>
      <c r="K114" s="461"/>
      <c r="L114" s="461"/>
      <c r="M114" s="461"/>
      <c r="N114" s="461"/>
      <c r="O114" s="461"/>
      <c r="P114" s="461"/>
      <c r="R114" s="460" t="s">
        <v>149</v>
      </c>
      <c r="S114" s="461"/>
      <c r="T114" s="461"/>
      <c r="U114" s="461"/>
      <c r="V114" s="461"/>
      <c r="W114" s="461"/>
      <c r="X114" s="461"/>
      <c r="Y114" s="461"/>
      <c r="Z114" s="462"/>
    </row>
    <row r="115" spans="1:26" x14ac:dyDescent="0.2">
      <c r="A115" s="312"/>
      <c r="B115" s="3"/>
      <c r="C115" s="3"/>
      <c r="D115" s="3"/>
      <c r="E115" s="3"/>
      <c r="F115" s="3"/>
      <c r="G115" s="3"/>
      <c r="H115" s="3"/>
      <c r="I115" s="321"/>
      <c r="J115" s="312"/>
      <c r="K115" s="3"/>
      <c r="L115" s="3"/>
      <c r="M115" s="3"/>
      <c r="N115" s="3"/>
      <c r="O115" s="3"/>
      <c r="P115" s="3"/>
      <c r="R115" s="312"/>
      <c r="S115" s="3"/>
      <c r="T115" s="3"/>
      <c r="U115" s="3"/>
      <c r="V115" s="3"/>
      <c r="W115" s="3"/>
      <c r="X115" s="3"/>
      <c r="Y115" s="3"/>
      <c r="Z115" s="321"/>
    </row>
    <row r="116" spans="1:26" x14ac:dyDescent="0.2">
      <c r="A116" s="300" t="s">
        <v>150</v>
      </c>
      <c r="B116" s="3"/>
      <c r="C116" s="3"/>
      <c r="D116" s="3"/>
      <c r="E116" s="3"/>
      <c r="F116" s="3"/>
      <c r="G116" s="3"/>
      <c r="H116" s="3"/>
      <c r="I116" s="321"/>
      <c r="J116" s="300"/>
      <c r="K116" s="3"/>
      <c r="L116" s="3"/>
      <c r="M116" s="3"/>
      <c r="N116" s="3"/>
      <c r="O116" s="3"/>
      <c r="P116" s="3"/>
      <c r="R116" s="300" t="s">
        <v>150</v>
      </c>
      <c r="S116" s="3"/>
      <c r="T116" s="3"/>
      <c r="U116" s="3"/>
      <c r="V116" s="3"/>
      <c r="W116" s="3"/>
      <c r="X116" s="3"/>
      <c r="Y116" s="3"/>
      <c r="Z116" s="321"/>
    </row>
    <row r="117" spans="1:26" x14ac:dyDescent="0.2">
      <c r="A117" s="300" t="s">
        <v>151</v>
      </c>
      <c r="B117" s="3"/>
      <c r="C117" s="3"/>
      <c r="D117" s="3"/>
      <c r="E117" s="3"/>
      <c r="F117" s="3"/>
      <c r="G117" s="3"/>
      <c r="H117" s="3"/>
      <c r="I117" s="321"/>
      <c r="J117" s="300"/>
      <c r="K117" s="3"/>
      <c r="L117" s="3"/>
      <c r="M117" s="3"/>
      <c r="N117" s="3"/>
      <c r="O117" s="3"/>
      <c r="P117" s="3"/>
      <c r="R117" s="300" t="s">
        <v>151</v>
      </c>
      <c r="S117" s="3"/>
      <c r="T117" s="3"/>
      <c r="U117" s="3"/>
      <c r="V117" s="3"/>
      <c r="W117" s="3"/>
      <c r="X117" s="3"/>
      <c r="Y117" s="3"/>
      <c r="Z117" s="321"/>
    </row>
    <row r="118" spans="1:26" x14ac:dyDescent="0.2">
      <c r="A118" s="312"/>
      <c r="B118" s="3"/>
      <c r="C118" s="3"/>
      <c r="D118" s="3"/>
      <c r="E118" s="3"/>
      <c r="F118" s="3"/>
      <c r="G118" s="3"/>
      <c r="H118" s="3"/>
      <c r="I118" s="321"/>
      <c r="J118" s="312"/>
      <c r="K118" s="3"/>
      <c r="L118" s="3"/>
      <c r="M118" s="3"/>
      <c r="N118" s="3"/>
      <c r="O118" s="3"/>
      <c r="P118" s="3"/>
      <c r="R118" s="312"/>
      <c r="S118" s="3"/>
      <c r="T118" s="3"/>
      <c r="U118" s="3"/>
      <c r="V118" s="3"/>
      <c r="W118" s="3"/>
      <c r="X118" s="3"/>
      <c r="Y118" s="3"/>
      <c r="Z118" s="321"/>
    </row>
    <row r="119" spans="1:26" x14ac:dyDescent="0.2">
      <c r="A119" s="316" t="s">
        <v>152</v>
      </c>
      <c r="B119" s="448" t="s">
        <v>153</v>
      </c>
      <c r="C119" s="448"/>
      <c r="D119" s="448"/>
      <c r="E119" s="448"/>
      <c r="F119" s="448"/>
      <c r="G119" s="448"/>
      <c r="H119" s="26" t="s">
        <v>74</v>
      </c>
      <c r="I119" s="291" t="s">
        <v>75</v>
      </c>
      <c r="J119" s="316"/>
      <c r="K119" s="448"/>
      <c r="L119" s="448"/>
      <c r="M119" s="448"/>
      <c r="N119" s="448"/>
      <c r="O119" s="448"/>
      <c r="P119" s="448"/>
      <c r="R119" s="316" t="s">
        <v>152</v>
      </c>
      <c r="S119" s="448" t="s">
        <v>153</v>
      </c>
      <c r="T119" s="448"/>
      <c r="U119" s="448"/>
      <c r="V119" s="448"/>
      <c r="W119" s="448"/>
      <c r="X119" s="448"/>
      <c r="Y119" s="26" t="s">
        <v>74</v>
      </c>
      <c r="Z119" s="291" t="s">
        <v>75</v>
      </c>
    </row>
    <row r="120" spans="1:26" ht="14.1" customHeight="1" x14ac:dyDescent="0.2">
      <c r="A120" s="316" t="s">
        <v>38</v>
      </c>
      <c r="B120" s="445" t="s">
        <v>154</v>
      </c>
      <c r="C120" s="445"/>
      <c r="D120" s="445"/>
      <c r="E120" s="445"/>
      <c r="F120" s="445"/>
      <c r="G120" s="445"/>
      <c r="H120" s="34"/>
      <c r="I120" s="314"/>
      <c r="J120" s="316"/>
      <c r="K120" s="445"/>
      <c r="L120" s="445"/>
      <c r="M120" s="445"/>
      <c r="N120" s="445"/>
      <c r="O120" s="445"/>
      <c r="P120" s="445"/>
      <c r="R120" s="316" t="s">
        <v>38</v>
      </c>
      <c r="S120" s="445" t="s">
        <v>154</v>
      </c>
      <c r="T120" s="445"/>
      <c r="U120" s="445"/>
      <c r="V120" s="445"/>
      <c r="W120" s="445"/>
      <c r="X120" s="445"/>
      <c r="Y120" s="34"/>
      <c r="Z120" s="314"/>
    </row>
    <row r="121" spans="1:26" x14ac:dyDescent="0.2">
      <c r="A121" s="296" t="s">
        <v>40</v>
      </c>
      <c r="B121" s="445" t="s">
        <v>155</v>
      </c>
      <c r="C121" s="445"/>
      <c r="D121" s="445"/>
      <c r="E121" s="445"/>
      <c r="F121" s="445"/>
      <c r="G121" s="445"/>
      <c r="H121" s="157">
        <v>1.67E-2</v>
      </c>
      <c r="I121" s="82">
        <f>H121*$I$45</f>
        <v>31.139755200000003</v>
      </c>
      <c r="J121" s="296"/>
      <c r="K121" s="445"/>
      <c r="L121" s="445"/>
      <c r="M121" s="445"/>
      <c r="N121" s="445"/>
      <c r="O121" s="445"/>
      <c r="P121" s="445"/>
      <c r="Q121" s="25"/>
      <c r="R121" s="296" t="s">
        <v>40</v>
      </c>
      <c r="S121" s="445" t="s">
        <v>155</v>
      </c>
      <c r="T121" s="445"/>
      <c r="U121" s="445"/>
      <c r="V121" s="445"/>
      <c r="W121" s="445"/>
      <c r="X121" s="445"/>
      <c r="Y121" s="157">
        <v>1.67E-2</v>
      </c>
      <c r="Z121" s="82">
        <f>Y121*$Z$45</f>
        <v>36.3297144</v>
      </c>
    </row>
    <row r="122" spans="1:26" x14ac:dyDescent="0.2">
      <c r="A122" s="296" t="s">
        <v>43</v>
      </c>
      <c r="B122" s="445" t="s">
        <v>156</v>
      </c>
      <c r="C122" s="445"/>
      <c r="D122" s="445"/>
      <c r="E122" s="445"/>
      <c r="F122" s="445"/>
      <c r="G122" s="445"/>
      <c r="H122" s="157">
        <v>2.0000000000000001E-4</v>
      </c>
      <c r="I122" s="82">
        <f>H122*$I$45</f>
        <v>0.37293120000000007</v>
      </c>
      <c r="J122" s="296"/>
      <c r="K122" s="445"/>
      <c r="L122" s="445"/>
      <c r="M122" s="445"/>
      <c r="N122" s="445"/>
      <c r="O122" s="445"/>
      <c r="P122" s="445"/>
      <c r="Q122" s="25"/>
      <c r="R122" s="296" t="s">
        <v>43</v>
      </c>
      <c r="S122" s="445" t="s">
        <v>156</v>
      </c>
      <c r="T122" s="445"/>
      <c r="U122" s="445"/>
      <c r="V122" s="445"/>
      <c r="W122" s="445"/>
      <c r="X122" s="445"/>
      <c r="Y122" s="157">
        <v>2.0000000000000001E-4</v>
      </c>
      <c r="Z122" s="82">
        <f t="shared" ref="Z122:Z125" si="3">Y122*$Z$45</f>
        <v>0.4350864000000001</v>
      </c>
    </row>
    <row r="123" spans="1:26" x14ac:dyDescent="0.2">
      <c r="A123" s="313" t="s">
        <v>46</v>
      </c>
      <c r="B123" s="465" t="s">
        <v>157</v>
      </c>
      <c r="C123" s="465"/>
      <c r="D123" s="465"/>
      <c r="E123" s="465"/>
      <c r="F123" s="465"/>
      <c r="G123" s="465"/>
      <c r="H123" s="149">
        <v>6.9999999999999999E-4</v>
      </c>
      <c r="I123" s="83">
        <f>H123*$I$45</f>
        <v>1.3052592000000001</v>
      </c>
      <c r="J123" s="313"/>
      <c r="K123" s="465"/>
      <c r="L123" s="465"/>
      <c r="M123" s="465"/>
      <c r="N123" s="465"/>
      <c r="O123" s="465"/>
      <c r="P123" s="465"/>
      <c r="Q123" s="25"/>
      <c r="R123" s="313" t="s">
        <v>46</v>
      </c>
      <c r="S123" s="465" t="s">
        <v>157</v>
      </c>
      <c r="T123" s="465"/>
      <c r="U123" s="465"/>
      <c r="V123" s="465"/>
      <c r="W123" s="465"/>
      <c r="X123" s="465"/>
      <c r="Y123" s="149">
        <v>6.9999999999999999E-4</v>
      </c>
      <c r="Z123" s="82">
        <f t="shared" si="3"/>
        <v>1.5228024000000002</v>
      </c>
    </row>
    <row r="124" spans="1:26" x14ac:dyDescent="0.2">
      <c r="A124" s="296" t="s">
        <v>80</v>
      </c>
      <c r="B124" s="445" t="s">
        <v>158</v>
      </c>
      <c r="C124" s="445"/>
      <c r="D124" s="445"/>
      <c r="E124" s="445"/>
      <c r="F124" s="445"/>
      <c r="G124" s="445"/>
      <c r="H124" s="157">
        <v>2.8999999999999998E-3</v>
      </c>
      <c r="I124" s="82">
        <f>H124*$I$45</f>
        <v>5.4075024000000003</v>
      </c>
      <c r="J124" s="296"/>
      <c r="K124" s="445"/>
      <c r="L124" s="445"/>
      <c r="M124" s="445"/>
      <c r="N124" s="445"/>
      <c r="O124" s="445"/>
      <c r="P124" s="445"/>
      <c r="Q124" s="25"/>
      <c r="R124" s="296" t="s">
        <v>80</v>
      </c>
      <c r="S124" s="445" t="s">
        <v>158</v>
      </c>
      <c r="T124" s="445"/>
      <c r="U124" s="445"/>
      <c r="V124" s="445"/>
      <c r="W124" s="445"/>
      <c r="X124" s="445"/>
      <c r="Y124" s="157">
        <v>2.8999999999999998E-3</v>
      </c>
      <c r="Z124" s="82">
        <f t="shared" si="3"/>
        <v>6.3087528000000006</v>
      </c>
    </row>
    <row r="125" spans="1:26" x14ac:dyDescent="0.2">
      <c r="A125" s="296" t="s">
        <v>82</v>
      </c>
      <c r="B125" s="445" t="s">
        <v>159</v>
      </c>
      <c r="C125" s="445"/>
      <c r="D125" s="445"/>
      <c r="E125" s="445"/>
      <c r="F125" s="445"/>
      <c r="G125" s="445"/>
      <c r="H125" s="157"/>
      <c r="I125" s="82">
        <f t="shared" ref="I125" si="4">H125*$I$45</f>
        <v>0</v>
      </c>
      <c r="J125" s="296"/>
      <c r="K125" s="445"/>
      <c r="L125" s="445"/>
      <c r="M125" s="445"/>
      <c r="N125" s="445"/>
      <c r="O125" s="445"/>
      <c r="P125" s="445"/>
      <c r="Q125" s="25"/>
      <c r="R125" s="296" t="s">
        <v>82</v>
      </c>
      <c r="S125" s="445" t="s">
        <v>159</v>
      </c>
      <c r="T125" s="445"/>
      <c r="U125" s="445"/>
      <c r="V125" s="445"/>
      <c r="W125" s="445"/>
      <c r="X125" s="445"/>
      <c r="Y125" s="157"/>
      <c r="Z125" s="82">
        <f t="shared" si="3"/>
        <v>0</v>
      </c>
    </row>
    <row r="126" spans="1:26" x14ac:dyDescent="0.2">
      <c r="A126" s="447" t="s">
        <v>160</v>
      </c>
      <c r="B126" s="448"/>
      <c r="C126" s="448"/>
      <c r="D126" s="448"/>
      <c r="E126" s="448"/>
      <c r="F126" s="448"/>
      <c r="G126" s="448"/>
      <c r="H126" s="33"/>
      <c r="I126" s="314">
        <f>SUM(I121:I125)</f>
        <v>38.225448</v>
      </c>
      <c r="J126" s="447"/>
      <c r="K126" s="448"/>
      <c r="L126" s="448"/>
      <c r="M126" s="448"/>
      <c r="N126" s="448"/>
      <c r="O126" s="448"/>
      <c r="P126" s="448"/>
      <c r="Q126" s="25"/>
      <c r="R126" s="447" t="s">
        <v>160</v>
      </c>
      <c r="S126" s="448"/>
      <c r="T126" s="448"/>
      <c r="U126" s="448"/>
      <c r="V126" s="448"/>
      <c r="W126" s="448"/>
      <c r="X126" s="448"/>
      <c r="Y126" s="33"/>
      <c r="Z126" s="314">
        <f>SUM(Z121:Z125)</f>
        <v>44.596356000000007</v>
      </c>
    </row>
    <row r="127" spans="1:26" x14ac:dyDescent="0.2">
      <c r="A127" s="296" t="s">
        <v>82</v>
      </c>
      <c r="B127" s="445" t="s">
        <v>161</v>
      </c>
      <c r="C127" s="445"/>
      <c r="D127" s="445"/>
      <c r="E127" s="445"/>
      <c r="F127" s="445"/>
      <c r="G127" s="445"/>
      <c r="H127" s="1">
        <f>H75</f>
        <v>0.36800000000000005</v>
      </c>
      <c r="I127" s="82">
        <f>I126*H127</f>
        <v>14.066964864000003</v>
      </c>
      <c r="J127" s="296"/>
      <c r="K127" s="445"/>
      <c r="L127" s="445"/>
      <c r="M127" s="445"/>
      <c r="N127" s="445"/>
      <c r="O127" s="445"/>
      <c r="P127" s="445"/>
      <c r="R127" s="296" t="s">
        <v>82</v>
      </c>
      <c r="S127" s="445" t="s">
        <v>161</v>
      </c>
      <c r="T127" s="445"/>
      <c r="U127" s="445"/>
      <c r="V127" s="445"/>
      <c r="W127" s="445"/>
      <c r="X127" s="445"/>
      <c r="Y127" s="1">
        <f>Y75</f>
        <v>0.36800000000000005</v>
      </c>
      <c r="Z127" s="82">
        <f>Z126*Y127</f>
        <v>16.411459008000005</v>
      </c>
    </row>
    <row r="128" spans="1:26" ht="13.5" customHeight="1" x14ac:dyDescent="0.2">
      <c r="A128" s="447" t="s">
        <v>162</v>
      </c>
      <c r="B128" s="448"/>
      <c r="C128" s="448"/>
      <c r="D128" s="448"/>
      <c r="E128" s="448"/>
      <c r="F128" s="448"/>
      <c r="G128" s="448"/>
      <c r="H128" s="33"/>
      <c r="I128" s="314">
        <f>SUM(I126:I127)</f>
        <v>52.292412863999999</v>
      </c>
      <c r="J128" s="447"/>
      <c r="K128" s="448"/>
      <c r="L128" s="448"/>
      <c r="M128" s="448"/>
      <c r="N128" s="448"/>
      <c r="O128" s="448"/>
      <c r="P128" s="448"/>
      <c r="R128" s="447" t="s">
        <v>162</v>
      </c>
      <c r="S128" s="448"/>
      <c r="T128" s="448"/>
      <c r="U128" s="448"/>
      <c r="V128" s="448"/>
      <c r="W128" s="448"/>
      <c r="X128" s="448"/>
      <c r="Y128" s="33"/>
      <c r="Z128" s="314">
        <f>SUM(Z126:Z127)</f>
        <v>61.007815008000009</v>
      </c>
    </row>
    <row r="129" spans="1:27" ht="14.1" customHeight="1" x14ac:dyDescent="0.2">
      <c r="A129" s="312"/>
      <c r="B129" s="3"/>
      <c r="C129" s="3"/>
      <c r="D129" s="3"/>
      <c r="E129" s="3"/>
      <c r="F129" s="3"/>
      <c r="G129" s="3"/>
      <c r="H129" s="3"/>
      <c r="I129" s="321"/>
      <c r="J129" s="312"/>
      <c r="K129" s="3"/>
      <c r="L129" s="3"/>
      <c r="M129" s="3"/>
      <c r="N129" s="3"/>
      <c r="O129" s="3"/>
      <c r="P129" s="3"/>
      <c r="R129" s="312"/>
      <c r="S129" s="3"/>
      <c r="T129" s="3"/>
      <c r="U129" s="3"/>
      <c r="V129" s="3"/>
      <c r="W129" s="3"/>
      <c r="X129" s="3"/>
      <c r="Y129" s="3"/>
      <c r="Z129" s="321"/>
    </row>
    <row r="130" spans="1:27" x14ac:dyDescent="0.2">
      <c r="A130" s="316" t="s">
        <v>163</v>
      </c>
      <c r="B130" s="472" t="s">
        <v>164</v>
      </c>
      <c r="C130" s="473"/>
      <c r="D130" s="473"/>
      <c r="E130" s="473"/>
      <c r="F130" s="473"/>
      <c r="G130" s="474"/>
      <c r="H130" s="26" t="s">
        <v>74</v>
      </c>
      <c r="I130" s="291" t="s">
        <v>75</v>
      </c>
      <c r="J130" s="316"/>
      <c r="K130" s="472"/>
      <c r="L130" s="473"/>
      <c r="M130" s="473"/>
      <c r="N130" s="473"/>
      <c r="O130" s="473"/>
      <c r="P130" s="474"/>
      <c r="R130" s="316" t="s">
        <v>163</v>
      </c>
      <c r="S130" s="472" t="s">
        <v>164</v>
      </c>
      <c r="T130" s="473"/>
      <c r="U130" s="473"/>
      <c r="V130" s="473"/>
      <c r="W130" s="473"/>
      <c r="X130" s="474"/>
      <c r="Y130" s="26" t="s">
        <v>74</v>
      </c>
      <c r="Z130" s="291" t="s">
        <v>75</v>
      </c>
    </row>
    <row r="131" spans="1:27" x14ac:dyDescent="0.2">
      <c r="A131" s="296" t="s">
        <v>38</v>
      </c>
      <c r="B131" s="486" t="s">
        <v>165</v>
      </c>
      <c r="C131" s="487"/>
      <c r="D131" s="487"/>
      <c r="E131" s="487"/>
      <c r="F131" s="487"/>
      <c r="G131" s="488"/>
      <c r="H131" s="157">
        <v>0</v>
      </c>
      <c r="I131" s="82">
        <v>0</v>
      </c>
      <c r="J131" s="296"/>
      <c r="K131" s="486"/>
      <c r="L131" s="487"/>
      <c r="M131" s="487"/>
      <c r="N131" s="487"/>
      <c r="O131" s="487"/>
      <c r="P131" s="488"/>
      <c r="R131" s="296" t="s">
        <v>38</v>
      </c>
      <c r="S131" s="486" t="s">
        <v>165</v>
      </c>
      <c r="T131" s="487"/>
      <c r="U131" s="487"/>
      <c r="V131" s="487"/>
      <c r="W131" s="487"/>
      <c r="X131" s="488"/>
      <c r="Y131" s="157">
        <v>0</v>
      </c>
      <c r="Z131" s="82">
        <v>0</v>
      </c>
    </row>
    <row r="132" spans="1:27" ht="14.1" customHeight="1" x14ac:dyDescent="0.2">
      <c r="A132" s="489" t="s">
        <v>166</v>
      </c>
      <c r="B132" s="473"/>
      <c r="C132" s="473"/>
      <c r="D132" s="473"/>
      <c r="E132" s="473"/>
      <c r="F132" s="473"/>
      <c r="G132" s="474"/>
      <c r="H132" s="33">
        <f>TRUNC(SUM(H131),4)</f>
        <v>0</v>
      </c>
      <c r="I132" s="314">
        <f>SUM(I131)</f>
        <v>0</v>
      </c>
      <c r="J132" s="489"/>
      <c r="K132" s="473"/>
      <c r="L132" s="473"/>
      <c r="M132" s="473"/>
      <c r="N132" s="473"/>
      <c r="O132" s="473"/>
      <c r="P132" s="474"/>
      <c r="R132" s="489" t="s">
        <v>166</v>
      </c>
      <c r="S132" s="473"/>
      <c r="T132" s="473"/>
      <c r="U132" s="473"/>
      <c r="V132" s="473"/>
      <c r="W132" s="473"/>
      <c r="X132" s="474"/>
      <c r="Y132" s="33">
        <f>TRUNC(SUM(Y131),4)</f>
        <v>0</v>
      </c>
      <c r="Z132" s="314">
        <f>SUM(Z131)</f>
        <v>0</v>
      </c>
    </row>
    <row r="133" spans="1:27" x14ac:dyDescent="0.2">
      <c r="A133" s="42"/>
      <c r="B133" s="36"/>
      <c r="C133" s="36"/>
      <c r="D133" s="36"/>
      <c r="E133" s="36"/>
      <c r="F133" s="36"/>
      <c r="G133" s="36"/>
      <c r="H133" s="36"/>
      <c r="I133" s="315"/>
      <c r="J133" s="42"/>
      <c r="K133" s="36"/>
      <c r="L133" s="36"/>
      <c r="M133" s="36"/>
      <c r="N133" s="36"/>
      <c r="O133" s="36"/>
      <c r="P133" s="36"/>
      <c r="R133" s="42"/>
      <c r="S133" s="36"/>
      <c r="T133" s="36"/>
      <c r="U133" s="36"/>
      <c r="V133" s="36"/>
      <c r="W133" s="36"/>
      <c r="X133" s="36"/>
      <c r="Y133" s="36"/>
      <c r="Z133" s="315"/>
    </row>
    <row r="134" spans="1:27" x14ac:dyDescent="0.2">
      <c r="A134" s="447" t="s">
        <v>167</v>
      </c>
      <c r="B134" s="448"/>
      <c r="C134" s="448"/>
      <c r="D134" s="448"/>
      <c r="E134" s="448"/>
      <c r="F134" s="448"/>
      <c r="G134" s="448"/>
      <c r="H134" s="448"/>
      <c r="I134" s="449"/>
      <c r="J134" s="447"/>
      <c r="K134" s="448"/>
      <c r="L134" s="448"/>
      <c r="M134" s="448"/>
      <c r="N134" s="448"/>
      <c r="O134" s="448"/>
      <c r="P134" s="448"/>
      <c r="R134" s="447" t="s">
        <v>167</v>
      </c>
      <c r="S134" s="448"/>
      <c r="T134" s="448"/>
      <c r="U134" s="448"/>
      <c r="V134" s="448"/>
      <c r="W134" s="448"/>
      <c r="X134" s="448"/>
      <c r="Y134" s="448"/>
      <c r="Z134" s="449"/>
    </row>
    <row r="135" spans="1:27" x14ac:dyDescent="0.2">
      <c r="A135" s="313">
        <v>4</v>
      </c>
      <c r="B135" s="493" t="s">
        <v>168</v>
      </c>
      <c r="C135" s="494"/>
      <c r="D135" s="494"/>
      <c r="E135" s="494"/>
      <c r="F135" s="494"/>
      <c r="G135" s="495"/>
      <c r="H135" s="37"/>
      <c r="I135" s="297" t="s">
        <v>75</v>
      </c>
      <c r="J135" s="313"/>
      <c r="K135" s="493"/>
      <c r="L135" s="494"/>
      <c r="M135" s="494"/>
      <c r="N135" s="494"/>
      <c r="O135" s="494"/>
      <c r="P135" s="495"/>
      <c r="R135" s="313">
        <v>4</v>
      </c>
      <c r="S135" s="493" t="s">
        <v>168</v>
      </c>
      <c r="T135" s="494"/>
      <c r="U135" s="494"/>
      <c r="V135" s="494"/>
      <c r="W135" s="494"/>
      <c r="X135" s="495"/>
      <c r="Y135" s="37"/>
      <c r="Z135" s="297" t="s">
        <v>75</v>
      </c>
    </row>
    <row r="136" spans="1:27" x14ac:dyDescent="0.2">
      <c r="A136" s="296" t="s">
        <v>152</v>
      </c>
      <c r="B136" s="490" t="s">
        <v>169</v>
      </c>
      <c r="C136" s="491"/>
      <c r="D136" s="491"/>
      <c r="E136" s="491"/>
      <c r="F136" s="491"/>
      <c r="G136" s="492"/>
      <c r="H136" s="20"/>
      <c r="I136" s="82">
        <f>I128</f>
        <v>52.292412863999999</v>
      </c>
      <c r="J136" s="296"/>
      <c r="K136" s="490"/>
      <c r="L136" s="491"/>
      <c r="M136" s="491"/>
      <c r="N136" s="491"/>
      <c r="O136" s="491"/>
      <c r="P136" s="492"/>
      <c r="R136" s="296" t="s">
        <v>152</v>
      </c>
      <c r="S136" s="490" t="s">
        <v>169</v>
      </c>
      <c r="T136" s="491"/>
      <c r="U136" s="491"/>
      <c r="V136" s="491"/>
      <c r="W136" s="491"/>
      <c r="X136" s="492"/>
      <c r="Y136" s="20"/>
      <c r="Z136" s="82">
        <f>Z128</f>
        <v>61.007815008000009</v>
      </c>
    </row>
    <row r="137" spans="1:27" x14ac:dyDescent="0.2">
      <c r="A137" s="296" t="s">
        <v>163</v>
      </c>
      <c r="B137" s="490" t="s">
        <v>170</v>
      </c>
      <c r="C137" s="491"/>
      <c r="D137" s="491"/>
      <c r="E137" s="491"/>
      <c r="F137" s="491"/>
      <c r="G137" s="492"/>
      <c r="H137" s="20"/>
      <c r="I137" s="82">
        <f>I132</f>
        <v>0</v>
      </c>
      <c r="J137" s="296"/>
      <c r="K137" s="490"/>
      <c r="L137" s="491"/>
      <c r="M137" s="491"/>
      <c r="N137" s="491"/>
      <c r="O137" s="491"/>
      <c r="P137" s="492"/>
      <c r="R137" s="296" t="s">
        <v>163</v>
      </c>
      <c r="S137" s="490" t="s">
        <v>170</v>
      </c>
      <c r="T137" s="491"/>
      <c r="U137" s="491"/>
      <c r="V137" s="491"/>
      <c r="W137" s="491"/>
      <c r="X137" s="492"/>
      <c r="Y137" s="20"/>
      <c r="Z137" s="82">
        <f>Z132</f>
        <v>0</v>
      </c>
    </row>
    <row r="138" spans="1:27" x14ac:dyDescent="0.2">
      <c r="A138" s="463" t="s">
        <v>171</v>
      </c>
      <c r="B138" s="478"/>
      <c r="C138" s="478"/>
      <c r="D138" s="478"/>
      <c r="E138" s="478"/>
      <c r="F138" s="478"/>
      <c r="G138" s="478"/>
      <c r="H138" s="478"/>
      <c r="I138" s="320">
        <f>SUM(I136:I137)</f>
        <v>52.292412863999999</v>
      </c>
      <c r="J138" s="463"/>
      <c r="K138" s="478"/>
      <c r="L138" s="478"/>
      <c r="M138" s="478"/>
      <c r="N138" s="478"/>
      <c r="O138" s="478"/>
      <c r="P138" s="478"/>
      <c r="R138" s="463" t="s">
        <v>171</v>
      </c>
      <c r="S138" s="478"/>
      <c r="T138" s="478"/>
      <c r="U138" s="478"/>
      <c r="V138" s="478"/>
      <c r="W138" s="478"/>
      <c r="X138" s="478"/>
      <c r="Y138" s="478"/>
      <c r="Z138" s="320">
        <f>SUM(Z136:Z137)</f>
        <v>61.007815008000009</v>
      </c>
    </row>
    <row r="139" spans="1:27" x14ac:dyDescent="0.2">
      <c r="A139" s="479"/>
      <c r="B139" s="480"/>
      <c r="C139" s="480"/>
      <c r="D139" s="480"/>
      <c r="E139" s="480"/>
      <c r="F139" s="480"/>
      <c r="G139" s="480"/>
      <c r="H139" s="480"/>
      <c r="I139" s="481"/>
      <c r="J139" s="479"/>
      <c r="K139" s="480"/>
      <c r="L139" s="480"/>
      <c r="M139" s="480"/>
      <c r="N139" s="480"/>
      <c r="O139" s="480"/>
      <c r="P139" s="480"/>
      <c r="R139" s="479"/>
      <c r="S139" s="480"/>
      <c r="T139" s="480"/>
      <c r="U139" s="480"/>
      <c r="V139" s="480"/>
      <c r="W139" s="480"/>
      <c r="X139" s="480"/>
      <c r="Y139" s="480"/>
      <c r="Z139" s="481"/>
    </row>
    <row r="140" spans="1:27" x14ac:dyDescent="0.2">
      <c r="A140" s="460" t="s">
        <v>172</v>
      </c>
      <c r="B140" s="461"/>
      <c r="C140" s="461"/>
      <c r="D140" s="461"/>
      <c r="E140" s="461"/>
      <c r="F140" s="461"/>
      <c r="G140" s="461"/>
      <c r="H140" s="461"/>
      <c r="I140" s="462"/>
      <c r="J140" s="460"/>
      <c r="K140" s="461"/>
      <c r="L140" s="461"/>
      <c r="M140" s="461"/>
      <c r="N140" s="461"/>
      <c r="O140" s="461"/>
      <c r="P140" s="461"/>
      <c r="R140" s="460" t="s">
        <v>172</v>
      </c>
      <c r="S140" s="461"/>
      <c r="T140" s="461"/>
      <c r="U140" s="461"/>
      <c r="V140" s="461"/>
      <c r="W140" s="461"/>
      <c r="X140" s="461"/>
      <c r="Y140" s="461"/>
      <c r="Z140" s="462"/>
    </row>
    <row r="141" spans="1:27" x14ac:dyDescent="0.2">
      <c r="A141" s="296">
        <v>5</v>
      </c>
      <c r="B141" s="457" t="s">
        <v>173</v>
      </c>
      <c r="C141" s="457"/>
      <c r="D141" s="457"/>
      <c r="E141" s="457"/>
      <c r="F141" s="457"/>
      <c r="G141" s="457"/>
      <c r="H141" s="8"/>
      <c r="I141" s="297" t="s">
        <v>75</v>
      </c>
      <c r="J141" s="296"/>
      <c r="K141" s="457"/>
      <c r="L141" s="457"/>
      <c r="M141" s="457"/>
      <c r="N141" s="457"/>
      <c r="O141" s="457"/>
      <c r="P141" s="457"/>
      <c r="R141" s="296">
        <v>5</v>
      </c>
      <c r="S141" s="457" t="s">
        <v>173</v>
      </c>
      <c r="T141" s="457"/>
      <c r="U141" s="457"/>
      <c r="V141" s="457"/>
      <c r="W141" s="457"/>
      <c r="X141" s="457"/>
      <c r="Y141" s="8"/>
      <c r="Z141" s="297" t="s">
        <v>75</v>
      </c>
    </row>
    <row r="142" spans="1:27" x14ac:dyDescent="0.2">
      <c r="A142" s="296" t="s">
        <v>38</v>
      </c>
      <c r="B142" s="475" t="s">
        <v>174</v>
      </c>
      <c r="C142" s="475"/>
      <c r="D142" s="475"/>
      <c r="E142" s="475"/>
      <c r="F142" s="475"/>
      <c r="G142" s="475"/>
      <c r="H142" s="21" t="s">
        <v>120</v>
      </c>
      <c r="I142" s="82">
        <f>'Uniform&amp;EPIs '!K24</f>
        <v>245.35416666666666</v>
      </c>
      <c r="J142" s="296"/>
      <c r="K142" s="475"/>
      <c r="L142" s="475"/>
      <c r="M142" s="475"/>
      <c r="N142" s="475"/>
      <c r="O142" s="475"/>
      <c r="P142" s="475"/>
      <c r="R142" s="296" t="s">
        <v>38</v>
      </c>
      <c r="S142" s="475" t="s">
        <v>174</v>
      </c>
      <c r="T142" s="475"/>
      <c r="U142" s="475"/>
      <c r="V142" s="475"/>
      <c r="W142" s="475"/>
      <c r="X142" s="475"/>
      <c r="Y142" s="21" t="s">
        <v>120</v>
      </c>
      <c r="Z142" s="82">
        <f>I142</f>
        <v>245.35416666666666</v>
      </c>
      <c r="AA142" s="185"/>
    </row>
    <row r="143" spans="1:27" x14ac:dyDescent="0.2">
      <c r="A143" s="296" t="s">
        <v>40</v>
      </c>
      <c r="B143" s="475" t="s">
        <v>175</v>
      </c>
      <c r="C143" s="475"/>
      <c r="D143" s="475"/>
      <c r="E143" s="475"/>
      <c r="F143" s="475"/>
      <c r="G143" s="475"/>
      <c r="H143" s="21" t="s">
        <v>120</v>
      </c>
      <c r="I143" s="82">
        <f>Materiais!K58</f>
        <v>1506.0896579259258</v>
      </c>
      <c r="J143" s="296"/>
      <c r="K143" s="475"/>
      <c r="L143" s="475"/>
      <c r="M143" s="475"/>
      <c r="N143" s="475"/>
      <c r="O143" s="475"/>
      <c r="P143" s="475"/>
      <c r="R143" s="296" t="s">
        <v>40</v>
      </c>
      <c r="S143" s="475" t="s">
        <v>175</v>
      </c>
      <c r="T143" s="475"/>
      <c r="U143" s="475"/>
      <c r="V143" s="475"/>
      <c r="W143" s="475"/>
      <c r="X143" s="475"/>
      <c r="Y143" s="21" t="s">
        <v>120</v>
      </c>
      <c r="Z143" s="82">
        <f t="shared" ref="Z143:Z145" si="5">I143</f>
        <v>1506.0896579259258</v>
      </c>
    </row>
    <row r="144" spans="1:27" ht="14.1" customHeight="1" x14ac:dyDescent="0.2">
      <c r="A144" s="322" t="s">
        <v>43</v>
      </c>
      <c r="B144" s="475" t="s">
        <v>176</v>
      </c>
      <c r="C144" s="475"/>
      <c r="D144" s="475"/>
      <c r="E144" s="475"/>
      <c r="F144" s="475"/>
      <c r="G144" s="475"/>
      <c r="H144" s="21" t="s">
        <v>120</v>
      </c>
      <c r="I144" s="82">
        <f>'Equipamentos e Laudo'!K37</f>
        <v>76.115851851851843</v>
      </c>
      <c r="J144" s="322"/>
      <c r="K144" s="475"/>
      <c r="L144" s="475"/>
      <c r="M144" s="475"/>
      <c r="N144" s="475"/>
      <c r="O144" s="475"/>
      <c r="P144" s="475"/>
      <c r="R144" s="322" t="s">
        <v>43</v>
      </c>
      <c r="S144" s="475" t="s">
        <v>176</v>
      </c>
      <c r="T144" s="475"/>
      <c r="U144" s="475"/>
      <c r="V144" s="475"/>
      <c r="W144" s="475"/>
      <c r="X144" s="475"/>
      <c r="Y144" s="21" t="s">
        <v>120</v>
      </c>
      <c r="Z144" s="82">
        <f t="shared" si="5"/>
        <v>76.115851851851843</v>
      </c>
    </row>
    <row r="145" spans="1:26" s="41" customFormat="1" ht="24.95" customHeight="1" x14ac:dyDescent="0.2">
      <c r="A145" s="427" t="s">
        <v>46</v>
      </c>
      <c r="B145" s="496" t="s">
        <v>177</v>
      </c>
      <c r="C145" s="496"/>
      <c r="D145" s="496"/>
      <c r="E145" s="496"/>
      <c r="F145" s="496"/>
      <c r="G145" s="496"/>
      <c r="H145" s="28" t="s">
        <v>120</v>
      </c>
      <c r="I145" s="83">
        <f>'Equipamentos e Laudo'!K44</f>
        <v>7.708333333333333</v>
      </c>
      <c r="J145" s="427"/>
      <c r="K145" s="497"/>
      <c r="L145" s="497"/>
      <c r="M145" s="497"/>
      <c r="N145" s="497"/>
      <c r="O145" s="497"/>
      <c r="P145" s="497"/>
      <c r="R145" s="427" t="s">
        <v>46</v>
      </c>
      <c r="S145" s="497" t="s">
        <v>177</v>
      </c>
      <c r="T145" s="497"/>
      <c r="U145" s="497"/>
      <c r="V145" s="497"/>
      <c r="W145" s="497"/>
      <c r="X145" s="497"/>
      <c r="Y145" s="28" t="s">
        <v>120</v>
      </c>
      <c r="Z145" s="83">
        <f t="shared" si="5"/>
        <v>7.708333333333333</v>
      </c>
    </row>
    <row r="146" spans="1:26" x14ac:dyDescent="0.2">
      <c r="A146" s="463" t="s">
        <v>178</v>
      </c>
      <c r="B146" s="478"/>
      <c r="C146" s="478"/>
      <c r="D146" s="478"/>
      <c r="E146" s="478"/>
      <c r="F146" s="478"/>
      <c r="G146" s="478"/>
      <c r="H146" s="33" t="s">
        <v>120</v>
      </c>
      <c r="I146" s="320">
        <f>SUM(I142:I145)</f>
        <v>1835.2680097777777</v>
      </c>
      <c r="J146" s="463"/>
      <c r="K146" s="478"/>
      <c r="L146" s="478"/>
      <c r="M146" s="478"/>
      <c r="N146" s="478"/>
      <c r="O146" s="478"/>
      <c r="P146" s="478"/>
      <c r="R146" s="463" t="s">
        <v>178</v>
      </c>
      <c r="S146" s="478"/>
      <c r="T146" s="478"/>
      <c r="U146" s="478"/>
      <c r="V146" s="478"/>
      <c r="W146" s="478"/>
      <c r="X146" s="478"/>
      <c r="Y146" s="33" t="s">
        <v>120</v>
      </c>
      <c r="Z146" s="320">
        <f>SUM(Z142:Z145)</f>
        <v>1835.2680097777777</v>
      </c>
    </row>
    <row r="147" spans="1:26" x14ac:dyDescent="0.2">
      <c r="A147" s="323"/>
      <c r="B147" s="43"/>
      <c r="C147" s="43"/>
      <c r="D147" s="43"/>
      <c r="E147" s="43"/>
      <c r="F147" s="43"/>
      <c r="G147" s="43"/>
      <c r="H147" s="43"/>
      <c r="I147" s="324"/>
      <c r="J147" s="323"/>
      <c r="K147" s="43"/>
      <c r="L147" s="43"/>
      <c r="M147" s="43"/>
      <c r="N147" s="43"/>
      <c r="O147" s="43"/>
      <c r="P147" s="43"/>
      <c r="R147" s="323"/>
      <c r="S147" s="43"/>
      <c r="T147" s="43"/>
      <c r="U147" s="43"/>
      <c r="V147" s="43"/>
      <c r="W147" s="43"/>
      <c r="X147" s="43"/>
      <c r="Y147" s="43"/>
      <c r="Z147" s="324"/>
    </row>
    <row r="148" spans="1:26" x14ac:dyDescent="0.2">
      <c r="A148" s="300" t="s">
        <v>179</v>
      </c>
      <c r="B148" s="3"/>
      <c r="C148" s="3"/>
      <c r="D148" s="3"/>
      <c r="E148" s="3"/>
      <c r="F148" s="3"/>
      <c r="G148" s="3"/>
      <c r="H148" s="3"/>
      <c r="I148" s="321"/>
      <c r="J148" s="300"/>
      <c r="K148" s="3"/>
      <c r="L148" s="3"/>
      <c r="M148" s="3"/>
      <c r="N148" s="3"/>
      <c r="O148" s="3"/>
      <c r="P148" s="3"/>
      <c r="R148" s="300" t="s">
        <v>179</v>
      </c>
      <c r="S148" s="3"/>
      <c r="T148" s="3"/>
      <c r="U148" s="3"/>
      <c r="V148" s="3"/>
      <c r="W148" s="3"/>
      <c r="X148" s="3"/>
      <c r="Y148" s="3"/>
      <c r="Z148" s="321"/>
    </row>
    <row r="149" spans="1:26" x14ac:dyDescent="0.2">
      <c r="A149" s="325"/>
      <c r="B149" s="3"/>
      <c r="C149" s="3"/>
      <c r="D149" s="3"/>
      <c r="E149" s="3"/>
      <c r="F149" s="3"/>
      <c r="G149" s="3"/>
      <c r="H149" s="3"/>
      <c r="I149" s="321"/>
      <c r="J149" s="325"/>
      <c r="K149" s="3"/>
      <c r="L149" s="3"/>
      <c r="M149" s="3"/>
      <c r="N149" s="3"/>
      <c r="O149" s="3"/>
      <c r="P149" s="3"/>
      <c r="R149" s="325"/>
      <c r="S149" s="3"/>
      <c r="T149" s="3"/>
      <c r="U149" s="3"/>
      <c r="V149" s="3"/>
      <c r="W149" s="3"/>
      <c r="X149" s="3"/>
      <c r="Y149" s="3"/>
      <c r="Z149" s="321"/>
    </row>
    <row r="150" spans="1:26" x14ac:dyDescent="0.2">
      <c r="A150" s="460" t="s">
        <v>180</v>
      </c>
      <c r="B150" s="461"/>
      <c r="C150" s="461"/>
      <c r="D150" s="461"/>
      <c r="E150" s="461"/>
      <c r="F150" s="461"/>
      <c r="G150" s="461"/>
      <c r="H150" s="461"/>
      <c r="I150" s="462"/>
      <c r="J150" s="460"/>
      <c r="K150" s="461"/>
      <c r="L150" s="461"/>
      <c r="M150" s="461"/>
      <c r="N150" s="461"/>
      <c r="O150" s="461"/>
      <c r="P150" s="461"/>
      <c r="R150" s="460" t="s">
        <v>180</v>
      </c>
      <c r="S150" s="461"/>
      <c r="T150" s="461"/>
      <c r="U150" s="461"/>
      <c r="V150" s="461"/>
      <c r="W150" s="461"/>
      <c r="X150" s="461"/>
      <c r="Y150" s="461"/>
      <c r="Z150" s="462"/>
    </row>
    <row r="151" spans="1:26" x14ac:dyDescent="0.2">
      <c r="A151" s="296">
        <v>6</v>
      </c>
      <c r="B151" s="457" t="s">
        <v>181</v>
      </c>
      <c r="C151" s="457"/>
      <c r="D151" s="457"/>
      <c r="E151" s="457"/>
      <c r="F151" s="457"/>
      <c r="G151" s="457"/>
      <c r="H151" s="8" t="s">
        <v>74</v>
      </c>
      <c r="I151" s="297" t="s">
        <v>75</v>
      </c>
      <c r="J151" s="296"/>
      <c r="K151" s="457"/>
      <c r="L151" s="457"/>
      <c r="M151" s="457"/>
      <c r="N151" s="457"/>
      <c r="O151" s="457"/>
      <c r="P151" s="457"/>
      <c r="R151" s="296">
        <v>6</v>
      </c>
      <c r="S151" s="457" t="s">
        <v>181</v>
      </c>
      <c r="T151" s="457"/>
      <c r="U151" s="457"/>
      <c r="V151" s="457"/>
      <c r="W151" s="457"/>
      <c r="X151" s="457"/>
      <c r="Y151" s="8" t="s">
        <v>74</v>
      </c>
      <c r="Z151" s="297" t="s">
        <v>75</v>
      </c>
    </row>
    <row r="152" spans="1:26" x14ac:dyDescent="0.2">
      <c r="A152" s="296" t="s">
        <v>38</v>
      </c>
      <c r="B152" s="445" t="s">
        <v>182</v>
      </c>
      <c r="C152" s="445"/>
      <c r="D152" s="445"/>
      <c r="E152" s="445"/>
      <c r="F152" s="445"/>
      <c r="G152" s="445"/>
      <c r="H152" s="24">
        <v>0.05</v>
      </c>
      <c r="I152" s="326">
        <f>H152*I170</f>
        <v>289.7974959013689</v>
      </c>
      <c r="J152" s="296"/>
      <c r="K152" s="445"/>
      <c r="L152" s="445"/>
      <c r="M152" s="445"/>
      <c r="N152" s="445"/>
      <c r="O152" s="445"/>
      <c r="P152" s="445"/>
      <c r="Q152" s="25"/>
      <c r="R152" s="296" t="s">
        <v>38</v>
      </c>
      <c r="S152" s="445" t="s">
        <v>182</v>
      </c>
      <c r="T152" s="445"/>
      <c r="U152" s="445"/>
      <c r="V152" s="445"/>
      <c r="W152" s="445"/>
      <c r="X152" s="445"/>
      <c r="Y152" s="24">
        <v>0.05</v>
      </c>
      <c r="Z152" s="326">
        <f>Y152*Z170</f>
        <v>316.93810680344893</v>
      </c>
    </row>
    <row r="153" spans="1:26" x14ac:dyDescent="0.2">
      <c r="A153" s="296" t="s">
        <v>40</v>
      </c>
      <c r="B153" s="445" t="s">
        <v>183</v>
      </c>
      <c r="C153" s="445"/>
      <c r="D153" s="445"/>
      <c r="E153" s="445"/>
      <c r="F153" s="445"/>
      <c r="G153" s="445"/>
      <c r="H153" s="24">
        <v>0.1</v>
      </c>
      <c r="I153" s="326">
        <f>H153*(I152+I170)</f>
        <v>608.57474139287467</v>
      </c>
      <c r="J153" s="296"/>
      <c r="K153" s="445"/>
      <c r="L153" s="445"/>
      <c r="M153" s="445"/>
      <c r="N153" s="445"/>
      <c r="O153" s="445"/>
      <c r="P153" s="445"/>
      <c r="Q153" s="25"/>
      <c r="R153" s="296" t="s">
        <v>40</v>
      </c>
      <c r="S153" s="445" t="s">
        <v>183</v>
      </c>
      <c r="T153" s="445"/>
      <c r="U153" s="445"/>
      <c r="V153" s="445"/>
      <c r="W153" s="445"/>
      <c r="X153" s="445"/>
      <c r="Y153" s="24">
        <v>0.1</v>
      </c>
      <c r="Z153" s="326">
        <f>Y153*(Z152+Z170)</f>
        <v>665.57002428724275</v>
      </c>
    </row>
    <row r="154" spans="1:26" x14ac:dyDescent="0.2">
      <c r="A154" s="296" t="s">
        <v>43</v>
      </c>
      <c r="B154" s="498" t="s">
        <v>184</v>
      </c>
      <c r="C154" s="498"/>
      <c r="D154" s="498"/>
      <c r="E154" s="498"/>
      <c r="F154" s="498"/>
      <c r="G154" s="498"/>
      <c r="H154" s="2"/>
      <c r="I154" s="327"/>
      <c r="J154" s="296"/>
      <c r="K154" s="498"/>
      <c r="L154" s="498"/>
      <c r="M154" s="498"/>
      <c r="N154" s="498"/>
      <c r="O154" s="498"/>
      <c r="P154" s="498"/>
      <c r="R154" s="296" t="s">
        <v>43</v>
      </c>
      <c r="S154" s="498" t="s">
        <v>184</v>
      </c>
      <c r="T154" s="498"/>
      <c r="U154" s="498"/>
      <c r="V154" s="498"/>
      <c r="W154" s="498"/>
      <c r="X154" s="498"/>
      <c r="Y154" s="2"/>
      <c r="Z154" s="327"/>
    </row>
    <row r="155" spans="1:26" x14ac:dyDescent="0.2">
      <c r="A155" s="296" t="s">
        <v>185</v>
      </c>
      <c r="B155" s="445" t="s">
        <v>186</v>
      </c>
      <c r="C155" s="445"/>
      <c r="D155" s="445"/>
      <c r="E155" s="445"/>
      <c r="F155" s="445"/>
      <c r="G155" s="445"/>
      <c r="H155" s="6">
        <v>1.6500000000000001E-2</v>
      </c>
      <c r="I155" s="326">
        <f>H155*$I$172</f>
        <v>128.81202981085337</v>
      </c>
      <c r="J155" s="296"/>
      <c r="K155" s="445"/>
      <c r="L155" s="445"/>
      <c r="M155" s="445"/>
      <c r="N155" s="445"/>
      <c r="O155" s="445"/>
      <c r="P155" s="445"/>
      <c r="Q155" s="25"/>
      <c r="R155" s="296" t="s">
        <v>185</v>
      </c>
      <c r="S155" s="445" t="s">
        <v>186</v>
      </c>
      <c r="T155" s="445"/>
      <c r="U155" s="445"/>
      <c r="V155" s="445"/>
      <c r="W155" s="445"/>
      <c r="X155" s="445"/>
      <c r="Y155" s="6">
        <v>1.6500000000000001E-2</v>
      </c>
      <c r="Z155" s="326">
        <f>Y155*$Z$172</f>
        <v>140.87575441181872</v>
      </c>
    </row>
    <row r="156" spans="1:26" x14ac:dyDescent="0.2">
      <c r="A156" s="296" t="s">
        <v>187</v>
      </c>
      <c r="B156" s="445" t="s">
        <v>188</v>
      </c>
      <c r="C156" s="445"/>
      <c r="D156" s="445"/>
      <c r="E156" s="445"/>
      <c r="F156" s="445"/>
      <c r="G156" s="445"/>
      <c r="H156" s="6">
        <v>7.5999999999999998E-2</v>
      </c>
      <c r="I156" s="326">
        <f t="shared" ref="I156:I157" si="6">H156*$I$172</f>
        <v>593.31601609847621</v>
      </c>
      <c r="J156" s="296"/>
      <c r="K156" s="445"/>
      <c r="L156" s="445"/>
      <c r="M156" s="445"/>
      <c r="N156" s="445"/>
      <c r="O156" s="445"/>
      <c r="P156" s="445"/>
      <c r="Q156" s="25"/>
      <c r="R156" s="296" t="s">
        <v>187</v>
      </c>
      <c r="S156" s="445" t="s">
        <v>188</v>
      </c>
      <c r="T156" s="445"/>
      <c r="U156" s="445"/>
      <c r="V156" s="445"/>
      <c r="W156" s="445"/>
      <c r="X156" s="445"/>
      <c r="Y156" s="6">
        <v>7.5999999999999998E-2</v>
      </c>
      <c r="Z156" s="326">
        <f t="shared" ref="Z156:Z157" si="7">Y156*$Z$172</f>
        <v>648.88226274534679</v>
      </c>
    </row>
    <row r="157" spans="1:26" x14ac:dyDescent="0.2">
      <c r="A157" s="296" t="s">
        <v>189</v>
      </c>
      <c r="B157" s="445" t="s">
        <v>190</v>
      </c>
      <c r="C157" s="445"/>
      <c r="D157" s="445"/>
      <c r="E157" s="445"/>
      <c r="F157" s="445"/>
      <c r="G157" s="445"/>
      <c r="H157" s="6">
        <v>0.05</v>
      </c>
      <c r="I157" s="326">
        <f t="shared" si="6"/>
        <v>390.33948427531328</v>
      </c>
      <c r="J157" s="296"/>
      <c r="K157" s="445"/>
      <c r="L157" s="445"/>
      <c r="M157" s="445"/>
      <c r="N157" s="445"/>
      <c r="O157" s="445"/>
      <c r="P157" s="445"/>
      <c r="Q157" s="25"/>
      <c r="R157" s="296" t="s">
        <v>189</v>
      </c>
      <c r="S157" s="445" t="s">
        <v>190</v>
      </c>
      <c r="T157" s="445"/>
      <c r="U157" s="445"/>
      <c r="V157" s="445"/>
      <c r="W157" s="445"/>
      <c r="X157" s="445"/>
      <c r="Y157" s="6">
        <v>0.05</v>
      </c>
      <c r="Z157" s="326">
        <f t="shared" si="7"/>
        <v>426.89622549035977</v>
      </c>
    </row>
    <row r="158" spans="1:26" x14ac:dyDescent="0.2">
      <c r="A158" s="463" t="s">
        <v>191</v>
      </c>
      <c r="B158" s="478"/>
      <c r="C158" s="478"/>
      <c r="D158" s="478"/>
      <c r="E158" s="478"/>
      <c r="F158" s="478"/>
      <c r="G158" s="478"/>
      <c r="H158" s="44">
        <f>SUM(H152:H157)</f>
        <v>0.29250000000000004</v>
      </c>
      <c r="I158" s="320">
        <f>SUM(I152:I157)</f>
        <v>2010.8397674788864</v>
      </c>
      <c r="J158" s="463"/>
      <c r="K158" s="478"/>
      <c r="L158" s="478"/>
      <c r="M158" s="478"/>
      <c r="N158" s="478"/>
      <c r="O158" s="478"/>
      <c r="P158" s="478"/>
      <c r="R158" s="463" t="s">
        <v>191</v>
      </c>
      <c r="S158" s="478"/>
      <c r="T158" s="478"/>
      <c r="U158" s="478"/>
      <c r="V158" s="478"/>
      <c r="W158" s="478"/>
      <c r="X158" s="478"/>
      <c r="Y158" s="44">
        <f>SUM(Y152:Y157)</f>
        <v>0.29250000000000004</v>
      </c>
      <c r="Z158" s="320">
        <f>SUM(Z152:Z157)</f>
        <v>2199.162373738217</v>
      </c>
    </row>
    <row r="159" spans="1:26" x14ac:dyDescent="0.2">
      <c r="A159" s="287"/>
      <c r="B159" s="238"/>
      <c r="C159" s="238"/>
      <c r="D159" s="238"/>
      <c r="E159" s="238"/>
      <c r="F159" s="238"/>
      <c r="G159" s="238"/>
      <c r="H159" s="238"/>
      <c r="I159" s="328"/>
      <c r="J159" s="287"/>
      <c r="K159" s="238"/>
      <c r="L159" s="238"/>
      <c r="M159" s="238"/>
      <c r="N159" s="238"/>
      <c r="O159" s="238"/>
      <c r="P159" s="238"/>
      <c r="R159" s="287"/>
      <c r="S159" s="238"/>
      <c r="T159" s="238"/>
      <c r="U159" s="238"/>
      <c r="V159" s="238"/>
      <c r="W159" s="238"/>
      <c r="X159" s="238"/>
      <c r="Y159" s="238"/>
      <c r="Z159" s="328"/>
    </row>
    <row r="160" spans="1:26" x14ac:dyDescent="0.2">
      <c r="A160" s="300" t="s">
        <v>192</v>
      </c>
      <c r="B160" s="238"/>
      <c r="C160" s="238"/>
      <c r="D160" s="238"/>
      <c r="E160" s="238"/>
      <c r="F160" s="238"/>
      <c r="G160" s="238"/>
      <c r="H160" s="238"/>
      <c r="I160" s="328"/>
      <c r="J160" s="300"/>
      <c r="K160" s="238"/>
      <c r="L160" s="238"/>
      <c r="M160" s="238"/>
      <c r="N160" s="238"/>
      <c r="O160" s="238"/>
      <c r="P160" s="238"/>
      <c r="R160" s="300" t="s">
        <v>192</v>
      </c>
      <c r="S160" s="238"/>
      <c r="T160" s="238"/>
      <c r="U160" s="238"/>
      <c r="V160" s="238"/>
      <c r="W160" s="238"/>
      <c r="X160" s="238"/>
      <c r="Y160" s="238"/>
      <c r="Z160" s="328"/>
    </row>
    <row r="161" spans="1:26" x14ac:dyDescent="0.2">
      <c r="A161" s="300" t="s">
        <v>193</v>
      </c>
      <c r="B161" s="238"/>
      <c r="C161" s="238"/>
      <c r="D161" s="238"/>
      <c r="E161" s="238"/>
      <c r="F161" s="238"/>
      <c r="G161" s="238"/>
      <c r="H161" s="238"/>
      <c r="I161" s="328"/>
      <c r="J161" s="300"/>
      <c r="K161" s="238"/>
      <c r="L161" s="238"/>
      <c r="M161" s="238"/>
      <c r="N161" s="238"/>
      <c r="O161" s="238"/>
      <c r="P161" s="238"/>
      <c r="R161" s="300" t="s">
        <v>193</v>
      </c>
      <c r="S161" s="238"/>
      <c r="T161" s="238"/>
      <c r="U161" s="238"/>
      <c r="V161" s="238"/>
      <c r="W161" s="238"/>
      <c r="X161" s="238"/>
      <c r="Y161" s="238"/>
      <c r="Z161" s="328"/>
    </row>
    <row r="162" spans="1:26" x14ac:dyDescent="0.2">
      <c r="A162" s="287"/>
      <c r="B162" s="233"/>
      <c r="C162" s="233"/>
      <c r="D162" s="233"/>
      <c r="E162" s="233"/>
      <c r="F162" s="233"/>
      <c r="G162" s="233"/>
      <c r="H162" s="233"/>
      <c r="I162" s="61"/>
      <c r="J162" s="287"/>
      <c r="K162" s="233"/>
      <c r="L162" s="233"/>
      <c r="M162" s="233"/>
      <c r="N162" s="233"/>
      <c r="O162" s="233"/>
      <c r="P162" s="233"/>
      <c r="R162" s="287"/>
      <c r="S162" s="233"/>
      <c r="T162" s="233"/>
      <c r="U162" s="233"/>
      <c r="V162" s="233"/>
      <c r="W162" s="233"/>
      <c r="X162" s="233"/>
      <c r="Y162" s="233"/>
      <c r="Z162" s="61"/>
    </row>
    <row r="163" spans="1:26" x14ac:dyDescent="0.2">
      <c r="A163" s="447" t="s">
        <v>194</v>
      </c>
      <c r="B163" s="448"/>
      <c r="C163" s="448"/>
      <c r="D163" s="448"/>
      <c r="E163" s="448"/>
      <c r="F163" s="448"/>
      <c r="G163" s="448"/>
      <c r="H163" s="448"/>
      <c r="I163" s="449"/>
      <c r="J163" s="447"/>
      <c r="K163" s="448"/>
      <c r="L163" s="448"/>
      <c r="M163" s="448"/>
      <c r="N163" s="448"/>
      <c r="O163" s="448"/>
      <c r="P163" s="448"/>
      <c r="R163" s="447" t="s">
        <v>194</v>
      </c>
      <c r="S163" s="448"/>
      <c r="T163" s="448"/>
      <c r="U163" s="448"/>
      <c r="V163" s="448"/>
      <c r="W163" s="448"/>
      <c r="X163" s="448"/>
      <c r="Y163" s="448"/>
      <c r="Z163" s="449"/>
    </row>
    <row r="164" spans="1:26" x14ac:dyDescent="0.2">
      <c r="A164" s="456" t="s">
        <v>195</v>
      </c>
      <c r="B164" s="457"/>
      <c r="C164" s="457"/>
      <c r="D164" s="457"/>
      <c r="E164" s="457"/>
      <c r="F164" s="457"/>
      <c r="G164" s="457"/>
      <c r="H164" s="457"/>
      <c r="I164" s="297" t="s">
        <v>75</v>
      </c>
      <c r="J164" s="456"/>
      <c r="K164" s="457"/>
      <c r="L164" s="457"/>
      <c r="M164" s="457"/>
      <c r="N164" s="457"/>
      <c r="O164" s="457"/>
      <c r="P164" s="457"/>
      <c r="R164" s="456" t="s">
        <v>195</v>
      </c>
      <c r="S164" s="457"/>
      <c r="T164" s="457"/>
      <c r="U164" s="457"/>
      <c r="V164" s="457"/>
      <c r="W164" s="457"/>
      <c r="X164" s="457"/>
      <c r="Y164" s="457"/>
      <c r="Z164" s="297" t="s">
        <v>75</v>
      </c>
    </row>
    <row r="165" spans="1:26" x14ac:dyDescent="0.2">
      <c r="A165" s="292" t="s">
        <v>38</v>
      </c>
      <c r="B165" s="446" t="str">
        <f>A37</f>
        <v>MÓDULO 1 - COMPOSIÇÃO DA REMUNERAÇÃO</v>
      </c>
      <c r="C165" s="446"/>
      <c r="D165" s="446"/>
      <c r="E165" s="446"/>
      <c r="F165" s="446"/>
      <c r="G165" s="446"/>
      <c r="H165" s="446"/>
      <c r="I165" s="326">
        <f>I45</f>
        <v>1864.6560000000002</v>
      </c>
      <c r="J165" s="292"/>
      <c r="K165" s="446"/>
      <c r="L165" s="446"/>
      <c r="M165" s="446"/>
      <c r="N165" s="446"/>
      <c r="O165" s="446"/>
      <c r="P165" s="446"/>
      <c r="R165" s="292" t="s">
        <v>38</v>
      </c>
      <c r="S165" s="446" t="str">
        <f>R37</f>
        <v>MÓDULO 1 - COMPOSIÇÃO DA REMUNERAÇÃO</v>
      </c>
      <c r="T165" s="446"/>
      <c r="U165" s="446"/>
      <c r="V165" s="446"/>
      <c r="W165" s="446"/>
      <c r="X165" s="446"/>
      <c r="Y165" s="446"/>
      <c r="Z165" s="326">
        <f>Z45</f>
        <v>2175.4320000000002</v>
      </c>
    </row>
    <row r="166" spans="1:26" x14ac:dyDescent="0.2">
      <c r="A166" s="292" t="s">
        <v>40</v>
      </c>
      <c r="B166" s="446" t="str">
        <f>A50</f>
        <v>MÓDULO 2 – ENCARGOS E BENEFÍCIOS ANUAIS, MENSAIS E DIÁRIOS</v>
      </c>
      <c r="C166" s="446"/>
      <c r="D166" s="446"/>
      <c r="E166" s="446"/>
      <c r="F166" s="446"/>
      <c r="G166" s="446"/>
      <c r="H166" s="446"/>
      <c r="I166" s="326">
        <f>I102</f>
        <v>1911.2026972544002</v>
      </c>
      <c r="J166" s="292"/>
      <c r="K166" s="446"/>
      <c r="L166" s="446"/>
      <c r="M166" s="446"/>
      <c r="N166" s="446"/>
      <c r="O166" s="446"/>
      <c r="P166" s="446"/>
      <c r="R166" s="292" t="s">
        <v>40</v>
      </c>
      <c r="S166" s="446" t="str">
        <f>R50</f>
        <v>MÓDULO 2 – ENCARGOS E BENEFÍCIOS ANUAIS, MENSAIS E DIÁRIOS</v>
      </c>
      <c r="T166" s="446"/>
      <c r="U166" s="446"/>
      <c r="V166" s="446"/>
      <c r="W166" s="446"/>
      <c r="X166" s="446"/>
      <c r="Y166" s="446"/>
      <c r="Z166" s="326">
        <f>Z102</f>
        <v>2112.4350467968006</v>
      </c>
    </row>
    <row r="167" spans="1:26" x14ac:dyDescent="0.2">
      <c r="A167" s="292" t="s">
        <v>43</v>
      </c>
      <c r="B167" s="446" t="str">
        <f>A104</f>
        <v>MÓDULO 3 – PROVISÃO PARA RESCISÃO</v>
      </c>
      <c r="C167" s="446"/>
      <c r="D167" s="446"/>
      <c r="E167" s="446"/>
      <c r="F167" s="446"/>
      <c r="G167" s="446"/>
      <c r="H167" s="446"/>
      <c r="I167" s="326">
        <f>I112</f>
        <v>132.53079813120002</v>
      </c>
      <c r="J167" s="292"/>
      <c r="K167" s="446"/>
      <c r="L167" s="446"/>
      <c r="M167" s="446"/>
      <c r="N167" s="446"/>
      <c r="O167" s="446"/>
      <c r="P167" s="446"/>
      <c r="R167" s="292" t="s">
        <v>43</v>
      </c>
      <c r="S167" s="446" t="str">
        <f>R104</f>
        <v>MÓDULO 3 – PROVISÃO PARA RESCISÃO</v>
      </c>
      <c r="T167" s="446"/>
      <c r="U167" s="446"/>
      <c r="V167" s="446"/>
      <c r="W167" s="446"/>
      <c r="X167" s="446"/>
      <c r="Y167" s="446"/>
      <c r="Z167" s="326">
        <f>Z112</f>
        <v>154.61926448640003</v>
      </c>
    </row>
    <row r="168" spans="1:26" x14ac:dyDescent="0.2">
      <c r="A168" s="329" t="s">
        <v>46</v>
      </c>
      <c r="B168" s="446" t="str">
        <f>A114</f>
        <v>MÓDULO 4 – CUSTO DE REPOSIÇÃO DO PROFISSIONAL AUSENTE</v>
      </c>
      <c r="C168" s="446"/>
      <c r="D168" s="446"/>
      <c r="E168" s="446"/>
      <c r="F168" s="446"/>
      <c r="G168" s="446"/>
      <c r="H168" s="446"/>
      <c r="I168" s="326">
        <f>I138</f>
        <v>52.292412863999999</v>
      </c>
      <c r="J168" s="329"/>
      <c r="K168" s="446"/>
      <c r="L168" s="446"/>
      <c r="M168" s="446"/>
      <c r="N168" s="446"/>
      <c r="O168" s="446"/>
      <c r="P168" s="446"/>
      <c r="R168" s="329" t="s">
        <v>46</v>
      </c>
      <c r="S168" s="446" t="str">
        <f>R114</f>
        <v>MÓDULO 4 – CUSTO DE REPOSIÇÃO DO PROFISSIONAL AUSENTE</v>
      </c>
      <c r="T168" s="446"/>
      <c r="U168" s="446"/>
      <c r="V168" s="446"/>
      <c r="W168" s="446"/>
      <c r="X168" s="446"/>
      <c r="Y168" s="446"/>
      <c r="Z168" s="326">
        <f>Z138</f>
        <v>61.007815008000009</v>
      </c>
    </row>
    <row r="169" spans="1:26" x14ac:dyDescent="0.2">
      <c r="A169" s="329" t="s">
        <v>80</v>
      </c>
      <c r="B169" s="446" t="str">
        <f>A140</f>
        <v>MÓDULO 5 – INSUMOS DIVERSOS</v>
      </c>
      <c r="C169" s="446"/>
      <c r="D169" s="446"/>
      <c r="E169" s="446"/>
      <c r="F169" s="446"/>
      <c r="G169" s="446"/>
      <c r="H169" s="446"/>
      <c r="I169" s="326">
        <f>I146</f>
        <v>1835.2680097777777</v>
      </c>
      <c r="J169" s="329"/>
      <c r="K169" s="446"/>
      <c r="L169" s="446"/>
      <c r="M169" s="446"/>
      <c r="N169" s="446"/>
      <c r="O169" s="446"/>
      <c r="P169" s="446"/>
      <c r="R169" s="329" t="s">
        <v>80</v>
      </c>
      <c r="S169" s="446" t="str">
        <f>R140</f>
        <v>MÓDULO 5 – INSUMOS DIVERSOS</v>
      </c>
      <c r="T169" s="446"/>
      <c r="U169" s="446"/>
      <c r="V169" s="446"/>
      <c r="W169" s="446"/>
      <c r="X169" s="446"/>
      <c r="Y169" s="446"/>
      <c r="Z169" s="326">
        <f>Z146</f>
        <v>1835.2680097777777</v>
      </c>
    </row>
    <row r="170" spans="1:26" x14ac:dyDescent="0.2">
      <c r="A170" s="296"/>
      <c r="B170" s="457" t="s">
        <v>196</v>
      </c>
      <c r="C170" s="457"/>
      <c r="D170" s="457"/>
      <c r="E170" s="457"/>
      <c r="F170" s="457"/>
      <c r="G170" s="457"/>
      <c r="H170" s="457"/>
      <c r="I170" s="330">
        <f>SUM(I165:I169)</f>
        <v>5795.9499180273779</v>
      </c>
      <c r="J170" s="296"/>
      <c r="K170" s="457"/>
      <c r="L170" s="457"/>
      <c r="M170" s="457"/>
      <c r="N170" s="457"/>
      <c r="O170" s="457"/>
      <c r="P170" s="457"/>
      <c r="R170" s="296"/>
      <c r="S170" s="457" t="s">
        <v>196</v>
      </c>
      <c r="T170" s="457"/>
      <c r="U170" s="457"/>
      <c r="V170" s="457"/>
      <c r="W170" s="457"/>
      <c r="X170" s="457"/>
      <c r="Y170" s="457"/>
      <c r="Z170" s="330">
        <f>SUM(Z165:Z169)</f>
        <v>6338.7621360689782</v>
      </c>
    </row>
    <row r="171" spans="1:26" x14ac:dyDescent="0.2">
      <c r="A171" s="329" t="s">
        <v>82</v>
      </c>
      <c r="B171" s="446" t="str">
        <f>A150</f>
        <v>MÓDULO 6 – CUSTOS INDIRETOS, TRIBUTOS E LUCRO</v>
      </c>
      <c r="C171" s="446"/>
      <c r="D171" s="446"/>
      <c r="E171" s="446"/>
      <c r="F171" s="446"/>
      <c r="G171" s="446"/>
      <c r="H171" s="446"/>
      <c r="I171" s="82">
        <f>I158</f>
        <v>2010.8397674788864</v>
      </c>
      <c r="J171" s="329"/>
      <c r="K171" s="446"/>
      <c r="L171" s="446"/>
      <c r="M171" s="446"/>
      <c r="N171" s="446"/>
      <c r="O171" s="446"/>
      <c r="P171" s="446"/>
      <c r="R171" s="329" t="s">
        <v>82</v>
      </c>
      <c r="S171" s="446" t="str">
        <f>R150</f>
        <v>MÓDULO 6 – CUSTOS INDIRETOS, TRIBUTOS E LUCRO</v>
      </c>
      <c r="T171" s="446"/>
      <c r="U171" s="446"/>
      <c r="V171" s="446"/>
      <c r="W171" s="446"/>
      <c r="X171" s="446"/>
      <c r="Y171" s="446"/>
      <c r="Z171" s="82">
        <f>Z158</f>
        <v>2199.162373738217</v>
      </c>
    </row>
    <row r="172" spans="1:26" ht="13.5" thickBot="1" x14ac:dyDescent="0.25">
      <c r="A172" s="510" t="s">
        <v>197</v>
      </c>
      <c r="B172" s="511"/>
      <c r="C172" s="511"/>
      <c r="D172" s="511"/>
      <c r="E172" s="511"/>
      <c r="F172" s="511"/>
      <c r="G172" s="511"/>
      <c r="H172" s="511"/>
      <c r="I172" s="331">
        <f>SUM(I45,I102,I112,I138,I146,I152,I153)/(1-SUM(H155:H157))</f>
        <v>7806.7896855062654</v>
      </c>
      <c r="J172" s="510"/>
      <c r="K172" s="511"/>
      <c r="L172" s="511"/>
      <c r="M172" s="511"/>
      <c r="N172" s="511"/>
      <c r="O172" s="511"/>
      <c r="P172" s="511"/>
      <c r="R172" s="510" t="s">
        <v>197</v>
      </c>
      <c r="S172" s="511"/>
      <c r="T172" s="511"/>
      <c r="U172" s="511"/>
      <c r="V172" s="511"/>
      <c r="W172" s="511"/>
      <c r="X172" s="511"/>
      <c r="Y172" s="511"/>
      <c r="Z172" s="331">
        <f>SUM(Z45,Z102,Z112,Z138,Z146,Z152,Z153)/(1-SUM(Y155:Y157))</f>
        <v>8537.9245098071951</v>
      </c>
    </row>
    <row r="173" spans="1:26" ht="13.5" thickBot="1" x14ac:dyDescent="0.25">
      <c r="A173" s="3"/>
      <c r="B173" s="3"/>
      <c r="C173" s="3"/>
      <c r="D173" s="3"/>
      <c r="E173" s="3"/>
      <c r="F173" s="3"/>
      <c r="G173" s="3"/>
      <c r="H173" s="3"/>
      <c r="I173" s="4"/>
      <c r="J173" s="57"/>
      <c r="R173" s="57"/>
      <c r="Z173" s="58"/>
    </row>
    <row r="174" spans="1:26" s="284" customFormat="1" ht="17.45" customHeight="1" thickBot="1" x14ac:dyDescent="0.25">
      <c r="A174" s="512" t="s">
        <v>198</v>
      </c>
      <c r="B174" s="513"/>
      <c r="C174" s="513"/>
      <c r="D174" s="513"/>
      <c r="E174" s="513"/>
      <c r="F174" s="513"/>
      <c r="G174" s="513"/>
      <c r="H174" s="405">
        <v>3</v>
      </c>
      <c r="I174" s="332">
        <f>I172*H174</f>
        <v>23420.369056518797</v>
      </c>
      <c r="J174" s="335"/>
      <c r="K174" s="285"/>
      <c r="L174" s="285"/>
      <c r="M174" s="285"/>
      <c r="N174" s="285"/>
      <c r="O174" s="514"/>
      <c r="P174" s="515"/>
      <c r="R174" s="335"/>
      <c r="S174" s="285"/>
      <c r="T174" s="285"/>
      <c r="U174" s="285"/>
      <c r="V174" s="285"/>
      <c r="W174" s="514"/>
      <c r="X174" s="515"/>
      <c r="Y174" s="405">
        <f>Z16</f>
        <v>1</v>
      </c>
      <c r="Z174" s="423">
        <f>Z172*Y174</f>
        <v>8537.9245098071951</v>
      </c>
    </row>
    <row r="175" spans="1:26" s="284" customFormat="1" ht="24.95" customHeight="1" thickBot="1" x14ac:dyDescent="0.25">
      <c r="A175" s="516" t="str">
        <f>I31</f>
        <v>AUXILIAR DE SERVIÇOS GERAIS - LIMPEZA PREDIAL</v>
      </c>
      <c r="B175" s="517"/>
      <c r="C175" s="517"/>
      <c r="D175" s="517"/>
      <c r="E175" s="517"/>
      <c r="F175" s="517"/>
      <c r="G175" s="517"/>
      <c r="H175" s="517"/>
      <c r="I175" s="518"/>
      <c r="J175" s="336"/>
      <c r="K175" s="283"/>
      <c r="L175" s="283"/>
      <c r="M175" s="283"/>
      <c r="N175" s="283"/>
      <c r="O175" s="283"/>
      <c r="P175" s="283"/>
      <c r="R175" s="516" t="str">
        <f>Z31</f>
        <v>AUXILIAR DE SERVIÇOS GERAIS-BANHEIRISTA</v>
      </c>
      <c r="S175" s="517"/>
      <c r="T175" s="517"/>
      <c r="U175" s="517"/>
      <c r="V175" s="517"/>
      <c r="W175" s="517"/>
      <c r="X175" s="517"/>
      <c r="Y175" s="517"/>
      <c r="Z175" s="518"/>
    </row>
    <row r="176" spans="1:26" x14ac:dyDescent="0.2">
      <c r="A176" s="3"/>
      <c r="B176" s="3"/>
      <c r="C176" s="3"/>
      <c r="D176" s="3"/>
      <c r="E176" s="3"/>
      <c r="F176" s="3"/>
      <c r="G176" s="3"/>
      <c r="H176" s="3"/>
      <c r="I176" s="4"/>
    </row>
    <row r="177" spans="1:9" x14ac:dyDescent="0.2">
      <c r="A177" s="3"/>
      <c r="B177" s="3"/>
      <c r="C177" s="3"/>
      <c r="D177" s="3"/>
      <c r="E177" s="3"/>
      <c r="F177" s="3"/>
      <c r="G177" s="3"/>
      <c r="H177" s="3"/>
      <c r="I177" s="4"/>
    </row>
    <row r="178" spans="1:9" x14ac:dyDescent="0.2">
      <c r="A178" s="3"/>
      <c r="B178" s="3"/>
      <c r="C178" s="3"/>
      <c r="D178" s="3"/>
      <c r="E178" s="3"/>
      <c r="F178" s="3"/>
      <c r="G178" s="3"/>
      <c r="H178" s="3"/>
      <c r="I178" s="4"/>
    </row>
    <row r="179" spans="1:9" ht="23.1" customHeight="1" x14ac:dyDescent="0.2">
      <c r="A179" s="469" t="s">
        <v>199</v>
      </c>
      <c r="B179" s="470"/>
      <c r="C179" s="470"/>
      <c r="D179" s="470"/>
      <c r="E179" s="470"/>
      <c r="F179" s="470"/>
      <c r="G179" s="470"/>
      <c r="H179" s="470"/>
      <c r="I179" s="471"/>
    </row>
    <row r="180" spans="1:9" x14ac:dyDescent="0.2">
      <c r="A180" s="499"/>
      <c r="B180" s="500"/>
      <c r="C180" s="500"/>
      <c r="D180" s="500"/>
      <c r="E180" s="500"/>
      <c r="F180" s="500"/>
      <c r="G180" s="500"/>
      <c r="H180" s="500"/>
      <c r="I180" s="501"/>
    </row>
    <row r="181" spans="1:9" x14ac:dyDescent="0.2">
      <c r="A181" s="502" t="s">
        <v>200</v>
      </c>
      <c r="B181" s="503"/>
      <c r="C181" s="503"/>
      <c r="D181" s="503"/>
      <c r="E181" s="503"/>
      <c r="F181" s="503"/>
      <c r="G181" s="503"/>
      <c r="H181" s="503"/>
      <c r="I181" s="504"/>
    </row>
    <row r="182" spans="1:9" ht="29.1" customHeight="1" x14ac:dyDescent="0.2">
      <c r="A182" s="505"/>
      <c r="B182" s="506"/>
      <c r="C182" s="506"/>
      <c r="D182" s="506"/>
      <c r="E182" s="506"/>
      <c r="F182" s="506"/>
      <c r="G182" s="506"/>
      <c r="H182" s="506"/>
      <c r="I182" s="507"/>
    </row>
    <row r="184" spans="1:9" ht="38.25" x14ac:dyDescent="0.2">
      <c r="A184" s="508" t="s">
        <v>201</v>
      </c>
      <c r="B184" s="508"/>
      <c r="C184" s="508"/>
      <c r="D184" s="45" t="s">
        <v>202</v>
      </c>
      <c r="E184" s="38" t="s">
        <v>203</v>
      </c>
      <c r="F184" s="38" t="s">
        <v>204</v>
      </c>
      <c r="G184" s="509" t="s">
        <v>205</v>
      </c>
      <c r="H184" s="508"/>
      <c r="I184" s="45" t="s">
        <v>206</v>
      </c>
    </row>
    <row r="185" spans="1:9" ht="34.5" customHeight="1" x14ac:dyDescent="0.2">
      <c r="A185" s="520" t="s">
        <v>207</v>
      </c>
      <c r="B185" s="520"/>
      <c r="C185" s="520"/>
      <c r="D185" s="340">
        <v>800</v>
      </c>
      <c r="E185" s="28">
        <f>H174+Y174</f>
        <v>4</v>
      </c>
      <c r="F185" s="339">
        <f>E185*D185</f>
        <v>3200</v>
      </c>
      <c r="G185" s="519">
        <f>I174+Z174</f>
        <v>31958.293566325992</v>
      </c>
      <c r="H185" s="520"/>
      <c r="I185" s="337">
        <f>TRUNC((1/F185*G185),2)</f>
        <v>9.98</v>
      </c>
    </row>
    <row r="186" spans="1:9" x14ac:dyDescent="0.2">
      <c r="A186" s="457" t="s">
        <v>208</v>
      </c>
      <c r="B186" s="457"/>
      <c r="C186" s="457"/>
      <c r="D186" s="457"/>
      <c r="E186" s="457"/>
      <c r="F186" s="457"/>
      <c r="G186" s="457"/>
      <c r="H186" s="457"/>
      <c r="I186" s="338">
        <f>SUM(I185:I185)</f>
        <v>9.98</v>
      </c>
    </row>
    <row r="187" spans="1:9" s="41" customFormat="1" ht="18.95" customHeight="1" x14ac:dyDescent="0.2">
      <c r="A187" s="464" t="s">
        <v>209</v>
      </c>
      <c r="B187" s="464"/>
      <c r="C187" s="464"/>
      <c r="D187" s="464"/>
      <c r="E187" s="464"/>
      <c r="F187" s="464"/>
      <c r="G187" s="464"/>
      <c r="H187" s="464"/>
      <c r="I187" s="464"/>
    </row>
    <row r="188" spans="1:9" ht="12.6" hidden="1" customHeight="1" outlineLevel="1" x14ac:dyDescent="0.2"/>
    <row r="189" spans="1:9" ht="12.6" hidden="1" customHeight="1" outlineLevel="1" x14ac:dyDescent="0.2">
      <c r="A189" s="502" t="s">
        <v>210</v>
      </c>
      <c r="B189" s="503"/>
      <c r="C189" s="503"/>
      <c r="D189" s="503"/>
      <c r="E189" s="503"/>
      <c r="F189" s="503"/>
      <c r="G189" s="503"/>
      <c r="H189" s="503"/>
      <c r="I189" s="504"/>
    </row>
    <row r="190" spans="1:9" ht="12.6" hidden="1" customHeight="1" outlineLevel="1" x14ac:dyDescent="0.2">
      <c r="A190" s="505"/>
      <c r="B190" s="506"/>
      <c r="C190" s="506"/>
      <c r="D190" s="506"/>
      <c r="E190" s="506"/>
      <c r="F190" s="506"/>
      <c r="G190" s="506"/>
      <c r="H190" s="506"/>
      <c r="I190" s="507"/>
    </row>
    <row r="191" spans="1:9" ht="12.95" hidden="1" customHeight="1" outlineLevel="1" x14ac:dyDescent="0.2"/>
    <row r="192" spans="1:9" ht="39" hidden="1" customHeight="1" outlineLevel="1" x14ac:dyDescent="0.2">
      <c r="A192" s="508" t="s">
        <v>201</v>
      </c>
      <c r="B192" s="508"/>
      <c r="C192" s="508"/>
      <c r="D192" s="521" t="s">
        <v>211</v>
      </c>
      <c r="E192" s="457"/>
      <c r="F192" s="457"/>
      <c r="G192" s="521" t="s">
        <v>212</v>
      </c>
      <c r="H192" s="457"/>
      <c r="I192" s="45" t="s">
        <v>206</v>
      </c>
    </row>
    <row r="193" spans="1:9" ht="30" hidden="1" customHeight="1" outlineLevel="1" x14ac:dyDescent="0.2">
      <c r="A193" s="520" t="s">
        <v>207</v>
      </c>
      <c r="B193" s="520"/>
      <c r="C193" s="520"/>
      <c r="D193" s="452" t="s">
        <v>213</v>
      </c>
      <c r="E193" s="520"/>
      <c r="F193" s="520"/>
      <c r="G193" s="519" t="e">
        <f>#REF!</f>
        <v>#REF!</v>
      </c>
      <c r="H193" s="520"/>
      <c r="I193" s="158" t="e">
        <f>TRUNC((1/1800)*G193,2)</f>
        <v>#REF!</v>
      </c>
    </row>
    <row r="194" spans="1:9" ht="12.95" hidden="1" customHeight="1" outlineLevel="1" x14ac:dyDescent="0.2">
      <c r="A194" s="457" t="s">
        <v>208</v>
      </c>
      <c r="B194" s="457"/>
      <c r="C194" s="457"/>
      <c r="D194" s="457"/>
      <c r="E194" s="457"/>
      <c r="F194" s="457"/>
      <c r="G194" s="457"/>
      <c r="H194" s="457"/>
      <c r="I194" s="159" t="e">
        <f>SUM(I193:I193)</f>
        <v>#REF!</v>
      </c>
    </row>
    <row r="195" spans="1:9" ht="15.95" hidden="1" customHeight="1" outlineLevel="1" thickBot="1" x14ac:dyDescent="0.25"/>
    <row r="196" spans="1:9" ht="15.95" hidden="1" customHeight="1" outlineLevel="1" thickBot="1" x14ac:dyDescent="0.25">
      <c r="A196" s="445" t="s">
        <v>214</v>
      </c>
      <c r="B196" s="445"/>
      <c r="C196" s="445"/>
      <c r="D196" s="445"/>
      <c r="E196" s="445"/>
      <c r="F196" s="445"/>
      <c r="G196" s="445"/>
      <c r="H196" s="445"/>
      <c r="I196" s="445"/>
    </row>
    <row r="197" spans="1:9" hidden="1" outlineLevel="1" x14ac:dyDescent="0.2"/>
    <row r="198" spans="1:9" hidden="1" outlineLevel="1" x14ac:dyDescent="0.2">
      <c r="A198" s="502" t="s">
        <v>215</v>
      </c>
      <c r="B198" s="503"/>
      <c r="C198" s="503"/>
      <c r="D198" s="503"/>
      <c r="E198" s="503"/>
      <c r="F198" s="503"/>
      <c r="G198" s="503"/>
      <c r="H198" s="503"/>
      <c r="I198" s="504"/>
    </row>
    <row r="199" spans="1:9" hidden="1" outlineLevel="1" x14ac:dyDescent="0.2">
      <c r="A199" s="505"/>
      <c r="B199" s="506"/>
      <c r="C199" s="506"/>
      <c r="D199" s="506"/>
      <c r="E199" s="506"/>
      <c r="F199" s="506"/>
      <c r="G199" s="506"/>
      <c r="H199" s="506"/>
      <c r="I199" s="507"/>
    </row>
    <row r="200" spans="1:9" hidden="1" outlineLevel="1" x14ac:dyDescent="0.2"/>
    <row r="201" spans="1:9" ht="38.25" hidden="1" outlineLevel="1" x14ac:dyDescent="0.2">
      <c r="A201" s="508" t="s">
        <v>201</v>
      </c>
      <c r="B201" s="508"/>
      <c r="C201" s="508"/>
      <c r="D201" s="521" t="s">
        <v>211</v>
      </c>
      <c r="E201" s="457"/>
      <c r="F201" s="457"/>
      <c r="G201" s="521" t="s">
        <v>212</v>
      </c>
      <c r="H201" s="457"/>
      <c r="I201" s="45" t="s">
        <v>206</v>
      </c>
    </row>
    <row r="202" spans="1:9" ht="30.6" hidden="1" customHeight="1" outlineLevel="1" x14ac:dyDescent="0.2">
      <c r="A202" s="520" t="s">
        <v>207</v>
      </c>
      <c r="B202" s="520"/>
      <c r="C202" s="520"/>
      <c r="D202" s="452" t="s">
        <v>216</v>
      </c>
      <c r="E202" s="520"/>
      <c r="F202" s="520"/>
      <c r="G202" s="519">
        <f>G185</f>
        <v>31958.293566325992</v>
      </c>
      <c r="H202" s="520"/>
      <c r="I202" s="158">
        <f>TRUNC((1/300)*G202,2)</f>
        <v>106.52</v>
      </c>
    </row>
    <row r="203" spans="1:9" hidden="1" outlineLevel="1" x14ac:dyDescent="0.2">
      <c r="A203" s="457" t="s">
        <v>208</v>
      </c>
      <c r="B203" s="457"/>
      <c r="C203" s="457"/>
      <c r="D203" s="457"/>
      <c r="E203" s="457"/>
      <c r="F203" s="457"/>
      <c r="G203" s="457"/>
      <c r="H203" s="457"/>
      <c r="I203" s="159">
        <f>SUM(I202:I202)</f>
        <v>106.52</v>
      </c>
    </row>
    <row r="204" spans="1:9" hidden="1" outlineLevel="1" x14ac:dyDescent="0.2"/>
    <row r="205" spans="1:9" hidden="1" outlineLevel="1" x14ac:dyDescent="0.2">
      <c r="A205" s="445" t="s">
        <v>217</v>
      </c>
      <c r="B205" s="445"/>
      <c r="C205" s="445"/>
      <c r="D205" s="445"/>
      <c r="E205" s="445"/>
      <c r="F205" s="445"/>
      <c r="G205" s="445"/>
      <c r="H205" s="445"/>
      <c r="I205" s="445"/>
    </row>
    <row r="206" spans="1:9" hidden="1" outlineLevel="1" x14ac:dyDescent="0.2"/>
    <row r="207" spans="1:9" hidden="1" outlineLevel="1" x14ac:dyDescent="0.2">
      <c r="A207" s="524" t="s">
        <v>218</v>
      </c>
      <c r="B207" s="525"/>
      <c r="C207" s="525"/>
      <c r="D207" s="525"/>
      <c r="E207" s="525"/>
      <c r="F207" s="525"/>
      <c r="G207" s="525"/>
      <c r="H207" s="525"/>
      <c r="I207" s="526"/>
    </row>
    <row r="208" spans="1:9" hidden="1" outlineLevel="1" x14ac:dyDescent="0.2">
      <c r="A208" s="527"/>
      <c r="B208" s="528"/>
      <c r="C208" s="528"/>
      <c r="D208" s="528"/>
      <c r="E208" s="528"/>
      <c r="F208" s="528"/>
      <c r="G208" s="528"/>
      <c r="H208" s="528"/>
      <c r="I208" s="529"/>
    </row>
    <row r="209" spans="1:9" hidden="1" outlineLevel="1" x14ac:dyDescent="0.2"/>
    <row r="210" spans="1:9" ht="38.25" hidden="1" outlineLevel="1" x14ac:dyDescent="0.2">
      <c r="A210" s="508" t="s">
        <v>201</v>
      </c>
      <c r="B210" s="508"/>
      <c r="C210" s="508"/>
      <c r="D210" s="521" t="s">
        <v>211</v>
      </c>
      <c r="E210" s="457"/>
      <c r="F210" s="457"/>
      <c r="G210" s="521" t="s">
        <v>212</v>
      </c>
      <c r="H210" s="457"/>
      <c r="I210" s="45" t="s">
        <v>206</v>
      </c>
    </row>
    <row r="211" spans="1:9" ht="29.45" hidden="1" customHeight="1" outlineLevel="1" x14ac:dyDescent="0.2">
      <c r="A211" s="520" t="s">
        <v>207</v>
      </c>
      <c r="B211" s="520"/>
      <c r="C211" s="520"/>
      <c r="D211" s="452" t="s">
        <v>219</v>
      </c>
      <c r="E211" s="520"/>
      <c r="F211" s="520"/>
      <c r="G211" s="519">
        <f>G202</f>
        <v>31958.293566325992</v>
      </c>
      <c r="H211" s="520"/>
      <c r="I211" s="158">
        <f>TRUNC((1/130)*G211/22,2)</f>
        <v>11.17</v>
      </c>
    </row>
    <row r="212" spans="1:9" hidden="1" outlineLevel="1" x14ac:dyDescent="0.2">
      <c r="A212" s="457" t="s">
        <v>208</v>
      </c>
      <c r="B212" s="457"/>
      <c r="C212" s="457"/>
      <c r="D212" s="457"/>
      <c r="E212" s="457"/>
      <c r="F212" s="457"/>
      <c r="G212" s="457"/>
      <c r="H212" s="457"/>
      <c r="I212" s="282">
        <f>SUM(I211:I211)</f>
        <v>11.17</v>
      </c>
    </row>
    <row r="213" spans="1:9" hidden="1" outlineLevel="1" x14ac:dyDescent="0.2"/>
    <row r="214" spans="1:9" hidden="1" outlineLevel="1" x14ac:dyDescent="0.2">
      <c r="A214" s="445" t="s">
        <v>220</v>
      </c>
      <c r="B214" s="445"/>
      <c r="C214" s="445"/>
      <c r="D214" s="445"/>
      <c r="E214" s="445"/>
      <c r="F214" s="445"/>
      <c r="G214" s="445"/>
      <c r="H214" s="445"/>
      <c r="I214" s="445"/>
    </row>
    <row r="215" spans="1:9" hidden="1" outlineLevel="1" x14ac:dyDescent="0.2"/>
    <row r="216" spans="1:9" hidden="1" outlineLevel="1" x14ac:dyDescent="0.2">
      <c r="A216" s="522" t="s">
        <v>221</v>
      </c>
      <c r="B216" s="523"/>
      <c r="C216" s="523"/>
      <c r="D216" s="523"/>
      <c r="E216" s="523"/>
      <c r="F216" s="523"/>
      <c r="G216" s="523"/>
      <c r="H216" s="523"/>
      <c r="I216" s="523"/>
    </row>
    <row r="217" spans="1:9" hidden="1" outlineLevel="1" x14ac:dyDescent="0.2"/>
    <row r="218" spans="1:9" hidden="1" outlineLevel="1" x14ac:dyDescent="0.2">
      <c r="A218" s="522" t="s">
        <v>222</v>
      </c>
      <c r="B218" s="523"/>
      <c r="C218" s="523"/>
      <c r="D218" s="523"/>
      <c r="E218" s="523"/>
      <c r="F218" s="523"/>
      <c r="G218" s="523"/>
      <c r="H218" s="523"/>
      <c r="I218" s="523"/>
    </row>
    <row r="219" spans="1:9" hidden="1" outlineLevel="1" x14ac:dyDescent="0.2">
      <c r="A219" s="252"/>
      <c r="B219" s="253"/>
      <c r="C219" s="253"/>
      <c r="D219" s="253"/>
      <c r="E219" s="253"/>
      <c r="F219" s="253"/>
      <c r="G219" s="253"/>
      <c r="H219" s="253"/>
      <c r="I219" s="253"/>
    </row>
    <row r="220" spans="1:9" hidden="1" outlineLevel="1" x14ac:dyDescent="0.2">
      <c r="A220" s="522" t="s">
        <v>223</v>
      </c>
      <c r="B220" s="523"/>
      <c r="C220" s="523"/>
      <c r="D220" s="523"/>
      <c r="E220" s="523"/>
      <c r="F220" s="523"/>
      <c r="G220" s="523"/>
      <c r="H220" s="523"/>
      <c r="I220" s="523"/>
    </row>
    <row r="221" spans="1:9" hidden="1" outlineLevel="1" x14ac:dyDescent="0.2"/>
    <row r="222" spans="1:9" hidden="1" outlineLevel="1" x14ac:dyDescent="0.2"/>
    <row r="223" spans="1:9" collapsed="1" x14ac:dyDescent="0.2"/>
    <row r="224" spans="1:9" s="32" customFormat="1" x14ac:dyDescent="0.2"/>
  </sheetData>
  <mergeCells count="392">
    <mergeCell ref="B168:H168"/>
    <mergeCell ref="K168:P168"/>
    <mergeCell ref="B169:H169"/>
    <mergeCell ref="K169:P169"/>
    <mergeCell ref="B170:H170"/>
    <mergeCell ref="K170:P170"/>
    <mergeCell ref="B165:H165"/>
    <mergeCell ref="K165:P165"/>
    <mergeCell ref="B166:H166"/>
    <mergeCell ref="K166:P166"/>
    <mergeCell ref="B167:H167"/>
    <mergeCell ref="K167:P167"/>
    <mergeCell ref="R175:Z175"/>
    <mergeCell ref="S136:X136"/>
    <mergeCell ref="S137:X137"/>
    <mergeCell ref="R138:Y138"/>
    <mergeCell ref="R139:Z139"/>
    <mergeCell ref="R140:Z140"/>
    <mergeCell ref="R146:X146"/>
    <mergeCell ref="R150:Z150"/>
    <mergeCell ref="S153:X153"/>
    <mergeCell ref="S154:X154"/>
    <mergeCell ref="S144:X144"/>
    <mergeCell ref="S145:X145"/>
    <mergeCell ref="R8:Z8"/>
    <mergeCell ref="S9:Y9"/>
    <mergeCell ref="S10:Y10"/>
    <mergeCell ref="S11:Y11"/>
    <mergeCell ref="S12:Y12"/>
    <mergeCell ref="R14:Z14"/>
    <mergeCell ref="R15:S15"/>
    <mergeCell ref="T15:U15"/>
    <mergeCell ref="V15:Z15"/>
    <mergeCell ref="R16:S16"/>
    <mergeCell ref="T16:U16"/>
    <mergeCell ref="R27:Z27"/>
    <mergeCell ref="S28:Y28"/>
    <mergeCell ref="S29:Y29"/>
    <mergeCell ref="R37:Z37"/>
    <mergeCell ref="S38:X38"/>
    <mergeCell ref="S39:X39"/>
    <mergeCell ref="S40:X40"/>
    <mergeCell ref="S41:X41"/>
    <mergeCell ref="S42:X42"/>
    <mergeCell ref="S43:X43"/>
    <mergeCell ref="S44:X44"/>
    <mergeCell ref="R172:Y172"/>
    <mergeCell ref="W174:X174"/>
    <mergeCell ref="R163:Z163"/>
    <mergeCell ref="R164:Y164"/>
    <mergeCell ref="S165:Y165"/>
    <mergeCell ref="S166:Y166"/>
    <mergeCell ref="S167:Y167"/>
    <mergeCell ref="S168:Y168"/>
    <mergeCell ref="S169:Y169"/>
    <mergeCell ref="S170:Y170"/>
    <mergeCell ref="S171:Y171"/>
    <mergeCell ref="S151:X151"/>
    <mergeCell ref="S152:X152"/>
    <mergeCell ref="S156:X156"/>
    <mergeCell ref="S157:X157"/>
    <mergeCell ref="S155:X155"/>
    <mergeCell ref="R158:X158"/>
    <mergeCell ref="S141:X141"/>
    <mergeCell ref="S142:X142"/>
    <mergeCell ref="S143:X143"/>
    <mergeCell ref="S127:X127"/>
    <mergeCell ref="S130:X130"/>
    <mergeCell ref="S131:X131"/>
    <mergeCell ref="R134:Z134"/>
    <mergeCell ref="R128:X128"/>
    <mergeCell ref="R132:X132"/>
    <mergeCell ref="S135:X135"/>
    <mergeCell ref="S111:X111"/>
    <mergeCell ref="R112:X112"/>
    <mergeCell ref="R113:Z113"/>
    <mergeCell ref="R114:Z114"/>
    <mergeCell ref="S119:X119"/>
    <mergeCell ref="S120:X120"/>
    <mergeCell ref="S121:X121"/>
    <mergeCell ref="S122:X122"/>
    <mergeCell ref="S123:X123"/>
    <mergeCell ref="S124:X124"/>
    <mergeCell ref="S125:X125"/>
    <mergeCell ref="R126:X126"/>
    <mergeCell ref="S105:X105"/>
    <mergeCell ref="S106:X106"/>
    <mergeCell ref="S107:X107"/>
    <mergeCell ref="S108:X108"/>
    <mergeCell ref="S109:X109"/>
    <mergeCell ref="S110:X110"/>
    <mergeCell ref="R98:Y98"/>
    <mergeCell ref="S99:Y99"/>
    <mergeCell ref="S100:Y100"/>
    <mergeCell ref="S101:Y101"/>
    <mergeCell ref="R102:Y102"/>
    <mergeCell ref="R103:Z103"/>
    <mergeCell ref="R104:Z104"/>
    <mergeCell ref="S87:X87"/>
    <mergeCell ref="S88:X88"/>
    <mergeCell ref="S89:X89"/>
    <mergeCell ref="S83:X83"/>
    <mergeCell ref="S84:X84"/>
    <mergeCell ref="S85:X85"/>
    <mergeCell ref="S86:X86"/>
    <mergeCell ref="R90:Y90"/>
    <mergeCell ref="S72:X72"/>
    <mergeCell ref="S73:X73"/>
    <mergeCell ref="S74:X74"/>
    <mergeCell ref="R75:X75"/>
    <mergeCell ref="S66:X66"/>
    <mergeCell ref="S67:X67"/>
    <mergeCell ref="S68:X68"/>
    <mergeCell ref="S69:X69"/>
    <mergeCell ref="S70:X70"/>
    <mergeCell ref="S71:X71"/>
    <mergeCell ref="S51:X51"/>
    <mergeCell ref="S52:X52"/>
    <mergeCell ref="S53:X53"/>
    <mergeCell ref="R54:X54"/>
    <mergeCell ref="S55:X55"/>
    <mergeCell ref="R56:X56"/>
    <mergeCell ref="R45:Y45"/>
    <mergeCell ref="R50:Z50"/>
    <mergeCell ref="S30:Y30"/>
    <mergeCell ref="S31:Y31"/>
    <mergeCell ref="S32:Y32"/>
    <mergeCell ref="A218:I218"/>
    <mergeCell ref="A220:I220"/>
    <mergeCell ref="A211:C211"/>
    <mergeCell ref="D211:F211"/>
    <mergeCell ref="G211:H211"/>
    <mergeCell ref="A212:H212"/>
    <mergeCell ref="A214:I214"/>
    <mergeCell ref="A216:I216"/>
    <mergeCell ref="A203:H203"/>
    <mergeCell ref="A205:I205"/>
    <mergeCell ref="A207:I208"/>
    <mergeCell ref="A210:C210"/>
    <mergeCell ref="D210:F210"/>
    <mergeCell ref="G210:H210"/>
    <mergeCell ref="A201:C201"/>
    <mergeCell ref="D201:F201"/>
    <mergeCell ref="G201:H201"/>
    <mergeCell ref="A202:C202"/>
    <mergeCell ref="D202:F202"/>
    <mergeCell ref="G202:H202"/>
    <mergeCell ref="A193:C193"/>
    <mergeCell ref="D193:F193"/>
    <mergeCell ref="G193:H193"/>
    <mergeCell ref="A194:H194"/>
    <mergeCell ref="A196:I196"/>
    <mergeCell ref="A198:I199"/>
    <mergeCell ref="A185:C185"/>
    <mergeCell ref="G185:H185"/>
    <mergeCell ref="A186:H186"/>
    <mergeCell ref="A187:I187"/>
    <mergeCell ref="A189:I190"/>
    <mergeCell ref="A192:C192"/>
    <mergeCell ref="D192:F192"/>
    <mergeCell ref="G192:H192"/>
    <mergeCell ref="A179:I179"/>
    <mergeCell ref="A180:I180"/>
    <mergeCell ref="A181:I182"/>
    <mergeCell ref="A184:C184"/>
    <mergeCell ref="G184:H184"/>
    <mergeCell ref="B171:H171"/>
    <mergeCell ref="K171:P171"/>
    <mergeCell ref="A172:H172"/>
    <mergeCell ref="J172:P172"/>
    <mergeCell ref="A174:G174"/>
    <mergeCell ref="O174:P174"/>
    <mergeCell ref="A175:I175"/>
    <mergeCell ref="A158:G158"/>
    <mergeCell ref="J158:P158"/>
    <mergeCell ref="A163:I163"/>
    <mergeCell ref="J163:P163"/>
    <mergeCell ref="A164:H164"/>
    <mergeCell ref="J164:P164"/>
    <mergeCell ref="B155:G155"/>
    <mergeCell ref="K155:P155"/>
    <mergeCell ref="B156:G156"/>
    <mergeCell ref="K156:P156"/>
    <mergeCell ref="B157:G157"/>
    <mergeCell ref="K157:P157"/>
    <mergeCell ref="B152:G152"/>
    <mergeCell ref="K152:P152"/>
    <mergeCell ref="B153:G153"/>
    <mergeCell ref="K153:P153"/>
    <mergeCell ref="B154:G154"/>
    <mergeCell ref="K154:P154"/>
    <mergeCell ref="A146:G146"/>
    <mergeCell ref="J146:P146"/>
    <mergeCell ref="A150:I150"/>
    <mergeCell ref="J150:P150"/>
    <mergeCell ref="B151:G151"/>
    <mergeCell ref="K151:P151"/>
    <mergeCell ref="B143:G143"/>
    <mergeCell ref="K143:P143"/>
    <mergeCell ref="B144:G144"/>
    <mergeCell ref="K144:P144"/>
    <mergeCell ref="B145:G145"/>
    <mergeCell ref="K145:P145"/>
    <mergeCell ref="A140:I140"/>
    <mergeCell ref="J140:P140"/>
    <mergeCell ref="B141:G141"/>
    <mergeCell ref="K141:P141"/>
    <mergeCell ref="B142:G142"/>
    <mergeCell ref="K142:P142"/>
    <mergeCell ref="B137:G137"/>
    <mergeCell ref="K137:P137"/>
    <mergeCell ref="A138:H138"/>
    <mergeCell ref="J138:P138"/>
    <mergeCell ref="A139:I139"/>
    <mergeCell ref="J139:P139"/>
    <mergeCell ref="A134:I134"/>
    <mergeCell ref="J134:P134"/>
    <mergeCell ref="B135:G135"/>
    <mergeCell ref="K135:P135"/>
    <mergeCell ref="B136:G136"/>
    <mergeCell ref="K136:P136"/>
    <mergeCell ref="B130:G130"/>
    <mergeCell ref="K130:P130"/>
    <mergeCell ref="B131:G131"/>
    <mergeCell ref="K131:P131"/>
    <mergeCell ref="A132:G132"/>
    <mergeCell ref="J132:P132"/>
    <mergeCell ref="A126:G126"/>
    <mergeCell ref="J126:P126"/>
    <mergeCell ref="B127:G127"/>
    <mergeCell ref="K127:P127"/>
    <mergeCell ref="A128:G128"/>
    <mergeCell ref="J128:P128"/>
    <mergeCell ref="B123:G123"/>
    <mergeCell ref="K123:P123"/>
    <mergeCell ref="B124:G124"/>
    <mergeCell ref="K124:P124"/>
    <mergeCell ref="B125:G125"/>
    <mergeCell ref="K125:P125"/>
    <mergeCell ref="B120:G120"/>
    <mergeCell ref="K120:P120"/>
    <mergeCell ref="B121:G121"/>
    <mergeCell ref="K121:P121"/>
    <mergeCell ref="B122:G122"/>
    <mergeCell ref="K122:P122"/>
    <mergeCell ref="A113:I113"/>
    <mergeCell ref="J113:P113"/>
    <mergeCell ref="A114:I114"/>
    <mergeCell ref="J114:P114"/>
    <mergeCell ref="B119:G119"/>
    <mergeCell ref="K119:P119"/>
    <mergeCell ref="B110:G110"/>
    <mergeCell ref="K110:P110"/>
    <mergeCell ref="B111:G111"/>
    <mergeCell ref="K111:P111"/>
    <mergeCell ref="A112:G112"/>
    <mergeCell ref="J112:P112"/>
    <mergeCell ref="B107:G107"/>
    <mergeCell ref="K107:P107"/>
    <mergeCell ref="B108:G108"/>
    <mergeCell ref="K108:P108"/>
    <mergeCell ref="B109:G109"/>
    <mergeCell ref="K109:P109"/>
    <mergeCell ref="A104:I104"/>
    <mergeCell ref="J104:P104"/>
    <mergeCell ref="B105:G105"/>
    <mergeCell ref="K105:P105"/>
    <mergeCell ref="B106:G106"/>
    <mergeCell ref="K106:P106"/>
    <mergeCell ref="B101:H101"/>
    <mergeCell ref="K101:P101"/>
    <mergeCell ref="A102:H102"/>
    <mergeCell ref="J102:P102"/>
    <mergeCell ref="A103:I103"/>
    <mergeCell ref="J103:P103"/>
    <mergeCell ref="A98:H98"/>
    <mergeCell ref="J98:P98"/>
    <mergeCell ref="B99:H99"/>
    <mergeCell ref="K99:P99"/>
    <mergeCell ref="B100:H100"/>
    <mergeCell ref="K100:P100"/>
    <mergeCell ref="B88:G88"/>
    <mergeCell ref="K88:P88"/>
    <mergeCell ref="B89:G89"/>
    <mergeCell ref="K89:P89"/>
    <mergeCell ref="A90:H90"/>
    <mergeCell ref="J90:P90"/>
    <mergeCell ref="B85:G85"/>
    <mergeCell ref="K85:P85"/>
    <mergeCell ref="B86:G86"/>
    <mergeCell ref="K86:P86"/>
    <mergeCell ref="B87:G87"/>
    <mergeCell ref="K87:P87"/>
    <mergeCell ref="A75:G75"/>
    <mergeCell ref="J75:P75"/>
    <mergeCell ref="B83:G83"/>
    <mergeCell ref="K83:P83"/>
    <mergeCell ref="B84:G84"/>
    <mergeCell ref="K84:P84"/>
    <mergeCell ref="B72:G72"/>
    <mergeCell ref="K72:P72"/>
    <mergeCell ref="B73:G73"/>
    <mergeCell ref="K73:P73"/>
    <mergeCell ref="B74:G74"/>
    <mergeCell ref="K74:P74"/>
    <mergeCell ref="B69:G69"/>
    <mergeCell ref="K69:P69"/>
    <mergeCell ref="B70:G70"/>
    <mergeCell ref="K70:P70"/>
    <mergeCell ref="B71:G71"/>
    <mergeCell ref="K71:P71"/>
    <mergeCell ref="B66:G66"/>
    <mergeCell ref="K66:P66"/>
    <mergeCell ref="B67:G67"/>
    <mergeCell ref="K67:P67"/>
    <mergeCell ref="B68:G68"/>
    <mergeCell ref="K68:P68"/>
    <mergeCell ref="A54:G54"/>
    <mergeCell ref="J54:P54"/>
    <mergeCell ref="B55:G55"/>
    <mergeCell ref="K55:P55"/>
    <mergeCell ref="A56:G56"/>
    <mergeCell ref="J56:P56"/>
    <mergeCell ref="B51:G51"/>
    <mergeCell ref="K51:P51"/>
    <mergeCell ref="B52:G52"/>
    <mergeCell ref="K52:P52"/>
    <mergeCell ref="B53:G53"/>
    <mergeCell ref="K53:P53"/>
    <mergeCell ref="B44:G44"/>
    <mergeCell ref="K44:P44"/>
    <mergeCell ref="A45:H45"/>
    <mergeCell ref="J45:P45"/>
    <mergeCell ref="A50:I50"/>
    <mergeCell ref="J50:P50"/>
    <mergeCell ref="B41:G41"/>
    <mergeCell ref="K41:P41"/>
    <mergeCell ref="B42:G42"/>
    <mergeCell ref="K42:P42"/>
    <mergeCell ref="B43:G43"/>
    <mergeCell ref="K43:P43"/>
    <mergeCell ref="B38:G38"/>
    <mergeCell ref="K38:P38"/>
    <mergeCell ref="B39:G39"/>
    <mergeCell ref="K39:P39"/>
    <mergeCell ref="B40:G40"/>
    <mergeCell ref="K40:P40"/>
    <mergeCell ref="B31:H31"/>
    <mergeCell ref="K31:P31"/>
    <mergeCell ref="B32:H32"/>
    <mergeCell ref="K32:P32"/>
    <mergeCell ref="A37:I37"/>
    <mergeCell ref="J37:P37"/>
    <mergeCell ref="B28:H28"/>
    <mergeCell ref="K28:P28"/>
    <mergeCell ref="B29:H29"/>
    <mergeCell ref="K29:P29"/>
    <mergeCell ref="B30:H30"/>
    <mergeCell ref="K30:P30"/>
    <mergeCell ref="A27:I27"/>
    <mergeCell ref="J27:P27"/>
    <mergeCell ref="A14:I14"/>
    <mergeCell ref="J14:P14"/>
    <mergeCell ref="A15:B15"/>
    <mergeCell ref="C15:D15"/>
    <mergeCell ref="E15:I15"/>
    <mergeCell ref="J15:K15"/>
    <mergeCell ref="L15:M15"/>
    <mergeCell ref="N15:P15"/>
    <mergeCell ref="B12:H12"/>
    <mergeCell ref="K12:P12"/>
    <mergeCell ref="A6:F6"/>
    <mergeCell ref="J6:O6"/>
    <mergeCell ref="A8:I8"/>
    <mergeCell ref="J8:P8"/>
    <mergeCell ref="B9:H9"/>
    <mergeCell ref="K9:P9"/>
    <mergeCell ref="A16:B16"/>
    <mergeCell ref="C16:D16"/>
    <mergeCell ref="E16:H16"/>
    <mergeCell ref="J16:K16"/>
    <mergeCell ref="L16:M16"/>
    <mergeCell ref="A1:I1"/>
    <mergeCell ref="J1:P1"/>
    <mergeCell ref="A3:F3"/>
    <mergeCell ref="J3:O3"/>
    <mergeCell ref="A4:F4"/>
    <mergeCell ref="J4:O4"/>
    <mergeCell ref="B10:H10"/>
    <mergeCell ref="K10:P10"/>
    <mergeCell ref="B11:H11"/>
    <mergeCell ref="K11:P11"/>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66FF33"/>
  </sheetPr>
  <dimension ref="A1:R182"/>
  <sheetViews>
    <sheetView zoomScaleNormal="100" workbookViewId="0">
      <selection activeCell="I182" sqref="I182"/>
    </sheetView>
  </sheetViews>
  <sheetFormatPr defaultRowHeight="12.75" x14ac:dyDescent="0.2"/>
  <cols>
    <col min="1" max="1" width="7.7109375" customWidth="1"/>
    <col min="2" max="2" width="15.28515625" customWidth="1"/>
    <col min="3" max="3" width="13.7109375" bestFit="1" customWidth="1"/>
    <col min="4" max="4" width="20.5703125" customWidth="1"/>
    <col min="5" max="5" width="17.7109375" customWidth="1"/>
    <col min="6" max="6" width="12.85546875" customWidth="1"/>
    <col min="7" max="7" width="12.140625" customWidth="1"/>
    <col min="8" max="8" width="17.42578125" customWidth="1"/>
    <col min="9" max="9" width="21.85546875" customWidth="1"/>
    <col min="10" max="10" width="17.28515625" hidden="1" customWidth="1"/>
    <col min="11" max="16" width="0" hidden="1" customWidth="1"/>
    <col min="18" max="18" width="33.42578125" customWidth="1"/>
  </cols>
  <sheetData>
    <row r="1" spans="1:16" ht="13.5" thickBot="1" x14ac:dyDescent="0.25">
      <c r="A1" s="439" t="s">
        <v>33</v>
      </c>
      <c r="B1" s="440"/>
      <c r="C1" s="440"/>
      <c r="D1" s="440"/>
      <c r="E1" s="440"/>
      <c r="F1" s="440"/>
      <c r="G1" s="440"/>
      <c r="H1" s="440"/>
      <c r="I1" s="441"/>
      <c r="J1" s="439"/>
      <c r="K1" s="440"/>
      <c r="L1" s="440"/>
      <c r="M1" s="440"/>
      <c r="N1" s="440"/>
      <c r="O1" s="440"/>
      <c r="P1" s="440"/>
    </row>
    <row r="2" spans="1:16" x14ac:dyDescent="0.2">
      <c r="A2" s="287"/>
      <c r="B2" s="233"/>
      <c r="C2" s="233"/>
      <c r="D2" s="233"/>
      <c r="E2" s="233"/>
      <c r="F2" s="233"/>
      <c r="G2" s="233"/>
      <c r="H2" s="233"/>
      <c r="I2" s="288"/>
      <c r="J2" s="287"/>
      <c r="K2" s="233"/>
      <c r="L2" s="233"/>
      <c r="M2" s="233"/>
      <c r="N2" s="233"/>
      <c r="O2" s="233"/>
      <c r="P2" s="233"/>
    </row>
    <row r="3" spans="1:16" ht="15" customHeight="1" x14ac:dyDescent="0.2">
      <c r="A3" s="442" t="s">
        <v>224</v>
      </c>
      <c r="B3" s="443"/>
      <c r="C3" s="443"/>
      <c r="D3" s="443"/>
      <c r="E3" s="443"/>
      <c r="F3" s="443"/>
      <c r="G3" s="233"/>
      <c r="H3" s="233"/>
      <c r="I3" s="288"/>
      <c r="J3" s="444"/>
      <c r="K3" s="443"/>
      <c r="L3" s="443"/>
      <c r="M3" s="443"/>
      <c r="N3" s="443"/>
      <c r="O3" s="443"/>
      <c r="P3" s="233"/>
    </row>
    <row r="4" spans="1:16" ht="15" customHeight="1" x14ac:dyDescent="0.2">
      <c r="A4" s="444" t="s">
        <v>35</v>
      </c>
      <c r="B4" s="443"/>
      <c r="C4" s="443"/>
      <c r="D4" s="443"/>
      <c r="E4" s="443"/>
      <c r="F4" s="443"/>
      <c r="G4" s="233"/>
      <c r="H4" s="233"/>
      <c r="I4" s="288"/>
      <c r="J4" s="444"/>
      <c r="K4" s="443"/>
      <c r="L4" s="443"/>
      <c r="M4" s="443"/>
      <c r="N4" s="443"/>
      <c r="O4" s="443"/>
      <c r="P4" s="233"/>
    </row>
    <row r="5" spans="1:16" x14ac:dyDescent="0.2">
      <c r="A5" s="59"/>
      <c r="B5" s="9"/>
      <c r="C5" s="9"/>
      <c r="D5" s="9"/>
      <c r="E5" s="9"/>
      <c r="F5" s="9"/>
      <c r="G5" s="9"/>
      <c r="H5" s="9"/>
      <c r="I5" s="97"/>
      <c r="J5" s="59"/>
      <c r="K5" s="9"/>
      <c r="L5" s="9"/>
      <c r="M5" s="9"/>
      <c r="N5" s="9"/>
      <c r="O5" s="9"/>
      <c r="P5" s="9"/>
    </row>
    <row r="6" spans="1:16" x14ac:dyDescent="0.2">
      <c r="A6" s="444" t="s">
        <v>36</v>
      </c>
      <c r="B6" s="443"/>
      <c r="C6" s="443"/>
      <c r="D6" s="443"/>
      <c r="E6" s="443"/>
      <c r="F6" s="443"/>
      <c r="G6" s="9"/>
      <c r="H6" s="9"/>
      <c r="I6" s="97"/>
      <c r="J6" s="444"/>
      <c r="K6" s="443"/>
      <c r="L6" s="443"/>
      <c r="M6" s="443"/>
      <c r="N6" s="443"/>
      <c r="O6" s="443"/>
      <c r="P6" s="9"/>
    </row>
    <row r="7" spans="1:16" x14ac:dyDescent="0.2">
      <c r="A7" s="289"/>
      <c r="B7" s="234"/>
      <c r="C7" s="234"/>
      <c r="D7" s="234"/>
      <c r="E7" s="234"/>
      <c r="F7" s="234"/>
      <c r="G7" s="234"/>
      <c r="H7" s="234"/>
      <c r="I7" s="290"/>
      <c r="J7" s="289"/>
      <c r="K7" s="234"/>
      <c r="L7" s="234"/>
      <c r="M7" s="234"/>
      <c r="N7" s="234"/>
      <c r="O7" s="234"/>
      <c r="P7" s="234"/>
    </row>
    <row r="8" spans="1:16" x14ac:dyDescent="0.2">
      <c r="A8" s="447" t="s">
        <v>37</v>
      </c>
      <c r="B8" s="448"/>
      <c r="C8" s="448"/>
      <c r="D8" s="448"/>
      <c r="E8" s="448"/>
      <c r="F8" s="448"/>
      <c r="G8" s="448"/>
      <c r="H8" s="448"/>
      <c r="I8" s="449"/>
      <c r="J8" s="447"/>
      <c r="K8" s="448"/>
      <c r="L8" s="448"/>
      <c r="M8" s="448"/>
      <c r="N8" s="448"/>
      <c r="O8" s="448"/>
      <c r="P8" s="448"/>
    </row>
    <row r="9" spans="1:16" x14ac:dyDescent="0.2">
      <c r="A9" s="292" t="s">
        <v>38</v>
      </c>
      <c r="B9" s="445" t="s">
        <v>39</v>
      </c>
      <c r="C9" s="446"/>
      <c r="D9" s="446"/>
      <c r="E9" s="446"/>
      <c r="F9" s="446"/>
      <c r="G9" s="446"/>
      <c r="H9" s="446"/>
      <c r="I9" s="293">
        <f>'Limpeza - Item 8'!I9</f>
        <v>45863</v>
      </c>
      <c r="J9" s="292"/>
      <c r="K9" s="445"/>
      <c r="L9" s="446"/>
      <c r="M9" s="446"/>
      <c r="N9" s="446"/>
      <c r="O9" s="446"/>
      <c r="P9" s="446"/>
    </row>
    <row r="10" spans="1:16" x14ac:dyDescent="0.2">
      <c r="A10" s="292" t="s">
        <v>40</v>
      </c>
      <c r="B10" s="445" t="s">
        <v>41</v>
      </c>
      <c r="C10" s="446"/>
      <c r="D10" s="446"/>
      <c r="E10" s="446"/>
      <c r="F10" s="446"/>
      <c r="G10" s="446"/>
      <c r="H10" s="446"/>
      <c r="I10" s="294" t="str">
        <f>'Limpeza - Item 8'!I10</f>
        <v>Vitória/ES</v>
      </c>
      <c r="J10" s="292"/>
      <c r="K10" s="445"/>
      <c r="L10" s="446"/>
      <c r="M10" s="446"/>
      <c r="N10" s="446"/>
      <c r="O10" s="446"/>
      <c r="P10" s="446"/>
    </row>
    <row r="11" spans="1:16" x14ac:dyDescent="0.2">
      <c r="A11" s="292" t="s">
        <v>43</v>
      </c>
      <c r="B11" s="445" t="s">
        <v>44</v>
      </c>
      <c r="C11" s="445"/>
      <c r="D11" s="445"/>
      <c r="E11" s="445"/>
      <c r="F11" s="445"/>
      <c r="G11" s="445"/>
      <c r="H11" s="445"/>
      <c r="I11" s="294" t="s">
        <v>45</v>
      </c>
      <c r="J11" s="292"/>
      <c r="K11" s="445"/>
      <c r="L11" s="445"/>
      <c r="M11" s="445"/>
      <c r="N11" s="445"/>
      <c r="O11" s="445"/>
      <c r="P11" s="445"/>
    </row>
    <row r="12" spans="1:16" x14ac:dyDescent="0.2">
      <c r="A12" s="292" t="s">
        <v>46</v>
      </c>
      <c r="B12" s="445" t="s">
        <v>47</v>
      </c>
      <c r="C12" s="446"/>
      <c r="D12" s="446"/>
      <c r="E12" s="446"/>
      <c r="F12" s="446"/>
      <c r="G12" s="446"/>
      <c r="H12" s="446"/>
      <c r="I12" s="295">
        <v>60</v>
      </c>
      <c r="J12" s="292"/>
      <c r="K12" s="445"/>
      <c r="L12" s="446"/>
      <c r="M12" s="446"/>
      <c r="N12" s="446"/>
      <c r="O12" s="446"/>
      <c r="P12" s="446"/>
    </row>
    <row r="13" spans="1:16" x14ac:dyDescent="0.2">
      <c r="A13" s="287"/>
      <c r="B13" s="234"/>
      <c r="C13" s="234"/>
      <c r="D13" s="234"/>
      <c r="E13" s="234"/>
      <c r="F13" s="234"/>
      <c r="G13" s="234"/>
      <c r="H13" s="233"/>
      <c r="I13" s="288"/>
      <c r="J13" s="287"/>
      <c r="K13" s="234"/>
      <c r="L13" s="234"/>
      <c r="M13" s="234"/>
      <c r="N13" s="234"/>
      <c r="O13" s="234"/>
      <c r="P13" s="234"/>
    </row>
    <row r="14" spans="1:16" x14ac:dyDescent="0.2">
      <c r="A14" s="447" t="s">
        <v>48</v>
      </c>
      <c r="B14" s="448"/>
      <c r="C14" s="448"/>
      <c r="D14" s="448"/>
      <c r="E14" s="448"/>
      <c r="F14" s="448"/>
      <c r="G14" s="448"/>
      <c r="H14" s="448"/>
      <c r="I14" s="449"/>
      <c r="J14" s="447"/>
      <c r="K14" s="448"/>
      <c r="L14" s="448"/>
      <c r="M14" s="448"/>
      <c r="N14" s="448"/>
      <c r="O14" s="448"/>
      <c r="P14" s="448"/>
    </row>
    <row r="15" spans="1:16" x14ac:dyDescent="0.2">
      <c r="A15" s="456" t="s">
        <v>49</v>
      </c>
      <c r="B15" s="457"/>
      <c r="C15" s="457" t="s">
        <v>50</v>
      </c>
      <c r="D15" s="457"/>
      <c r="E15" s="458" t="s">
        <v>51</v>
      </c>
      <c r="F15" s="458"/>
      <c r="G15" s="458"/>
      <c r="H15" s="458"/>
      <c r="I15" s="459"/>
      <c r="J15" s="456"/>
      <c r="K15" s="457"/>
      <c r="L15" s="457"/>
      <c r="M15" s="457"/>
      <c r="N15" s="457"/>
      <c r="O15" s="457"/>
      <c r="P15" s="457"/>
    </row>
    <row r="16" spans="1:16" s="41" customFormat="1" ht="25.5" customHeight="1" x14ac:dyDescent="0.2">
      <c r="A16" s="450" t="s">
        <v>225</v>
      </c>
      <c r="B16" s="451"/>
      <c r="C16" s="452" t="s">
        <v>53</v>
      </c>
      <c r="D16" s="453"/>
      <c r="E16" s="454" t="s">
        <v>18</v>
      </c>
      <c r="F16" s="454"/>
      <c r="G16" s="454"/>
      <c r="H16" s="454"/>
      <c r="I16" s="344">
        <v>1</v>
      </c>
      <c r="J16" s="450"/>
      <c r="K16" s="451"/>
      <c r="L16" s="452"/>
      <c r="M16" s="451"/>
      <c r="O16" s="286"/>
      <c r="P16" s="286"/>
    </row>
    <row r="17" spans="1:16" ht="15" customHeight="1" x14ac:dyDescent="0.2">
      <c r="A17" s="298"/>
      <c r="B17" s="235"/>
      <c r="C17" s="31"/>
      <c r="D17" s="236"/>
      <c r="E17" s="32"/>
      <c r="F17" s="237"/>
      <c r="G17" s="237"/>
      <c r="H17" s="237"/>
      <c r="I17" s="299"/>
      <c r="J17" s="298"/>
      <c r="K17" s="235"/>
      <c r="L17" s="31"/>
      <c r="M17" s="236"/>
      <c r="N17" s="32"/>
      <c r="O17" s="237"/>
      <c r="P17" s="237"/>
    </row>
    <row r="18" spans="1:16" ht="15" customHeight="1" x14ac:dyDescent="0.2">
      <c r="A18" s="300" t="s">
        <v>54</v>
      </c>
      <c r="B18" s="235"/>
      <c r="C18" s="31"/>
      <c r="D18" s="236"/>
      <c r="E18" s="32"/>
      <c r="F18" s="237"/>
      <c r="G18" s="237"/>
      <c r="H18" s="237"/>
      <c r="I18" s="299"/>
      <c r="J18" s="300"/>
      <c r="K18" s="235"/>
      <c r="L18" s="31"/>
      <c r="M18" s="236"/>
      <c r="N18" s="32"/>
      <c r="O18" s="237"/>
      <c r="P18" s="237"/>
    </row>
    <row r="19" spans="1:16" ht="15" customHeight="1" x14ac:dyDescent="0.2">
      <c r="A19" s="300" t="s">
        <v>55</v>
      </c>
      <c r="B19" s="235"/>
      <c r="C19" s="31"/>
      <c r="D19" s="236"/>
      <c r="E19" s="32"/>
      <c r="F19" s="237"/>
      <c r="G19" s="237"/>
      <c r="H19" s="237"/>
      <c r="I19" s="299"/>
      <c r="J19" s="300"/>
      <c r="K19" s="235"/>
      <c r="L19" s="31"/>
      <c r="M19" s="236"/>
      <c r="N19" s="32"/>
      <c r="O19" s="237"/>
      <c r="P19" s="237"/>
    </row>
    <row r="20" spans="1:16" ht="15" customHeight="1" x14ac:dyDescent="0.2">
      <c r="A20" s="300" t="s">
        <v>56</v>
      </c>
      <c r="B20" s="235"/>
      <c r="C20" s="31"/>
      <c r="D20" s="236"/>
      <c r="E20" s="32"/>
      <c r="F20" s="237"/>
      <c r="G20" s="237"/>
      <c r="H20" s="237"/>
      <c r="I20" s="299"/>
      <c r="J20" s="300"/>
      <c r="K20" s="235"/>
      <c r="L20" s="31"/>
      <c r="M20" s="236"/>
      <c r="N20" s="32"/>
      <c r="O20" s="237"/>
      <c r="P20" s="237"/>
    </row>
    <row r="21" spans="1:16" ht="15" customHeight="1" x14ac:dyDescent="0.2">
      <c r="A21" s="300" t="s">
        <v>57</v>
      </c>
      <c r="B21" s="235"/>
      <c r="C21" s="31"/>
      <c r="D21" s="236"/>
      <c r="E21" s="32"/>
      <c r="F21" s="237"/>
      <c r="G21" s="237"/>
      <c r="H21" s="237"/>
      <c r="I21" s="299"/>
      <c r="J21" s="300"/>
      <c r="K21" s="235"/>
      <c r="L21" s="31"/>
      <c r="M21" s="236"/>
      <c r="N21" s="32"/>
      <c r="O21" s="237"/>
      <c r="P21" s="237"/>
    </row>
    <row r="22" spans="1:16" ht="15" customHeight="1" x14ac:dyDescent="0.2">
      <c r="A22" s="301"/>
      <c r="B22" s="235"/>
      <c r="C22" s="31"/>
      <c r="D22" s="236"/>
      <c r="E22" s="32"/>
      <c r="F22" s="237"/>
      <c r="G22" s="237"/>
      <c r="H22" s="237"/>
      <c r="I22" s="302"/>
      <c r="J22" s="301"/>
      <c r="K22" s="235"/>
      <c r="L22" s="31"/>
      <c r="M22" s="236"/>
      <c r="N22" s="32"/>
      <c r="O22" s="237"/>
      <c r="P22" s="237"/>
    </row>
    <row r="23" spans="1:16" ht="15" customHeight="1" x14ac:dyDescent="0.2">
      <c r="A23" s="303" t="s">
        <v>58</v>
      </c>
      <c r="B23" s="235"/>
      <c r="C23" s="31"/>
      <c r="D23" s="236"/>
      <c r="E23" s="32"/>
      <c r="F23" s="237"/>
      <c r="G23" s="237"/>
      <c r="H23" s="237"/>
      <c r="I23" s="299"/>
      <c r="J23" s="303"/>
      <c r="K23" s="235"/>
      <c r="L23" s="31"/>
      <c r="M23" s="236"/>
      <c r="N23" s="32"/>
      <c r="O23" s="237"/>
      <c r="P23" s="237"/>
    </row>
    <row r="24" spans="1:16" ht="15" customHeight="1" x14ac:dyDescent="0.2">
      <c r="A24" s="298"/>
      <c r="B24" s="235"/>
      <c r="C24" s="31"/>
      <c r="D24" s="236"/>
      <c r="E24" s="32"/>
      <c r="F24" s="237"/>
      <c r="G24" s="237"/>
      <c r="H24" s="237"/>
      <c r="I24" s="299"/>
      <c r="J24" s="298"/>
      <c r="K24" s="235"/>
      <c r="L24" s="31"/>
      <c r="M24" s="236"/>
      <c r="N24" s="32"/>
      <c r="O24" s="237"/>
      <c r="P24" s="237"/>
    </row>
    <row r="25" spans="1:16" ht="15" customHeight="1" x14ac:dyDescent="0.2">
      <c r="A25" s="303" t="s">
        <v>59</v>
      </c>
      <c r="B25" s="235"/>
      <c r="C25" s="31"/>
      <c r="D25" s="236"/>
      <c r="E25" s="32"/>
      <c r="F25" s="237"/>
      <c r="G25" s="237"/>
      <c r="H25" s="237"/>
      <c r="I25" s="299"/>
      <c r="J25" s="303"/>
      <c r="K25" s="235"/>
      <c r="L25" s="31"/>
      <c r="M25" s="236"/>
      <c r="N25" s="32"/>
      <c r="O25" s="237"/>
      <c r="P25" s="237"/>
    </row>
    <row r="26" spans="1:16" ht="15" customHeight="1" x14ac:dyDescent="0.2">
      <c r="A26" s="300" t="s">
        <v>60</v>
      </c>
      <c r="B26" s="235"/>
      <c r="C26" s="31"/>
      <c r="D26" s="236"/>
      <c r="E26" s="32"/>
      <c r="F26" s="237"/>
      <c r="G26" s="237"/>
      <c r="H26" s="237"/>
      <c r="I26" s="299"/>
      <c r="J26" s="300"/>
      <c r="K26" s="235"/>
      <c r="L26" s="31"/>
      <c r="M26" s="236"/>
      <c r="N26" s="32"/>
      <c r="O26" s="237"/>
      <c r="P26" s="237"/>
    </row>
    <row r="27" spans="1:16" x14ac:dyDescent="0.2">
      <c r="A27" s="447" t="s">
        <v>61</v>
      </c>
      <c r="B27" s="448"/>
      <c r="C27" s="448"/>
      <c r="D27" s="448"/>
      <c r="E27" s="448"/>
      <c r="F27" s="448"/>
      <c r="G27" s="448"/>
      <c r="H27" s="448"/>
      <c r="I27" s="449"/>
      <c r="J27" s="447"/>
      <c r="K27" s="448"/>
      <c r="L27" s="448"/>
      <c r="M27" s="448"/>
      <c r="N27" s="448"/>
      <c r="O27" s="448"/>
      <c r="P27" s="448"/>
    </row>
    <row r="28" spans="1:16" x14ac:dyDescent="0.2">
      <c r="A28" s="304">
        <v>1</v>
      </c>
      <c r="B28" s="455" t="s">
        <v>62</v>
      </c>
      <c r="C28" s="455"/>
      <c r="D28" s="455"/>
      <c r="E28" s="455"/>
      <c r="F28" s="455"/>
      <c r="G28" s="455"/>
      <c r="H28" s="455"/>
      <c r="I28" s="305" t="str">
        <f>A16</f>
        <v>Controle de pragas</v>
      </c>
      <c r="J28" s="304"/>
      <c r="K28" s="455"/>
      <c r="L28" s="455"/>
      <c r="M28" s="455"/>
      <c r="N28" s="455"/>
      <c r="O28" s="455"/>
      <c r="P28" s="455"/>
    </row>
    <row r="29" spans="1:16" x14ac:dyDescent="0.2">
      <c r="A29" s="292">
        <v>2</v>
      </c>
      <c r="B29" s="445" t="s">
        <v>63</v>
      </c>
      <c r="C29" s="445"/>
      <c r="D29" s="445"/>
      <c r="E29" s="445"/>
      <c r="F29" s="445"/>
      <c r="G29" s="445"/>
      <c r="H29" s="445"/>
      <c r="I29" s="306"/>
      <c r="J29" s="292"/>
      <c r="K29" s="445"/>
      <c r="L29" s="445"/>
      <c r="M29" s="445"/>
      <c r="N29" s="445"/>
      <c r="O29" s="445"/>
      <c r="P29" s="445"/>
    </row>
    <row r="30" spans="1:16" x14ac:dyDescent="0.2">
      <c r="A30" s="292">
        <v>3</v>
      </c>
      <c r="B30" s="446" t="s">
        <v>65</v>
      </c>
      <c r="C30" s="446"/>
      <c r="D30" s="446"/>
      <c r="E30" s="446"/>
      <c r="F30" s="446"/>
      <c r="G30" s="446"/>
      <c r="H30" s="446"/>
      <c r="I30" s="307">
        <v>1824.45</v>
      </c>
      <c r="J30" s="292"/>
      <c r="K30" s="446"/>
      <c r="L30" s="446"/>
      <c r="M30" s="446"/>
      <c r="N30" s="446"/>
      <c r="O30" s="446"/>
      <c r="P30" s="446"/>
    </row>
    <row r="31" spans="1:16" x14ac:dyDescent="0.2">
      <c r="A31" s="304">
        <v>4</v>
      </c>
      <c r="B31" s="455" t="s">
        <v>66</v>
      </c>
      <c r="C31" s="455"/>
      <c r="D31" s="455"/>
      <c r="E31" s="455"/>
      <c r="F31" s="455"/>
      <c r="G31" s="455"/>
      <c r="H31" s="455"/>
      <c r="I31" s="308" t="s">
        <v>226</v>
      </c>
      <c r="J31" s="304"/>
      <c r="K31" s="455"/>
      <c r="L31" s="455"/>
      <c r="M31" s="455"/>
      <c r="N31" s="455"/>
      <c r="O31" s="455"/>
      <c r="P31" s="455"/>
    </row>
    <row r="32" spans="1:16" x14ac:dyDescent="0.2">
      <c r="A32" s="292">
        <v>5</v>
      </c>
      <c r="B32" s="445" t="s">
        <v>69</v>
      </c>
      <c r="C32" s="446"/>
      <c r="D32" s="446"/>
      <c r="E32" s="446"/>
      <c r="F32" s="446"/>
      <c r="G32" s="446"/>
      <c r="H32" s="446"/>
      <c r="I32" s="293">
        <v>45688</v>
      </c>
      <c r="J32" s="292"/>
      <c r="K32" s="445"/>
      <c r="L32" s="446"/>
      <c r="M32" s="446"/>
      <c r="N32" s="446"/>
      <c r="O32" s="446"/>
      <c r="P32" s="446"/>
    </row>
    <row r="33" spans="1:17" x14ac:dyDescent="0.2">
      <c r="A33" s="287"/>
      <c r="B33" s="234"/>
      <c r="C33" s="234"/>
      <c r="D33" s="234"/>
      <c r="E33" s="234"/>
      <c r="F33" s="234"/>
      <c r="G33" s="234"/>
      <c r="H33" s="234"/>
      <c r="I33" s="309"/>
      <c r="J33" s="287"/>
      <c r="K33" s="234"/>
      <c r="L33" s="234"/>
      <c r="M33" s="234"/>
      <c r="N33" s="234"/>
      <c r="O33" s="234"/>
      <c r="P33" s="234"/>
    </row>
    <row r="34" spans="1:17" x14ac:dyDescent="0.2">
      <c r="A34" s="300" t="s">
        <v>70</v>
      </c>
      <c r="B34" s="234"/>
      <c r="C34" s="234"/>
      <c r="D34" s="234"/>
      <c r="E34" s="234"/>
      <c r="F34" s="234"/>
      <c r="G34" s="234"/>
      <c r="H34" s="234"/>
      <c r="I34" s="309"/>
      <c r="J34" s="300"/>
      <c r="K34" s="234"/>
      <c r="L34" s="234"/>
      <c r="M34" s="234"/>
      <c r="N34" s="234"/>
      <c r="O34" s="234"/>
      <c r="P34" s="234"/>
    </row>
    <row r="35" spans="1:17" x14ac:dyDescent="0.2">
      <c r="A35" s="300" t="s">
        <v>71</v>
      </c>
      <c r="B35" s="234"/>
      <c r="C35" s="234"/>
      <c r="D35" s="234"/>
      <c r="E35" s="234"/>
      <c r="F35" s="234"/>
      <c r="G35" s="234"/>
      <c r="H35" s="234"/>
      <c r="I35" s="309"/>
      <c r="J35" s="300"/>
      <c r="K35" s="234"/>
      <c r="L35" s="234"/>
      <c r="M35" s="234"/>
      <c r="N35" s="234"/>
      <c r="O35" s="234"/>
      <c r="P35" s="234"/>
    </row>
    <row r="36" spans="1:17" x14ac:dyDescent="0.2">
      <c r="A36" s="57"/>
      <c r="I36" s="58"/>
      <c r="J36" s="57"/>
    </row>
    <row r="37" spans="1:17" x14ac:dyDescent="0.2">
      <c r="A37" s="460" t="s">
        <v>72</v>
      </c>
      <c r="B37" s="461"/>
      <c r="C37" s="461"/>
      <c r="D37" s="461"/>
      <c r="E37" s="461"/>
      <c r="F37" s="461"/>
      <c r="G37" s="461"/>
      <c r="H37" s="461"/>
      <c r="I37" s="462"/>
      <c r="J37" s="460"/>
      <c r="K37" s="461"/>
      <c r="L37" s="461"/>
      <c r="M37" s="461"/>
      <c r="N37" s="461"/>
      <c r="O37" s="461"/>
      <c r="P37" s="461"/>
    </row>
    <row r="38" spans="1:17" x14ac:dyDescent="0.2">
      <c r="A38" s="296">
        <v>1</v>
      </c>
      <c r="B38" s="457" t="s">
        <v>73</v>
      </c>
      <c r="C38" s="457"/>
      <c r="D38" s="457"/>
      <c r="E38" s="457"/>
      <c r="F38" s="457"/>
      <c r="G38" s="457"/>
      <c r="H38" s="8" t="s">
        <v>74</v>
      </c>
      <c r="I38" s="297" t="s">
        <v>75</v>
      </c>
      <c r="J38" s="296"/>
      <c r="K38" s="457"/>
      <c r="L38" s="457"/>
      <c r="M38" s="457"/>
      <c r="N38" s="457"/>
      <c r="O38" s="457"/>
      <c r="P38" s="457"/>
    </row>
    <row r="39" spans="1:17" x14ac:dyDescent="0.2">
      <c r="A39" s="296" t="s">
        <v>38</v>
      </c>
      <c r="B39" s="445" t="s">
        <v>76</v>
      </c>
      <c r="C39" s="445"/>
      <c r="D39" s="445"/>
      <c r="E39" s="445"/>
      <c r="F39" s="445"/>
      <c r="G39" s="445"/>
      <c r="H39" s="20"/>
      <c r="I39" s="310">
        <f>I30</f>
        <v>1824.45</v>
      </c>
      <c r="J39" s="296"/>
      <c r="K39" s="445"/>
      <c r="L39" s="445"/>
      <c r="M39" s="445"/>
      <c r="N39" s="445"/>
      <c r="O39" s="445"/>
      <c r="P39" s="445"/>
    </row>
    <row r="40" spans="1:17" x14ac:dyDescent="0.2">
      <c r="A40" s="296" t="s">
        <v>40</v>
      </c>
      <c r="B40" s="445" t="s">
        <v>77</v>
      </c>
      <c r="C40" s="445"/>
      <c r="D40" s="445"/>
      <c r="E40" s="445"/>
      <c r="F40" s="445"/>
      <c r="G40" s="445"/>
      <c r="H40" s="2"/>
      <c r="I40" s="310">
        <f>I39*H40</f>
        <v>0</v>
      </c>
      <c r="J40" s="296"/>
      <c r="K40" s="445"/>
      <c r="L40" s="445"/>
      <c r="M40" s="445"/>
      <c r="N40" s="445"/>
      <c r="O40" s="445"/>
      <c r="P40" s="445"/>
      <c r="Q40" s="25"/>
    </row>
    <row r="41" spans="1:17" x14ac:dyDescent="0.2">
      <c r="A41" s="296" t="s">
        <v>43</v>
      </c>
      <c r="B41" s="445" t="s">
        <v>78</v>
      </c>
      <c r="C41" s="445"/>
      <c r="D41" s="445"/>
      <c r="E41" s="445"/>
      <c r="F41" s="445"/>
      <c r="G41" s="445"/>
      <c r="H41" s="2"/>
      <c r="I41" s="310">
        <f>H41*I39</f>
        <v>0</v>
      </c>
      <c r="J41" s="296"/>
      <c r="K41" s="445"/>
      <c r="L41" s="445"/>
      <c r="M41" s="445"/>
      <c r="N41" s="445"/>
      <c r="O41" s="445"/>
      <c r="P41" s="445"/>
    </row>
    <row r="42" spans="1:17" x14ac:dyDescent="0.2">
      <c r="A42" s="296" t="s">
        <v>46</v>
      </c>
      <c r="B42" s="445" t="s">
        <v>79</v>
      </c>
      <c r="C42" s="445"/>
      <c r="D42" s="445"/>
      <c r="E42" s="445"/>
      <c r="F42" s="445"/>
      <c r="G42" s="445"/>
      <c r="H42" s="2"/>
      <c r="I42" s="310">
        <v>0</v>
      </c>
      <c r="J42" s="296"/>
      <c r="K42" s="445"/>
      <c r="L42" s="445"/>
      <c r="M42" s="445"/>
      <c r="N42" s="445"/>
      <c r="O42" s="445"/>
      <c r="P42" s="445"/>
      <c r="Q42" s="25"/>
    </row>
    <row r="43" spans="1:17" x14ac:dyDescent="0.2">
      <c r="A43" s="296" t="s">
        <v>80</v>
      </c>
      <c r="B43" s="445" t="s">
        <v>81</v>
      </c>
      <c r="C43" s="445"/>
      <c r="D43" s="445"/>
      <c r="E43" s="445"/>
      <c r="F43" s="445"/>
      <c r="G43" s="445"/>
      <c r="H43" s="5"/>
      <c r="I43" s="310">
        <v>0</v>
      </c>
      <c r="J43" s="296"/>
      <c r="K43" s="445"/>
      <c r="L43" s="445"/>
      <c r="M43" s="445"/>
      <c r="N43" s="445"/>
      <c r="O43" s="445"/>
      <c r="P43" s="445"/>
      <c r="Q43" s="25"/>
    </row>
    <row r="44" spans="1:17" x14ac:dyDescent="0.2">
      <c r="A44" s="296" t="s">
        <v>82</v>
      </c>
      <c r="B44" s="445" t="s">
        <v>83</v>
      </c>
      <c r="C44" s="445"/>
      <c r="D44" s="445"/>
      <c r="E44" s="445"/>
      <c r="F44" s="445"/>
      <c r="G44" s="445"/>
      <c r="H44" s="2"/>
      <c r="I44" s="310">
        <v>0</v>
      </c>
      <c r="J44" s="296"/>
      <c r="K44" s="445"/>
      <c r="L44" s="445"/>
      <c r="M44" s="445"/>
      <c r="N44" s="445"/>
      <c r="O44" s="445"/>
      <c r="P44" s="445"/>
    </row>
    <row r="45" spans="1:17" x14ac:dyDescent="0.2">
      <c r="A45" s="463" t="s">
        <v>84</v>
      </c>
      <c r="B45" s="448"/>
      <c r="C45" s="448"/>
      <c r="D45" s="448"/>
      <c r="E45" s="448"/>
      <c r="F45" s="448"/>
      <c r="G45" s="448"/>
      <c r="H45" s="448"/>
      <c r="I45" s="311">
        <f>SUM(I39:I44)</f>
        <v>1824.45</v>
      </c>
      <c r="J45" s="463"/>
      <c r="K45" s="448"/>
      <c r="L45" s="448"/>
      <c r="M45" s="448"/>
      <c r="N45" s="448"/>
      <c r="O45" s="448"/>
      <c r="P45" s="448"/>
    </row>
    <row r="46" spans="1:17" s="9" customFormat="1" x14ac:dyDescent="0.2">
      <c r="A46" s="59"/>
      <c r="I46" s="97"/>
      <c r="J46" s="59"/>
    </row>
    <row r="47" spans="1:17" s="9" customFormat="1" x14ac:dyDescent="0.2">
      <c r="A47" s="300" t="s">
        <v>85</v>
      </c>
      <c r="I47" s="97"/>
      <c r="J47" s="300"/>
    </row>
    <row r="48" spans="1:17" s="9" customFormat="1" x14ac:dyDescent="0.2">
      <c r="A48" s="300" t="s">
        <v>86</v>
      </c>
      <c r="I48" s="97"/>
      <c r="J48" s="300"/>
    </row>
    <row r="49" spans="1:16" x14ac:dyDescent="0.2">
      <c r="A49" s="312"/>
      <c r="B49" s="3"/>
      <c r="C49" s="3"/>
      <c r="D49" s="3"/>
      <c r="E49" s="3"/>
      <c r="F49" s="3"/>
      <c r="G49" s="3"/>
      <c r="H49" s="3"/>
      <c r="I49" s="61"/>
      <c r="J49" s="312"/>
      <c r="K49" s="3"/>
      <c r="L49" s="3"/>
      <c r="M49" s="3"/>
      <c r="N49" s="3"/>
      <c r="O49" s="3"/>
      <c r="P49" s="3"/>
    </row>
    <row r="50" spans="1:16" x14ac:dyDescent="0.2">
      <c r="A50" s="460" t="s">
        <v>87</v>
      </c>
      <c r="B50" s="461"/>
      <c r="C50" s="461"/>
      <c r="D50" s="461"/>
      <c r="E50" s="461"/>
      <c r="F50" s="461"/>
      <c r="G50" s="461"/>
      <c r="H50" s="461"/>
      <c r="I50" s="462"/>
      <c r="J50" s="460"/>
      <c r="K50" s="461"/>
      <c r="L50" s="461"/>
      <c r="M50" s="461"/>
      <c r="N50" s="461"/>
      <c r="O50" s="461"/>
      <c r="P50" s="461"/>
    </row>
    <row r="51" spans="1:16" x14ac:dyDescent="0.2">
      <c r="A51" s="313" t="s">
        <v>88</v>
      </c>
      <c r="B51" s="466" t="s">
        <v>89</v>
      </c>
      <c r="C51" s="467"/>
      <c r="D51" s="467"/>
      <c r="E51" s="467"/>
      <c r="F51" s="467"/>
      <c r="G51" s="468"/>
      <c r="H51" s="8" t="s">
        <v>74</v>
      </c>
      <c r="I51" s="297" t="s">
        <v>75</v>
      </c>
      <c r="J51" s="313"/>
      <c r="K51" s="466"/>
      <c r="L51" s="467"/>
      <c r="M51" s="467"/>
      <c r="N51" s="467"/>
      <c r="O51" s="467"/>
      <c r="P51" s="468"/>
    </row>
    <row r="52" spans="1:16" ht="13.5" customHeight="1" x14ac:dyDescent="0.2">
      <c r="A52" s="296" t="s">
        <v>38</v>
      </c>
      <c r="B52" s="445" t="s">
        <v>90</v>
      </c>
      <c r="C52" s="445"/>
      <c r="D52" s="445"/>
      <c r="E52" s="445"/>
      <c r="F52" s="445"/>
      <c r="G52" s="445"/>
      <c r="H52" s="1">
        <f>1/12</f>
        <v>8.3333333333333329E-2</v>
      </c>
      <c r="I52" s="82">
        <f>$I$45*H52</f>
        <v>152.03749999999999</v>
      </c>
      <c r="J52" s="296"/>
      <c r="K52" s="445"/>
      <c r="L52" s="445"/>
      <c r="M52" s="445"/>
      <c r="N52" s="445"/>
      <c r="O52" s="445"/>
      <c r="P52" s="445"/>
    </row>
    <row r="53" spans="1:16" x14ac:dyDescent="0.2">
      <c r="A53" s="296" t="s">
        <v>40</v>
      </c>
      <c r="B53" s="445" t="s">
        <v>91</v>
      </c>
      <c r="C53" s="445"/>
      <c r="D53" s="445"/>
      <c r="E53" s="445"/>
      <c r="F53" s="445"/>
      <c r="G53" s="445"/>
      <c r="H53" s="22">
        <v>0.121</v>
      </c>
      <c r="I53" s="82">
        <f>$I$45*H53</f>
        <v>220.75845000000001</v>
      </c>
      <c r="J53" s="296"/>
      <c r="K53" s="445"/>
      <c r="L53" s="445"/>
      <c r="M53" s="445"/>
      <c r="N53" s="445"/>
      <c r="O53" s="445"/>
      <c r="P53" s="445"/>
    </row>
    <row r="54" spans="1:16" x14ac:dyDescent="0.2">
      <c r="A54" s="447" t="s">
        <v>92</v>
      </c>
      <c r="B54" s="448"/>
      <c r="C54" s="448"/>
      <c r="D54" s="448"/>
      <c r="E54" s="448"/>
      <c r="F54" s="448"/>
      <c r="G54" s="448"/>
      <c r="H54" s="33">
        <f>TRUNC(SUM(H52:H53),4)</f>
        <v>0.20430000000000001</v>
      </c>
      <c r="I54" s="314">
        <f>SUM(I52:I53)</f>
        <v>372.79595</v>
      </c>
      <c r="J54" s="447"/>
      <c r="K54" s="448"/>
      <c r="L54" s="448"/>
      <c r="M54" s="448"/>
      <c r="N54" s="448"/>
      <c r="O54" s="448"/>
      <c r="P54" s="448"/>
    </row>
    <row r="55" spans="1:16" ht="21.95" customHeight="1" x14ac:dyDescent="0.2">
      <c r="A55" s="313" t="s">
        <v>43</v>
      </c>
      <c r="B55" s="465" t="s">
        <v>93</v>
      </c>
      <c r="C55" s="465"/>
      <c r="D55" s="465"/>
      <c r="E55" s="465"/>
      <c r="F55" s="465"/>
      <c r="G55" s="465"/>
      <c r="H55" s="149">
        <f>H54*H75</f>
        <v>7.518240000000001E-2</v>
      </c>
      <c r="I55" s="83">
        <f>$I$45*H55</f>
        <v>137.16652968000002</v>
      </c>
      <c r="J55" s="313"/>
      <c r="K55" s="465"/>
      <c r="L55" s="465"/>
      <c r="M55" s="465"/>
      <c r="N55" s="465"/>
      <c r="O55" s="465"/>
      <c r="P55" s="465"/>
    </row>
    <row r="56" spans="1:16" x14ac:dyDescent="0.2">
      <c r="A56" s="447" t="s">
        <v>94</v>
      </c>
      <c r="B56" s="448"/>
      <c r="C56" s="448"/>
      <c r="D56" s="448"/>
      <c r="E56" s="448"/>
      <c r="F56" s="448"/>
      <c r="G56" s="448"/>
      <c r="H56" s="33">
        <f>TRUNC(SUM(H54:H55),4)</f>
        <v>0.27939999999999998</v>
      </c>
      <c r="I56" s="314">
        <f>SUM(I54:I55)</f>
        <v>509.96247968</v>
      </c>
      <c r="J56" s="447"/>
      <c r="K56" s="448"/>
      <c r="L56" s="448"/>
      <c r="M56" s="448"/>
      <c r="N56" s="448"/>
      <c r="O56" s="448"/>
      <c r="P56" s="448"/>
    </row>
    <row r="57" spans="1:16" x14ac:dyDescent="0.2">
      <c r="A57" s="312"/>
      <c r="B57" s="3"/>
      <c r="C57" s="3"/>
      <c r="D57" s="3"/>
      <c r="E57" s="3"/>
      <c r="F57" s="3"/>
      <c r="G57" s="3"/>
      <c r="H57" s="35"/>
      <c r="I57" s="61"/>
      <c r="J57" s="312"/>
      <c r="K57" s="3"/>
      <c r="L57" s="3"/>
      <c r="M57" s="3"/>
      <c r="N57" s="3"/>
      <c r="O57" s="3"/>
      <c r="P57" s="3"/>
    </row>
    <row r="58" spans="1:16" x14ac:dyDescent="0.2">
      <c r="A58" s="300" t="s">
        <v>95</v>
      </c>
      <c r="B58" s="3"/>
      <c r="C58" s="3"/>
      <c r="D58" s="3"/>
      <c r="E58" s="3"/>
      <c r="F58" s="3"/>
      <c r="G58" s="3"/>
      <c r="H58" s="35"/>
      <c r="I58" s="61"/>
      <c r="J58" s="300"/>
      <c r="K58" s="3"/>
      <c r="L58" s="3"/>
      <c r="M58" s="3"/>
      <c r="N58" s="3"/>
      <c r="O58" s="3"/>
      <c r="P58" s="3"/>
    </row>
    <row r="59" spans="1:16" x14ac:dyDescent="0.2">
      <c r="A59" s="300" t="s">
        <v>96</v>
      </c>
      <c r="B59" s="3"/>
      <c r="C59" s="3"/>
      <c r="D59" s="3"/>
      <c r="E59" s="3"/>
      <c r="F59" s="3"/>
      <c r="G59" s="3"/>
      <c r="H59" s="35"/>
      <c r="I59" s="61"/>
      <c r="J59" s="300"/>
      <c r="K59" s="3"/>
      <c r="L59" s="3"/>
      <c r="M59" s="3"/>
      <c r="N59" s="3"/>
      <c r="O59" s="3"/>
      <c r="P59" s="3"/>
    </row>
    <row r="60" spans="1:16" x14ac:dyDescent="0.2">
      <c r="A60" s="300" t="s">
        <v>97</v>
      </c>
      <c r="B60" s="3"/>
      <c r="C60" s="3"/>
      <c r="D60" s="3"/>
      <c r="E60" s="3"/>
      <c r="F60" s="3"/>
      <c r="G60" s="3"/>
      <c r="H60" s="35"/>
      <c r="I60" s="61"/>
      <c r="J60" s="300"/>
      <c r="K60" s="3"/>
      <c r="L60" s="3"/>
      <c r="M60" s="3"/>
      <c r="N60" s="3"/>
      <c r="O60" s="3"/>
      <c r="P60" s="3"/>
    </row>
    <row r="61" spans="1:16" x14ac:dyDescent="0.2">
      <c r="A61" s="300" t="s">
        <v>98</v>
      </c>
      <c r="B61" s="9"/>
      <c r="C61" s="9"/>
      <c r="D61" s="9"/>
      <c r="E61" s="9"/>
      <c r="F61" s="9"/>
      <c r="G61" s="9"/>
      <c r="H61" s="9"/>
      <c r="I61" s="97"/>
      <c r="J61" s="300"/>
      <c r="K61" s="9"/>
      <c r="L61" s="9"/>
      <c r="M61" s="9"/>
      <c r="N61" s="9"/>
      <c r="O61" s="9"/>
      <c r="P61" s="9"/>
    </row>
    <row r="62" spans="1:16" x14ac:dyDescent="0.2">
      <c r="A62" s="300" t="s">
        <v>99</v>
      </c>
      <c r="B62" s="9"/>
      <c r="C62" s="9"/>
      <c r="D62" s="9"/>
      <c r="E62" s="9"/>
      <c r="F62" s="9"/>
      <c r="G62" s="9"/>
      <c r="H62" s="9"/>
      <c r="I62" s="97"/>
      <c r="J62" s="300"/>
      <c r="K62" s="9"/>
      <c r="L62" s="9"/>
      <c r="M62" s="9"/>
      <c r="N62" s="9"/>
      <c r="O62" s="9"/>
      <c r="P62" s="9"/>
    </row>
    <row r="63" spans="1:16" x14ac:dyDescent="0.2">
      <c r="A63" s="300"/>
      <c r="B63" s="9"/>
      <c r="C63" s="9"/>
      <c r="D63" s="9"/>
      <c r="E63" s="9"/>
      <c r="F63" s="9"/>
      <c r="G63" s="9"/>
      <c r="H63" s="9"/>
      <c r="I63" s="97"/>
      <c r="J63" s="300"/>
      <c r="K63" s="9"/>
      <c r="L63" s="9"/>
      <c r="M63" s="9"/>
      <c r="N63" s="9"/>
      <c r="O63" s="9"/>
      <c r="P63" s="9"/>
    </row>
    <row r="64" spans="1:16" x14ac:dyDescent="0.2">
      <c r="A64" s="300"/>
      <c r="B64" s="9"/>
      <c r="C64" s="9"/>
      <c r="D64" s="9"/>
      <c r="E64" s="9"/>
      <c r="F64" s="9"/>
      <c r="G64" s="9"/>
      <c r="H64" s="9"/>
      <c r="I64" s="97"/>
      <c r="J64" s="300"/>
      <c r="K64" s="9"/>
      <c r="L64" s="9"/>
      <c r="M64" s="9"/>
      <c r="N64" s="9"/>
      <c r="O64" s="9"/>
      <c r="P64" s="9"/>
    </row>
    <row r="65" spans="1:17" x14ac:dyDescent="0.2">
      <c r="A65" s="42"/>
      <c r="B65" s="36"/>
      <c r="C65" s="36"/>
      <c r="D65" s="36"/>
      <c r="E65" s="36"/>
      <c r="F65" s="36"/>
      <c r="G65" s="36"/>
      <c r="H65" s="36"/>
      <c r="I65" s="315"/>
      <c r="J65" s="42"/>
      <c r="K65" s="36"/>
      <c r="L65" s="36"/>
      <c r="M65" s="36"/>
      <c r="N65" s="36"/>
      <c r="O65" s="36"/>
      <c r="P65" s="36"/>
    </row>
    <row r="66" spans="1:17" x14ac:dyDescent="0.2">
      <c r="A66" s="316" t="s">
        <v>100</v>
      </c>
      <c r="B66" s="469" t="s">
        <v>101</v>
      </c>
      <c r="C66" s="470"/>
      <c r="D66" s="470"/>
      <c r="E66" s="470"/>
      <c r="F66" s="470"/>
      <c r="G66" s="471"/>
      <c r="H66" s="26" t="s">
        <v>74</v>
      </c>
      <c r="I66" s="291" t="s">
        <v>75</v>
      </c>
      <c r="J66" s="316"/>
      <c r="K66" s="469"/>
      <c r="L66" s="470"/>
      <c r="M66" s="470"/>
      <c r="N66" s="470"/>
      <c r="O66" s="470"/>
      <c r="P66" s="471"/>
    </row>
    <row r="67" spans="1:17" x14ac:dyDescent="0.2">
      <c r="A67" s="296" t="s">
        <v>38</v>
      </c>
      <c r="B67" s="445" t="s">
        <v>102</v>
      </c>
      <c r="C67" s="445"/>
      <c r="D67" s="445"/>
      <c r="E67" s="445"/>
      <c r="F67" s="445"/>
      <c r="G67" s="445"/>
      <c r="H67" s="1">
        <v>0.2</v>
      </c>
      <c r="I67" s="82">
        <f t="shared" ref="I67:I74" si="0">H67*($I$45)</f>
        <v>364.89000000000004</v>
      </c>
      <c r="J67" s="296"/>
      <c r="K67" s="445"/>
      <c r="L67" s="445"/>
      <c r="M67" s="445"/>
      <c r="N67" s="445"/>
      <c r="O67" s="445"/>
      <c r="P67" s="445"/>
    </row>
    <row r="68" spans="1:17" x14ac:dyDescent="0.2">
      <c r="A68" s="296" t="s">
        <v>40</v>
      </c>
      <c r="B68" s="445" t="s">
        <v>103</v>
      </c>
      <c r="C68" s="445"/>
      <c r="D68" s="445"/>
      <c r="E68" s="445"/>
      <c r="F68" s="445"/>
      <c r="G68" s="445"/>
      <c r="H68" s="1">
        <v>2.5000000000000001E-2</v>
      </c>
      <c r="I68" s="82">
        <f t="shared" si="0"/>
        <v>45.611250000000005</v>
      </c>
      <c r="J68" s="296"/>
      <c r="K68" s="445"/>
      <c r="L68" s="445"/>
      <c r="M68" s="445"/>
      <c r="N68" s="445"/>
      <c r="O68" s="445"/>
      <c r="P68" s="445"/>
    </row>
    <row r="69" spans="1:17" x14ac:dyDescent="0.2">
      <c r="A69" s="296" t="s">
        <v>43</v>
      </c>
      <c r="B69" s="445" t="s">
        <v>104</v>
      </c>
      <c r="C69" s="445"/>
      <c r="D69" s="445"/>
      <c r="E69" s="445"/>
      <c r="F69" s="445"/>
      <c r="G69" s="445"/>
      <c r="H69" s="1">
        <v>0.03</v>
      </c>
      <c r="I69" s="82">
        <f t="shared" si="0"/>
        <v>54.733499999999999</v>
      </c>
      <c r="J69" s="296"/>
      <c r="K69" s="445"/>
      <c r="L69" s="445"/>
      <c r="M69" s="445"/>
      <c r="N69" s="445"/>
      <c r="O69" s="445"/>
      <c r="P69" s="445"/>
      <c r="Q69" s="25"/>
    </row>
    <row r="70" spans="1:17" x14ac:dyDescent="0.2">
      <c r="A70" s="296" t="s">
        <v>46</v>
      </c>
      <c r="B70" s="445" t="s">
        <v>105</v>
      </c>
      <c r="C70" s="445"/>
      <c r="D70" s="445"/>
      <c r="E70" s="445"/>
      <c r="F70" s="445"/>
      <c r="G70" s="445"/>
      <c r="H70" s="1">
        <v>1.4999999999999999E-2</v>
      </c>
      <c r="I70" s="82">
        <f t="shared" si="0"/>
        <v>27.36675</v>
      </c>
      <c r="J70" s="296"/>
      <c r="K70" s="445"/>
      <c r="L70" s="445"/>
      <c r="M70" s="445"/>
      <c r="N70" s="445"/>
      <c r="O70" s="445"/>
      <c r="P70" s="445"/>
    </row>
    <row r="71" spans="1:17" x14ac:dyDescent="0.2">
      <c r="A71" s="296" t="s">
        <v>80</v>
      </c>
      <c r="B71" s="445" t="s">
        <v>106</v>
      </c>
      <c r="C71" s="445"/>
      <c r="D71" s="445"/>
      <c r="E71" s="445"/>
      <c r="F71" s="445"/>
      <c r="G71" s="445"/>
      <c r="H71" s="1">
        <v>0.01</v>
      </c>
      <c r="I71" s="82">
        <f t="shared" si="0"/>
        <v>18.244500000000002</v>
      </c>
      <c r="J71" s="296"/>
      <c r="K71" s="445"/>
      <c r="L71" s="445"/>
      <c r="M71" s="445"/>
      <c r="N71" s="445"/>
      <c r="O71" s="445"/>
      <c r="P71" s="445"/>
    </row>
    <row r="72" spans="1:17" x14ac:dyDescent="0.2">
      <c r="A72" s="296" t="s">
        <v>82</v>
      </c>
      <c r="B72" s="445" t="s">
        <v>107</v>
      </c>
      <c r="C72" s="445"/>
      <c r="D72" s="445"/>
      <c r="E72" s="445"/>
      <c r="F72" s="445"/>
      <c r="G72" s="445"/>
      <c r="H72" s="1">
        <v>6.0000000000000001E-3</v>
      </c>
      <c r="I72" s="82">
        <f t="shared" si="0"/>
        <v>10.9467</v>
      </c>
      <c r="J72" s="296"/>
      <c r="K72" s="445"/>
      <c r="L72" s="445"/>
      <c r="M72" s="445"/>
      <c r="N72" s="445"/>
      <c r="O72" s="445"/>
      <c r="P72" s="445"/>
    </row>
    <row r="73" spans="1:17" x14ac:dyDescent="0.2">
      <c r="A73" s="296" t="s">
        <v>108</v>
      </c>
      <c r="B73" s="445" t="s">
        <v>109</v>
      </c>
      <c r="C73" s="445"/>
      <c r="D73" s="445"/>
      <c r="E73" s="445"/>
      <c r="F73" s="445"/>
      <c r="G73" s="445"/>
      <c r="H73" s="1">
        <v>2E-3</v>
      </c>
      <c r="I73" s="82">
        <f t="shared" si="0"/>
        <v>3.6489000000000003</v>
      </c>
      <c r="J73" s="296"/>
      <c r="K73" s="445"/>
      <c r="L73" s="445"/>
      <c r="M73" s="445"/>
      <c r="N73" s="445"/>
      <c r="O73" s="445"/>
      <c r="P73" s="445"/>
    </row>
    <row r="74" spans="1:17" x14ac:dyDescent="0.2">
      <c r="A74" s="296" t="s">
        <v>110</v>
      </c>
      <c r="B74" s="445" t="s">
        <v>111</v>
      </c>
      <c r="C74" s="445"/>
      <c r="D74" s="445"/>
      <c r="E74" s="445"/>
      <c r="F74" s="445"/>
      <c r="G74" s="445"/>
      <c r="H74" s="1">
        <v>0.08</v>
      </c>
      <c r="I74" s="82">
        <f t="shared" si="0"/>
        <v>145.95600000000002</v>
      </c>
      <c r="J74" s="296"/>
      <c r="K74" s="445"/>
      <c r="L74" s="445"/>
      <c r="M74" s="445"/>
      <c r="N74" s="445"/>
      <c r="O74" s="445"/>
      <c r="P74" s="445"/>
    </row>
    <row r="75" spans="1:17" x14ac:dyDescent="0.2">
      <c r="A75" s="447" t="s">
        <v>11</v>
      </c>
      <c r="B75" s="448"/>
      <c r="C75" s="448"/>
      <c r="D75" s="448"/>
      <c r="E75" s="448"/>
      <c r="F75" s="448"/>
      <c r="G75" s="448"/>
      <c r="H75" s="33">
        <f>SUM(H67:H74)</f>
        <v>0.36800000000000005</v>
      </c>
      <c r="I75" s="314">
        <f>SUM(I67:I74)</f>
        <v>671.39760000000012</v>
      </c>
      <c r="J75" s="447"/>
      <c r="K75" s="448"/>
      <c r="L75" s="448"/>
      <c r="M75" s="448"/>
      <c r="N75" s="448"/>
      <c r="O75" s="448"/>
      <c r="P75" s="448"/>
    </row>
    <row r="76" spans="1:17" x14ac:dyDescent="0.2">
      <c r="A76" s="312"/>
      <c r="B76" s="3"/>
      <c r="C76" s="3"/>
      <c r="D76" s="3"/>
      <c r="E76" s="3"/>
      <c r="F76" s="3"/>
      <c r="G76" s="3"/>
      <c r="H76" s="35"/>
      <c r="I76" s="61"/>
      <c r="J76" s="312"/>
      <c r="K76" s="3"/>
      <c r="L76" s="3"/>
      <c r="M76" s="3"/>
      <c r="N76" s="3"/>
      <c r="O76" s="3"/>
      <c r="P76" s="3"/>
    </row>
    <row r="77" spans="1:17" x14ac:dyDescent="0.2">
      <c r="A77" s="300" t="s">
        <v>112</v>
      </c>
      <c r="B77" s="3"/>
      <c r="C77" s="3"/>
      <c r="D77" s="3"/>
      <c r="E77" s="3"/>
      <c r="F77" s="3"/>
      <c r="G77" s="3"/>
      <c r="H77" s="35"/>
      <c r="I77" s="61"/>
      <c r="J77" s="300"/>
      <c r="K77" s="3"/>
      <c r="L77" s="3"/>
      <c r="M77" s="3"/>
      <c r="N77" s="3"/>
      <c r="O77" s="3"/>
      <c r="P77" s="3"/>
    </row>
    <row r="78" spans="1:17" x14ac:dyDescent="0.2">
      <c r="A78" s="300" t="s">
        <v>113</v>
      </c>
      <c r="B78" s="3"/>
      <c r="C78" s="3"/>
      <c r="D78" s="3"/>
      <c r="E78" s="3"/>
      <c r="F78" s="3"/>
      <c r="G78" s="3"/>
      <c r="H78" s="35"/>
      <c r="I78" s="61"/>
      <c r="J78" s="300"/>
      <c r="K78" s="3"/>
      <c r="L78" s="3"/>
      <c r="M78" s="3"/>
      <c r="N78" s="3"/>
      <c r="O78" s="3"/>
      <c r="P78" s="3"/>
    </row>
    <row r="79" spans="1:17" x14ac:dyDescent="0.2">
      <c r="A79" s="300" t="s">
        <v>114</v>
      </c>
      <c r="B79" s="3"/>
      <c r="C79" s="3"/>
      <c r="D79" s="3"/>
      <c r="E79" s="3"/>
      <c r="F79" s="3"/>
      <c r="G79" s="3"/>
      <c r="H79" s="35"/>
      <c r="I79" s="61"/>
      <c r="J79" s="300"/>
      <c r="K79" s="3"/>
      <c r="L79" s="3"/>
      <c r="M79" s="3"/>
      <c r="N79" s="3"/>
      <c r="O79" s="3"/>
      <c r="P79" s="3"/>
    </row>
    <row r="80" spans="1:17" x14ac:dyDescent="0.2">
      <c r="A80" s="300" t="s">
        <v>115</v>
      </c>
      <c r="B80" s="3"/>
      <c r="C80" s="3"/>
      <c r="D80" s="3"/>
      <c r="E80" s="3"/>
      <c r="F80" s="3"/>
      <c r="G80" s="3"/>
      <c r="H80" s="35"/>
      <c r="I80" s="61"/>
      <c r="J80" s="300"/>
      <c r="K80" s="3"/>
      <c r="L80" s="3"/>
      <c r="M80" s="3"/>
      <c r="N80" s="3"/>
      <c r="O80" s="3"/>
      <c r="P80" s="3"/>
    </row>
    <row r="81" spans="1:16" x14ac:dyDescent="0.2">
      <c r="A81" s="300" t="s">
        <v>116</v>
      </c>
      <c r="B81" s="3"/>
      <c r="C81" s="3"/>
      <c r="D81" s="3"/>
      <c r="E81" s="3"/>
      <c r="F81" s="3"/>
      <c r="G81" s="3"/>
      <c r="H81" s="35"/>
      <c r="I81" s="61"/>
      <c r="J81" s="300"/>
      <c r="K81" s="3"/>
      <c r="L81" s="3"/>
      <c r="M81" s="3"/>
      <c r="N81" s="3"/>
      <c r="O81" s="3"/>
      <c r="P81" s="3"/>
    </row>
    <row r="82" spans="1:16" x14ac:dyDescent="0.2">
      <c r="A82" s="59"/>
      <c r="B82" s="9"/>
      <c r="C82" s="9"/>
      <c r="D82" s="9"/>
      <c r="E82" s="9"/>
      <c r="F82" s="9"/>
      <c r="G82" s="9"/>
      <c r="H82" s="9"/>
      <c r="I82" s="97"/>
      <c r="J82" s="59"/>
      <c r="K82" s="9"/>
      <c r="L82" s="9"/>
      <c r="M82" s="9"/>
      <c r="N82" s="9"/>
      <c r="O82" s="9"/>
      <c r="P82" s="9"/>
    </row>
    <row r="83" spans="1:16" x14ac:dyDescent="0.2">
      <c r="A83" s="316" t="s">
        <v>117</v>
      </c>
      <c r="B83" s="472" t="s">
        <v>118</v>
      </c>
      <c r="C83" s="473"/>
      <c r="D83" s="473"/>
      <c r="E83" s="473"/>
      <c r="F83" s="473"/>
      <c r="G83" s="474"/>
      <c r="H83" s="33"/>
      <c r="I83" s="291" t="s">
        <v>75</v>
      </c>
      <c r="J83" s="316"/>
      <c r="K83" s="472"/>
      <c r="L83" s="473"/>
      <c r="M83" s="473"/>
      <c r="N83" s="473"/>
      <c r="O83" s="473"/>
      <c r="P83" s="474"/>
    </row>
    <row r="84" spans="1:16" ht="14.1" customHeight="1" x14ac:dyDescent="0.2">
      <c r="A84" s="296" t="s">
        <v>38</v>
      </c>
      <c r="B84" s="475" t="s">
        <v>119</v>
      </c>
      <c r="C84" s="475"/>
      <c r="D84" s="475"/>
      <c r="E84" s="475"/>
      <c r="F84" s="475"/>
      <c r="G84" s="475"/>
      <c r="H84" s="21" t="s">
        <v>120</v>
      </c>
      <c r="I84" s="317">
        <f>'Mód2.3 '!E12</f>
        <v>106.13300000000002</v>
      </c>
      <c r="J84" s="296"/>
      <c r="K84" s="475"/>
      <c r="L84" s="475"/>
      <c r="M84" s="475"/>
      <c r="N84" s="475"/>
      <c r="O84" s="475"/>
      <c r="P84" s="475"/>
    </row>
    <row r="85" spans="1:16" x14ac:dyDescent="0.2">
      <c r="A85" s="296" t="s">
        <v>40</v>
      </c>
      <c r="B85" s="475" t="s">
        <v>121</v>
      </c>
      <c r="C85" s="475"/>
      <c r="D85" s="475"/>
      <c r="E85" s="475"/>
      <c r="F85" s="475"/>
      <c r="G85" s="475"/>
      <c r="H85" s="21" t="s">
        <v>120</v>
      </c>
      <c r="I85" s="317">
        <f>'Mód2.3 '!E25</f>
        <v>482.34559999999999</v>
      </c>
      <c r="J85" s="296"/>
      <c r="K85" s="475"/>
      <c r="L85" s="475"/>
      <c r="M85" s="475"/>
      <c r="N85" s="475"/>
      <c r="O85" s="475"/>
      <c r="P85" s="475"/>
    </row>
    <row r="86" spans="1:16" x14ac:dyDescent="0.2">
      <c r="A86" s="296" t="s">
        <v>43</v>
      </c>
      <c r="B86" s="475" t="s">
        <v>122</v>
      </c>
      <c r="C86" s="475"/>
      <c r="D86" s="475"/>
      <c r="E86" s="475"/>
      <c r="F86" s="475"/>
      <c r="G86" s="475"/>
      <c r="H86" s="21" t="s">
        <v>120</v>
      </c>
      <c r="I86" s="317">
        <f>'Mód2.3 '!E33</f>
        <v>0</v>
      </c>
      <c r="J86" s="296"/>
      <c r="K86" s="475"/>
      <c r="L86" s="475"/>
      <c r="M86" s="475"/>
      <c r="N86" s="475"/>
      <c r="O86" s="475"/>
      <c r="P86" s="475"/>
    </row>
    <row r="87" spans="1:16" ht="15" customHeight="1" x14ac:dyDescent="0.2">
      <c r="A87" s="313" t="s">
        <v>46</v>
      </c>
      <c r="B87" s="476" t="s">
        <v>123</v>
      </c>
      <c r="C87" s="475"/>
      <c r="D87" s="475"/>
      <c r="E87" s="475"/>
      <c r="F87" s="475"/>
      <c r="G87" s="475"/>
      <c r="H87" s="28" t="s">
        <v>120</v>
      </c>
      <c r="I87" s="318">
        <f>'Mód2.3 '!E42</f>
        <v>115.33</v>
      </c>
      <c r="J87" s="313"/>
      <c r="K87" s="477"/>
      <c r="L87" s="477"/>
      <c r="M87" s="477"/>
      <c r="N87" s="477"/>
      <c r="O87" s="477"/>
      <c r="P87" s="477"/>
    </row>
    <row r="88" spans="1:16" x14ac:dyDescent="0.2">
      <c r="A88" s="296" t="s">
        <v>80</v>
      </c>
      <c r="B88" s="475" t="s">
        <v>127</v>
      </c>
      <c r="C88" s="475"/>
      <c r="D88" s="475"/>
      <c r="E88" s="475"/>
      <c r="F88" s="475"/>
      <c r="G88" s="475"/>
      <c r="H88" s="21" t="s">
        <v>120</v>
      </c>
      <c r="I88" s="317">
        <f>'Mód2.3 '!E52</f>
        <v>0</v>
      </c>
      <c r="J88" s="296"/>
      <c r="K88" s="475"/>
      <c r="L88" s="475"/>
      <c r="M88" s="475"/>
      <c r="N88" s="475"/>
      <c r="O88" s="475"/>
      <c r="P88" s="475"/>
    </row>
    <row r="89" spans="1:16" x14ac:dyDescent="0.2">
      <c r="A89" s="296"/>
      <c r="B89" s="476"/>
      <c r="C89" s="475"/>
      <c r="D89" s="475"/>
      <c r="E89" s="475"/>
      <c r="F89" s="475"/>
      <c r="G89" s="475"/>
      <c r="H89" s="21"/>
      <c r="I89" s="317"/>
      <c r="J89" s="296"/>
      <c r="K89" s="475"/>
      <c r="L89" s="475"/>
      <c r="M89" s="475"/>
      <c r="N89" s="475"/>
      <c r="O89" s="475"/>
      <c r="P89" s="475"/>
    </row>
    <row r="90" spans="1:16" x14ac:dyDescent="0.2">
      <c r="A90" s="447" t="s">
        <v>129</v>
      </c>
      <c r="B90" s="448"/>
      <c r="C90" s="448"/>
      <c r="D90" s="448"/>
      <c r="E90" s="448"/>
      <c r="F90" s="448"/>
      <c r="G90" s="448"/>
      <c r="H90" s="448"/>
      <c r="I90" s="314">
        <f>SUM(I84:I89)</f>
        <v>703.80860000000007</v>
      </c>
      <c r="J90" s="447"/>
      <c r="K90" s="448"/>
      <c r="L90" s="448"/>
      <c r="M90" s="448"/>
      <c r="N90" s="448"/>
      <c r="O90" s="448"/>
      <c r="P90" s="448"/>
    </row>
    <row r="91" spans="1:16" x14ac:dyDescent="0.2">
      <c r="A91" s="312"/>
      <c r="B91" s="3"/>
      <c r="C91" s="3"/>
      <c r="D91" s="3"/>
      <c r="E91" s="3"/>
      <c r="F91" s="3"/>
      <c r="G91" s="3"/>
      <c r="H91" s="3"/>
      <c r="I91" s="61"/>
      <c r="J91" s="312"/>
      <c r="K91" s="3"/>
      <c r="L91" s="3"/>
      <c r="M91" s="3"/>
      <c r="N91" s="3"/>
      <c r="O91" s="3"/>
      <c r="P91" s="3"/>
    </row>
    <row r="92" spans="1:16" x14ac:dyDescent="0.2">
      <c r="A92" s="300" t="s">
        <v>130</v>
      </c>
      <c r="B92" s="3"/>
      <c r="C92" s="3"/>
      <c r="D92" s="3"/>
      <c r="E92" s="3"/>
      <c r="F92" s="3"/>
      <c r="G92" s="3"/>
      <c r="H92" s="3"/>
      <c r="I92" s="61"/>
      <c r="J92" s="300"/>
      <c r="K92" s="3"/>
      <c r="L92" s="3"/>
      <c r="M92" s="3"/>
      <c r="N92" s="3"/>
      <c r="O92" s="3"/>
      <c r="P92" s="3"/>
    </row>
    <row r="93" spans="1:16" x14ac:dyDescent="0.2">
      <c r="A93" s="300" t="s">
        <v>131</v>
      </c>
      <c r="B93" s="3"/>
      <c r="C93" s="3"/>
      <c r="D93" s="3"/>
      <c r="E93" s="3"/>
      <c r="F93" s="3"/>
      <c r="G93" s="3"/>
      <c r="H93" s="3"/>
      <c r="I93" s="61"/>
      <c r="J93" s="300"/>
      <c r="K93" s="3"/>
      <c r="L93" s="3"/>
      <c r="M93" s="3"/>
      <c r="N93" s="3"/>
      <c r="O93" s="3"/>
      <c r="P93" s="3"/>
    </row>
    <row r="94" spans="1:16" x14ac:dyDescent="0.2">
      <c r="A94" s="300" t="s">
        <v>132</v>
      </c>
      <c r="B94" s="3"/>
      <c r="C94" s="3"/>
      <c r="D94" s="3"/>
      <c r="E94" s="3"/>
      <c r="F94" s="3"/>
      <c r="G94" s="3"/>
      <c r="H94" s="3"/>
      <c r="I94" s="61"/>
      <c r="J94" s="300"/>
      <c r="K94" s="3"/>
      <c r="L94" s="3"/>
      <c r="M94" s="3"/>
      <c r="N94" s="3"/>
      <c r="O94" s="3"/>
      <c r="P94" s="3"/>
    </row>
    <row r="95" spans="1:16" x14ac:dyDescent="0.2">
      <c r="A95" s="300" t="s">
        <v>133</v>
      </c>
      <c r="B95" s="3"/>
      <c r="C95" s="3"/>
      <c r="D95" s="3"/>
      <c r="E95" s="3"/>
      <c r="F95" s="3"/>
      <c r="G95" s="3"/>
      <c r="H95" s="3"/>
      <c r="I95" s="61"/>
      <c r="J95" s="300"/>
      <c r="K95" s="3"/>
      <c r="L95" s="3"/>
      <c r="M95" s="3"/>
      <c r="N95" s="3"/>
      <c r="O95" s="3"/>
      <c r="P95" s="3"/>
    </row>
    <row r="96" spans="1:16" x14ac:dyDescent="0.2">
      <c r="A96" s="59"/>
      <c r="B96" s="9"/>
      <c r="C96" s="9"/>
      <c r="D96" s="9"/>
      <c r="E96" s="9"/>
      <c r="F96" s="9"/>
      <c r="G96" s="9"/>
      <c r="H96" s="9"/>
      <c r="I96" s="97"/>
      <c r="J96" s="59"/>
      <c r="K96" s="9"/>
      <c r="L96" s="9"/>
      <c r="M96" s="9"/>
      <c r="N96" s="9"/>
      <c r="O96" s="9"/>
      <c r="P96" s="9"/>
    </row>
    <row r="97" spans="1:16" x14ac:dyDescent="0.2">
      <c r="A97" s="316">
        <v>2</v>
      </c>
      <c r="B97" s="39" t="s">
        <v>134</v>
      </c>
      <c r="C97" s="39"/>
      <c r="D97" s="39"/>
      <c r="E97" s="39"/>
      <c r="F97" s="39"/>
      <c r="G97" s="39"/>
      <c r="H97" s="39"/>
      <c r="I97" s="319"/>
      <c r="J97" s="316"/>
      <c r="K97" s="39"/>
      <c r="L97" s="39"/>
      <c r="M97" s="39"/>
      <c r="N97" s="39"/>
      <c r="O97" s="39"/>
      <c r="P97" s="39"/>
    </row>
    <row r="98" spans="1:16" x14ac:dyDescent="0.2">
      <c r="A98" s="456" t="s">
        <v>135</v>
      </c>
      <c r="B98" s="457"/>
      <c r="C98" s="457"/>
      <c r="D98" s="457"/>
      <c r="E98" s="457"/>
      <c r="F98" s="457"/>
      <c r="G98" s="457"/>
      <c r="H98" s="457"/>
      <c r="I98" s="297" t="s">
        <v>75</v>
      </c>
      <c r="J98" s="456"/>
      <c r="K98" s="457"/>
      <c r="L98" s="457"/>
      <c r="M98" s="457"/>
      <c r="N98" s="457"/>
      <c r="O98" s="457"/>
      <c r="P98" s="457"/>
    </row>
    <row r="99" spans="1:16" x14ac:dyDescent="0.2">
      <c r="A99" s="296" t="s">
        <v>88</v>
      </c>
      <c r="B99" s="464" t="s">
        <v>136</v>
      </c>
      <c r="C99" s="464"/>
      <c r="D99" s="464"/>
      <c r="E99" s="464"/>
      <c r="F99" s="464"/>
      <c r="G99" s="464"/>
      <c r="H99" s="464"/>
      <c r="I99" s="82">
        <f>I56</f>
        <v>509.96247968</v>
      </c>
      <c r="J99" s="296"/>
      <c r="K99" s="464"/>
      <c r="L99" s="464"/>
      <c r="M99" s="464"/>
      <c r="N99" s="464"/>
      <c r="O99" s="464"/>
      <c r="P99" s="464"/>
    </row>
    <row r="100" spans="1:16" x14ac:dyDescent="0.2">
      <c r="A100" s="296" t="s">
        <v>100</v>
      </c>
      <c r="B100" s="464" t="s">
        <v>137</v>
      </c>
      <c r="C100" s="464"/>
      <c r="D100" s="464"/>
      <c r="E100" s="464"/>
      <c r="F100" s="464"/>
      <c r="G100" s="464"/>
      <c r="H100" s="464"/>
      <c r="I100" s="82">
        <f>I75</f>
        <v>671.39760000000012</v>
      </c>
      <c r="J100" s="296"/>
      <c r="K100" s="464"/>
      <c r="L100" s="464"/>
      <c r="M100" s="464"/>
      <c r="N100" s="464"/>
      <c r="O100" s="464"/>
      <c r="P100" s="464"/>
    </row>
    <row r="101" spans="1:16" x14ac:dyDescent="0.2">
      <c r="A101" s="296" t="s">
        <v>117</v>
      </c>
      <c r="B101" s="464" t="s">
        <v>138</v>
      </c>
      <c r="C101" s="464"/>
      <c r="D101" s="464"/>
      <c r="E101" s="464"/>
      <c r="F101" s="464"/>
      <c r="G101" s="464"/>
      <c r="H101" s="464"/>
      <c r="I101" s="82">
        <f>I90</f>
        <v>703.80860000000007</v>
      </c>
      <c r="J101" s="296"/>
      <c r="K101" s="464"/>
      <c r="L101" s="464"/>
      <c r="M101" s="464"/>
      <c r="N101" s="464"/>
      <c r="O101" s="464"/>
      <c r="P101" s="464"/>
    </row>
    <row r="102" spans="1:16" x14ac:dyDescent="0.2">
      <c r="A102" s="463" t="s">
        <v>139</v>
      </c>
      <c r="B102" s="478"/>
      <c r="C102" s="478"/>
      <c r="D102" s="478"/>
      <c r="E102" s="478"/>
      <c r="F102" s="478"/>
      <c r="G102" s="478"/>
      <c r="H102" s="478"/>
      <c r="I102" s="320">
        <f>SUM(I99:I101)</f>
        <v>1885.1686796800002</v>
      </c>
      <c r="J102" s="463"/>
      <c r="K102" s="478"/>
      <c r="L102" s="478"/>
      <c r="M102" s="478"/>
      <c r="N102" s="478"/>
      <c r="O102" s="478"/>
      <c r="P102" s="478"/>
    </row>
    <row r="103" spans="1:16" x14ac:dyDescent="0.2">
      <c r="A103" s="479"/>
      <c r="B103" s="480"/>
      <c r="C103" s="480"/>
      <c r="D103" s="480"/>
      <c r="E103" s="480"/>
      <c r="F103" s="480"/>
      <c r="G103" s="480"/>
      <c r="H103" s="480"/>
      <c r="I103" s="481"/>
      <c r="J103" s="479"/>
      <c r="K103" s="480"/>
      <c r="L103" s="480"/>
      <c r="M103" s="480"/>
      <c r="N103" s="480"/>
      <c r="O103" s="480"/>
      <c r="P103" s="480"/>
    </row>
    <row r="104" spans="1:16" ht="13.5" customHeight="1" x14ac:dyDescent="0.2">
      <c r="A104" s="460" t="s">
        <v>140</v>
      </c>
      <c r="B104" s="461"/>
      <c r="C104" s="461"/>
      <c r="D104" s="461"/>
      <c r="E104" s="461"/>
      <c r="F104" s="461"/>
      <c r="G104" s="461"/>
      <c r="H104" s="461"/>
      <c r="I104" s="462"/>
      <c r="J104" s="460"/>
      <c r="K104" s="461"/>
      <c r="L104" s="461"/>
      <c r="M104" s="461"/>
      <c r="N104" s="461"/>
      <c r="O104" s="461"/>
      <c r="P104" s="461"/>
    </row>
    <row r="105" spans="1:16" ht="14.1" customHeight="1" x14ac:dyDescent="0.2">
      <c r="A105" s="296">
        <v>3</v>
      </c>
      <c r="B105" s="457" t="s">
        <v>141</v>
      </c>
      <c r="C105" s="457"/>
      <c r="D105" s="457"/>
      <c r="E105" s="457"/>
      <c r="F105" s="457"/>
      <c r="G105" s="457"/>
      <c r="H105" s="8" t="s">
        <v>74</v>
      </c>
      <c r="I105" s="297" t="s">
        <v>75</v>
      </c>
      <c r="J105" s="296"/>
      <c r="K105" s="457"/>
      <c r="L105" s="457"/>
      <c r="M105" s="457"/>
      <c r="N105" s="457"/>
      <c r="O105" s="457"/>
      <c r="P105" s="457"/>
    </row>
    <row r="106" spans="1:16" x14ac:dyDescent="0.2">
      <c r="A106" s="296" t="s">
        <v>38</v>
      </c>
      <c r="B106" s="445" t="s">
        <v>142</v>
      </c>
      <c r="C106" s="445"/>
      <c r="D106" s="445"/>
      <c r="E106" s="445"/>
      <c r="F106" s="445"/>
      <c r="G106" s="445"/>
      <c r="H106" s="1">
        <v>4.1999999999999997E-3</v>
      </c>
      <c r="I106" s="82">
        <f>H106*I45</f>
        <v>7.6626899999999996</v>
      </c>
      <c r="J106" s="296"/>
      <c r="K106" s="445"/>
      <c r="L106" s="445"/>
      <c r="M106" s="445"/>
      <c r="N106" s="445"/>
      <c r="O106" s="445"/>
      <c r="P106" s="445"/>
    </row>
    <row r="107" spans="1:16" x14ac:dyDescent="0.2">
      <c r="A107" s="313" t="s">
        <v>40</v>
      </c>
      <c r="B107" s="465" t="s">
        <v>143</v>
      </c>
      <c r="C107" s="465"/>
      <c r="D107" s="465"/>
      <c r="E107" s="465"/>
      <c r="F107" s="465"/>
      <c r="G107" s="465"/>
      <c r="H107" s="149">
        <f>H74</f>
        <v>0.08</v>
      </c>
      <c r="I107" s="83">
        <f>I106*H107</f>
        <v>0.61301519999999998</v>
      </c>
      <c r="J107" s="313"/>
      <c r="K107" s="465"/>
      <c r="L107" s="465"/>
      <c r="M107" s="465"/>
      <c r="N107" s="465"/>
      <c r="O107" s="465"/>
      <c r="P107" s="465"/>
    </row>
    <row r="108" spans="1:16" ht="24.75" customHeight="1" x14ac:dyDescent="0.2">
      <c r="A108" s="313" t="s">
        <v>43</v>
      </c>
      <c r="B108" s="465" t="s">
        <v>144</v>
      </c>
      <c r="C108" s="465"/>
      <c r="D108" s="465"/>
      <c r="E108" s="465"/>
      <c r="F108" s="465"/>
      <c r="G108" s="465"/>
      <c r="H108" s="149">
        <v>2E-3</v>
      </c>
      <c r="I108" s="83">
        <f>H108*I45</f>
        <v>3.6489000000000003</v>
      </c>
      <c r="J108" s="313"/>
      <c r="K108" s="465"/>
      <c r="L108" s="465"/>
      <c r="M108" s="465"/>
      <c r="N108" s="465"/>
      <c r="O108" s="465"/>
      <c r="P108" s="465"/>
    </row>
    <row r="109" spans="1:16" x14ac:dyDescent="0.2">
      <c r="A109" s="296" t="s">
        <v>46</v>
      </c>
      <c r="B109" s="445" t="s">
        <v>145</v>
      </c>
      <c r="C109" s="445"/>
      <c r="D109" s="445"/>
      <c r="E109" s="445"/>
      <c r="F109" s="445"/>
      <c r="G109" s="445"/>
      <c r="H109" s="1">
        <v>1.9400000000000001E-2</v>
      </c>
      <c r="I109" s="82">
        <f>H109*I45</f>
        <v>35.394330000000004</v>
      </c>
      <c r="J109" s="296"/>
      <c r="K109" s="445"/>
      <c r="L109" s="445"/>
      <c r="M109" s="445"/>
      <c r="N109" s="445"/>
      <c r="O109" s="445"/>
      <c r="P109" s="445"/>
    </row>
    <row r="110" spans="1:16" x14ac:dyDescent="0.2">
      <c r="A110" s="296" t="s">
        <v>80</v>
      </c>
      <c r="B110" s="485" t="s">
        <v>146</v>
      </c>
      <c r="C110" s="485"/>
      <c r="D110" s="485"/>
      <c r="E110" s="485"/>
      <c r="F110" s="485"/>
      <c r="G110" s="485"/>
      <c r="H110" s="22">
        <f>H75</f>
        <v>0.36800000000000005</v>
      </c>
      <c r="I110" s="82">
        <f>I109*H110</f>
        <v>13.025113440000004</v>
      </c>
      <c r="J110" s="296"/>
      <c r="K110" s="485"/>
      <c r="L110" s="485"/>
      <c r="M110" s="485"/>
      <c r="N110" s="485"/>
      <c r="O110" s="485"/>
      <c r="P110" s="485"/>
    </row>
    <row r="111" spans="1:16" ht="25.5" customHeight="1" x14ac:dyDescent="0.2">
      <c r="A111" s="313" t="s">
        <v>82</v>
      </c>
      <c r="B111" s="465" t="s">
        <v>147</v>
      </c>
      <c r="C111" s="465"/>
      <c r="D111" s="465"/>
      <c r="E111" s="465"/>
      <c r="F111" s="465"/>
      <c r="G111" s="465"/>
      <c r="H111" s="149">
        <v>3.7999999999999999E-2</v>
      </c>
      <c r="I111" s="83">
        <f>H111*I45</f>
        <v>69.329099999999997</v>
      </c>
      <c r="J111" s="313"/>
      <c r="K111" s="465"/>
      <c r="L111" s="465"/>
      <c r="M111" s="465"/>
      <c r="N111" s="465"/>
      <c r="O111" s="465"/>
      <c r="P111" s="465"/>
    </row>
    <row r="112" spans="1:16" x14ac:dyDescent="0.2">
      <c r="A112" s="463" t="s">
        <v>148</v>
      </c>
      <c r="B112" s="478"/>
      <c r="C112" s="478"/>
      <c r="D112" s="478"/>
      <c r="E112" s="478"/>
      <c r="F112" s="478"/>
      <c r="G112" s="478"/>
      <c r="H112" s="33"/>
      <c r="I112" s="320">
        <f>SUM(I106:I111)</f>
        <v>129.67314863999999</v>
      </c>
      <c r="J112" s="463"/>
      <c r="K112" s="478"/>
      <c r="L112" s="478"/>
      <c r="M112" s="478"/>
      <c r="N112" s="478"/>
      <c r="O112" s="478"/>
      <c r="P112" s="478"/>
    </row>
    <row r="113" spans="1:17" x14ac:dyDescent="0.2">
      <c r="A113" s="482"/>
      <c r="B113" s="483"/>
      <c r="C113" s="483"/>
      <c r="D113" s="483"/>
      <c r="E113" s="483"/>
      <c r="F113" s="483"/>
      <c r="G113" s="483"/>
      <c r="H113" s="483"/>
      <c r="I113" s="484"/>
      <c r="J113" s="482"/>
      <c r="K113" s="483"/>
      <c r="L113" s="483"/>
      <c r="M113" s="483"/>
      <c r="N113" s="483"/>
      <c r="O113" s="483"/>
      <c r="P113" s="483"/>
    </row>
    <row r="114" spans="1:17" x14ac:dyDescent="0.2">
      <c r="A114" s="460" t="s">
        <v>149</v>
      </c>
      <c r="B114" s="461"/>
      <c r="C114" s="461"/>
      <c r="D114" s="461"/>
      <c r="E114" s="461"/>
      <c r="F114" s="461"/>
      <c r="G114" s="461"/>
      <c r="H114" s="461"/>
      <c r="I114" s="462"/>
      <c r="J114" s="460"/>
      <c r="K114" s="461"/>
      <c r="L114" s="461"/>
      <c r="M114" s="461"/>
      <c r="N114" s="461"/>
      <c r="O114" s="461"/>
      <c r="P114" s="461"/>
    </row>
    <row r="115" spans="1:17" x14ac:dyDescent="0.2">
      <c r="A115" s="312"/>
      <c r="B115" s="3"/>
      <c r="C115" s="3"/>
      <c r="D115" s="3"/>
      <c r="E115" s="3"/>
      <c r="F115" s="3"/>
      <c r="G115" s="3"/>
      <c r="H115" s="3"/>
      <c r="I115" s="321"/>
      <c r="J115" s="312"/>
      <c r="K115" s="3"/>
      <c r="L115" s="3"/>
      <c r="M115" s="3"/>
      <c r="N115" s="3"/>
      <c r="O115" s="3"/>
      <c r="P115" s="3"/>
    </row>
    <row r="116" spans="1:17" x14ac:dyDescent="0.2">
      <c r="A116" s="300" t="s">
        <v>150</v>
      </c>
      <c r="B116" s="3"/>
      <c r="C116" s="3"/>
      <c r="D116" s="3"/>
      <c r="E116" s="3"/>
      <c r="F116" s="3"/>
      <c r="G116" s="3"/>
      <c r="H116" s="3"/>
      <c r="I116" s="321"/>
      <c r="J116" s="300"/>
      <c r="K116" s="3"/>
      <c r="L116" s="3"/>
      <c r="M116" s="3"/>
      <c r="N116" s="3"/>
      <c r="O116" s="3"/>
      <c r="P116" s="3"/>
    </row>
    <row r="117" spans="1:17" x14ac:dyDescent="0.2">
      <c r="A117" s="300" t="s">
        <v>151</v>
      </c>
      <c r="B117" s="3"/>
      <c r="C117" s="3"/>
      <c r="D117" s="3"/>
      <c r="E117" s="3"/>
      <c r="F117" s="3"/>
      <c r="G117" s="3"/>
      <c r="H117" s="3"/>
      <c r="I117" s="321"/>
      <c r="J117" s="300"/>
      <c r="K117" s="3"/>
      <c r="L117" s="3"/>
      <c r="M117" s="3"/>
      <c r="N117" s="3"/>
      <c r="O117" s="3"/>
      <c r="P117" s="3"/>
    </row>
    <row r="118" spans="1:17" x14ac:dyDescent="0.2">
      <c r="A118" s="312"/>
      <c r="B118" s="3"/>
      <c r="C118" s="3"/>
      <c r="D118" s="3"/>
      <c r="E118" s="3"/>
      <c r="F118" s="3"/>
      <c r="G118" s="3"/>
      <c r="H118" s="3"/>
      <c r="I118" s="321"/>
      <c r="J118" s="312"/>
      <c r="K118" s="3"/>
      <c r="L118" s="3"/>
      <c r="M118" s="3"/>
      <c r="N118" s="3"/>
      <c r="O118" s="3"/>
      <c r="P118" s="3"/>
    </row>
    <row r="119" spans="1:17" x14ac:dyDescent="0.2">
      <c r="A119" s="316" t="s">
        <v>152</v>
      </c>
      <c r="B119" s="448" t="s">
        <v>153</v>
      </c>
      <c r="C119" s="448"/>
      <c r="D119" s="448"/>
      <c r="E119" s="448"/>
      <c r="F119" s="448"/>
      <c r="G119" s="448"/>
      <c r="H119" s="26" t="s">
        <v>74</v>
      </c>
      <c r="I119" s="291" t="s">
        <v>75</v>
      </c>
      <c r="J119" s="316"/>
      <c r="K119" s="448"/>
      <c r="L119" s="448"/>
      <c r="M119" s="448"/>
      <c r="N119" s="448"/>
      <c r="O119" s="448"/>
      <c r="P119" s="448"/>
    </row>
    <row r="120" spans="1:17" ht="14.1" customHeight="1" x14ac:dyDescent="0.2">
      <c r="A120" s="316" t="s">
        <v>38</v>
      </c>
      <c r="B120" s="445" t="s">
        <v>154</v>
      </c>
      <c r="C120" s="445"/>
      <c r="D120" s="445"/>
      <c r="E120" s="445"/>
      <c r="F120" s="445"/>
      <c r="G120" s="445"/>
      <c r="H120" s="34"/>
      <c r="I120" s="314"/>
      <c r="J120" s="316"/>
      <c r="K120" s="445"/>
      <c r="L120" s="445"/>
      <c r="M120" s="445"/>
      <c r="N120" s="445"/>
      <c r="O120" s="445"/>
      <c r="P120" s="445"/>
    </row>
    <row r="121" spans="1:17" x14ac:dyDescent="0.2">
      <c r="A121" s="296" t="s">
        <v>40</v>
      </c>
      <c r="B121" s="445" t="s">
        <v>155</v>
      </c>
      <c r="C121" s="445"/>
      <c r="D121" s="445"/>
      <c r="E121" s="445"/>
      <c r="F121" s="445"/>
      <c r="G121" s="445"/>
      <c r="H121" s="157">
        <v>1.67E-2</v>
      </c>
      <c r="I121" s="82">
        <f>H121*$I$45</f>
        <v>30.468315</v>
      </c>
      <c r="J121" s="296"/>
      <c r="K121" s="445"/>
      <c r="L121" s="445"/>
      <c r="M121" s="445"/>
      <c r="N121" s="445"/>
      <c r="O121" s="445"/>
      <c r="P121" s="445"/>
      <c r="Q121" s="25"/>
    </row>
    <row r="122" spans="1:17" x14ac:dyDescent="0.2">
      <c r="A122" s="296" t="s">
        <v>43</v>
      </c>
      <c r="B122" s="445" t="s">
        <v>156</v>
      </c>
      <c r="C122" s="445"/>
      <c r="D122" s="445"/>
      <c r="E122" s="445"/>
      <c r="F122" s="445"/>
      <c r="G122" s="445"/>
      <c r="H122" s="157">
        <v>2.0000000000000001E-4</v>
      </c>
      <c r="I122" s="82">
        <f>H122*$I$45</f>
        <v>0.36489000000000005</v>
      </c>
      <c r="J122" s="296"/>
      <c r="K122" s="445"/>
      <c r="L122" s="445"/>
      <c r="M122" s="445"/>
      <c r="N122" s="445"/>
      <c r="O122" s="445"/>
      <c r="P122" s="445"/>
      <c r="Q122" s="25"/>
    </row>
    <row r="123" spans="1:17" x14ac:dyDescent="0.2">
      <c r="A123" s="313" t="s">
        <v>46</v>
      </c>
      <c r="B123" s="465" t="s">
        <v>157</v>
      </c>
      <c r="C123" s="465"/>
      <c r="D123" s="465"/>
      <c r="E123" s="465"/>
      <c r="F123" s="465"/>
      <c r="G123" s="465"/>
      <c r="H123" s="149">
        <v>6.9999999999999999E-4</v>
      </c>
      <c r="I123" s="83">
        <f>H123*$I$45</f>
        <v>1.277115</v>
      </c>
      <c r="J123" s="313"/>
      <c r="K123" s="465"/>
      <c r="L123" s="465"/>
      <c r="M123" s="465"/>
      <c r="N123" s="465"/>
      <c r="O123" s="465"/>
      <c r="P123" s="465"/>
      <c r="Q123" s="25"/>
    </row>
    <row r="124" spans="1:17" x14ac:dyDescent="0.2">
      <c r="A124" s="296" t="s">
        <v>80</v>
      </c>
      <c r="B124" s="445" t="s">
        <v>158</v>
      </c>
      <c r="C124" s="445"/>
      <c r="D124" s="445"/>
      <c r="E124" s="445"/>
      <c r="F124" s="445"/>
      <c r="G124" s="445"/>
      <c r="H124" s="157">
        <v>2.8999999999999998E-3</v>
      </c>
      <c r="I124" s="82">
        <f>H124*$I$45</f>
        <v>5.2909049999999995</v>
      </c>
      <c r="J124" s="296"/>
      <c r="K124" s="445"/>
      <c r="L124" s="445"/>
      <c r="M124" s="445"/>
      <c r="N124" s="445"/>
      <c r="O124" s="445"/>
      <c r="P124" s="445"/>
      <c r="Q124" s="25"/>
    </row>
    <row r="125" spans="1:17" x14ac:dyDescent="0.2">
      <c r="A125" s="296" t="s">
        <v>82</v>
      </c>
      <c r="B125" s="445" t="s">
        <v>159</v>
      </c>
      <c r="C125" s="445"/>
      <c r="D125" s="445"/>
      <c r="E125" s="445"/>
      <c r="F125" s="445"/>
      <c r="G125" s="445"/>
      <c r="H125" s="157"/>
      <c r="I125" s="82">
        <f t="shared" ref="I125" si="1">H125*$I$45</f>
        <v>0</v>
      </c>
      <c r="J125" s="296"/>
      <c r="K125" s="445"/>
      <c r="L125" s="445"/>
      <c r="M125" s="445"/>
      <c r="N125" s="445"/>
      <c r="O125" s="445"/>
      <c r="P125" s="445"/>
      <c r="Q125" s="25"/>
    </row>
    <row r="126" spans="1:17" x14ac:dyDescent="0.2">
      <c r="A126" s="447" t="s">
        <v>160</v>
      </c>
      <c r="B126" s="448"/>
      <c r="C126" s="448"/>
      <c r="D126" s="448"/>
      <c r="E126" s="448"/>
      <c r="F126" s="448"/>
      <c r="G126" s="448"/>
      <c r="H126" s="33"/>
      <c r="I126" s="314">
        <f>SUM(I121:I125)</f>
        <v>37.401225000000004</v>
      </c>
      <c r="J126" s="447"/>
      <c r="K126" s="448"/>
      <c r="L126" s="448"/>
      <c r="M126" s="448"/>
      <c r="N126" s="448"/>
      <c r="O126" s="448"/>
      <c r="P126" s="448"/>
      <c r="Q126" s="25"/>
    </row>
    <row r="127" spans="1:17" x14ac:dyDescent="0.2">
      <c r="A127" s="296" t="s">
        <v>82</v>
      </c>
      <c r="B127" s="445" t="s">
        <v>161</v>
      </c>
      <c r="C127" s="445"/>
      <c r="D127" s="445"/>
      <c r="E127" s="445"/>
      <c r="F127" s="445"/>
      <c r="G127" s="445"/>
      <c r="H127" s="1">
        <f>H75</f>
        <v>0.36800000000000005</v>
      </c>
      <c r="I127" s="82">
        <f>I126*H127</f>
        <v>13.763650800000002</v>
      </c>
      <c r="J127" s="296"/>
      <c r="K127" s="445"/>
      <c r="L127" s="445"/>
      <c r="M127" s="445"/>
      <c r="N127" s="445"/>
      <c r="O127" s="445"/>
      <c r="P127" s="445"/>
    </row>
    <row r="128" spans="1:17" x14ac:dyDescent="0.2">
      <c r="A128" s="447" t="s">
        <v>162</v>
      </c>
      <c r="B128" s="448"/>
      <c r="C128" s="448"/>
      <c r="D128" s="448"/>
      <c r="E128" s="448"/>
      <c r="F128" s="448"/>
      <c r="G128" s="448"/>
      <c r="H128" s="33"/>
      <c r="I128" s="314">
        <f>SUM(I126:I127)</f>
        <v>51.164875800000004</v>
      </c>
      <c r="J128" s="447"/>
      <c r="K128" s="448"/>
      <c r="L128" s="448"/>
      <c r="M128" s="448"/>
      <c r="N128" s="448"/>
      <c r="O128" s="448"/>
      <c r="P128" s="448"/>
    </row>
    <row r="129" spans="1:18" x14ac:dyDescent="0.2">
      <c r="A129" s="312"/>
      <c r="B129" s="3"/>
      <c r="C129" s="3"/>
      <c r="D129" s="3"/>
      <c r="E129" s="3"/>
      <c r="F129" s="3"/>
      <c r="G129" s="3"/>
      <c r="H129" s="3"/>
      <c r="I129" s="321"/>
      <c r="J129" s="312"/>
      <c r="K129" s="3"/>
      <c r="L129" s="3"/>
      <c r="M129" s="3"/>
      <c r="N129" s="3"/>
      <c r="O129" s="3"/>
      <c r="P129" s="3"/>
    </row>
    <row r="130" spans="1:18" x14ac:dyDescent="0.2">
      <c r="A130" s="316" t="s">
        <v>163</v>
      </c>
      <c r="B130" s="472" t="s">
        <v>164</v>
      </c>
      <c r="C130" s="473"/>
      <c r="D130" s="473"/>
      <c r="E130" s="473"/>
      <c r="F130" s="473"/>
      <c r="G130" s="474"/>
      <c r="H130" s="26" t="s">
        <v>74</v>
      </c>
      <c r="I130" s="291" t="s">
        <v>75</v>
      </c>
      <c r="J130" s="316"/>
      <c r="K130" s="472"/>
      <c r="L130" s="473"/>
      <c r="M130" s="473"/>
      <c r="N130" s="473"/>
      <c r="O130" s="473"/>
      <c r="P130" s="474"/>
    </row>
    <row r="131" spans="1:18" x14ac:dyDescent="0.2">
      <c r="A131" s="296" t="s">
        <v>38</v>
      </c>
      <c r="B131" s="486" t="s">
        <v>165</v>
      </c>
      <c r="C131" s="487"/>
      <c r="D131" s="487"/>
      <c r="E131" s="487"/>
      <c r="F131" s="487"/>
      <c r="G131" s="488"/>
      <c r="H131" s="157">
        <v>0</v>
      </c>
      <c r="I131" s="82">
        <v>0</v>
      </c>
      <c r="J131" s="296"/>
      <c r="K131" s="486"/>
      <c r="L131" s="487"/>
      <c r="M131" s="487"/>
      <c r="N131" s="487"/>
      <c r="O131" s="487"/>
      <c r="P131" s="488"/>
    </row>
    <row r="132" spans="1:18" x14ac:dyDescent="0.2">
      <c r="A132" s="489" t="s">
        <v>166</v>
      </c>
      <c r="B132" s="473"/>
      <c r="C132" s="473"/>
      <c r="D132" s="473"/>
      <c r="E132" s="473"/>
      <c r="F132" s="473"/>
      <c r="G132" s="474"/>
      <c r="H132" s="33">
        <f>TRUNC(SUM(H131),4)</f>
        <v>0</v>
      </c>
      <c r="I132" s="314">
        <f>SUM(I131)</f>
        <v>0</v>
      </c>
      <c r="J132" s="489"/>
      <c r="K132" s="473"/>
      <c r="L132" s="473"/>
      <c r="M132" s="473"/>
      <c r="N132" s="473"/>
      <c r="O132" s="473"/>
      <c r="P132" s="474"/>
    </row>
    <row r="133" spans="1:18" x14ac:dyDescent="0.2">
      <c r="A133" s="42"/>
      <c r="B133" s="36"/>
      <c r="C133" s="36"/>
      <c r="D133" s="36"/>
      <c r="E133" s="36"/>
      <c r="F133" s="36"/>
      <c r="G133" s="36"/>
      <c r="H133" s="36"/>
      <c r="I133" s="315"/>
      <c r="J133" s="42"/>
      <c r="K133" s="36"/>
      <c r="L133" s="36"/>
      <c r="M133" s="36"/>
      <c r="N133" s="36"/>
      <c r="O133" s="36"/>
      <c r="P133" s="36"/>
    </row>
    <row r="134" spans="1:18" x14ac:dyDescent="0.2">
      <c r="A134" s="447" t="s">
        <v>167</v>
      </c>
      <c r="B134" s="448"/>
      <c r="C134" s="448"/>
      <c r="D134" s="448"/>
      <c r="E134" s="448"/>
      <c r="F134" s="448"/>
      <c r="G134" s="448"/>
      <c r="H134" s="448"/>
      <c r="I134" s="449"/>
      <c r="J134" s="447"/>
      <c r="K134" s="448"/>
      <c r="L134" s="448"/>
      <c r="M134" s="448"/>
      <c r="N134" s="448"/>
      <c r="O134" s="448"/>
      <c r="P134" s="448"/>
    </row>
    <row r="135" spans="1:18" x14ac:dyDescent="0.2">
      <c r="A135" s="313">
        <v>4</v>
      </c>
      <c r="B135" s="493" t="s">
        <v>168</v>
      </c>
      <c r="C135" s="494"/>
      <c r="D135" s="494"/>
      <c r="E135" s="494"/>
      <c r="F135" s="494"/>
      <c r="G135" s="495"/>
      <c r="H135" s="37"/>
      <c r="I135" s="297" t="s">
        <v>75</v>
      </c>
      <c r="J135" s="313"/>
      <c r="K135" s="493"/>
      <c r="L135" s="494"/>
      <c r="M135" s="494"/>
      <c r="N135" s="494"/>
      <c r="O135" s="494"/>
      <c r="P135" s="495"/>
    </row>
    <row r="136" spans="1:18" x14ac:dyDescent="0.2">
      <c r="A136" s="296" t="s">
        <v>152</v>
      </c>
      <c r="B136" s="490" t="s">
        <v>169</v>
      </c>
      <c r="C136" s="491"/>
      <c r="D136" s="491"/>
      <c r="E136" s="491"/>
      <c r="F136" s="491"/>
      <c r="G136" s="492"/>
      <c r="H136" s="20"/>
      <c r="I136" s="82">
        <f>I128</f>
        <v>51.164875800000004</v>
      </c>
      <c r="J136" s="296"/>
      <c r="K136" s="490"/>
      <c r="L136" s="491"/>
      <c r="M136" s="491"/>
      <c r="N136" s="491"/>
      <c r="O136" s="491"/>
      <c r="P136" s="492"/>
    </row>
    <row r="137" spans="1:18" x14ac:dyDescent="0.2">
      <c r="A137" s="296" t="s">
        <v>163</v>
      </c>
      <c r="B137" s="490" t="s">
        <v>170</v>
      </c>
      <c r="C137" s="491"/>
      <c r="D137" s="491"/>
      <c r="E137" s="491"/>
      <c r="F137" s="491"/>
      <c r="G137" s="492"/>
      <c r="H137" s="20"/>
      <c r="I137" s="82">
        <f>I132</f>
        <v>0</v>
      </c>
      <c r="J137" s="296"/>
      <c r="K137" s="490"/>
      <c r="L137" s="491"/>
      <c r="M137" s="491"/>
      <c r="N137" s="491"/>
      <c r="O137" s="491"/>
      <c r="P137" s="492"/>
    </row>
    <row r="138" spans="1:18" x14ac:dyDescent="0.2">
      <c r="A138" s="463" t="s">
        <v>171</v>
      </c>
      <c r="B138" s="478"/>
      <c r="C138" s="478"/>
      <c r="D138" s="478"/>
      <c r="E138" s="478"/>
      <c r="F138" s="478"/>
      <c r="G138" s="478"/>
      <c r="H138" s="478"/>
      <c r="I138" s="320">
        <f>SUM(I136:I137)</f>
        <v>51.164875800000004</v>
      </c>
      <c r="J138" s="463"/>
      <c r="K138" s="478"/>
      <c r="L138" s="478"/>
      <c r="M138" s="478"/>
      <c r="N138" s="478"/>
      <c r="O138" s="478"/>
      <c r="P138" s="478"/>
    </row>
    <row r="139" spans="1:18" x14ac:dyDescent="0.2">
      <c r="A139" s="479"/>
      <c r="B139" s="480"/>
      <c r="C139" s="480"/>
      <c r="D139" s="480"/>
      <c r="E139" s="480"/>
      <c r="F139" s="480"/>
      <c r="G139" s="480"/>
      <c r="H139" s="480"/>
      <c r="I139" s="481"/>
      <c r="J139" s="479"/>
      <c r="K139" s="480"/>
      <c r="L139" s="480"/>
      <c r="M139" s="480"/>
      <c r="N139" s="480"/>
      <c r="O139" s="480"/>
      <c r="P139" s="480"/>
    </row>
    <row r="140" spans="1:18" x14ac:dyDescent="0.2">
      <c r="A140" s="460" t="s">
        <v>172</v>
      </c>
      <c r="B140" s="461"/>
      <c r="C140" s="461"/>
      <c r="D140" s="461"/>
      <c r="E140" s="461"/>
      <c r="F140" s="461"/>
      <c r="G140" s="461"/>
      <c r="H140" s="461"/>
      <c r="I140" s="462"/>
      <c r="J140" s="460"/>
      <c r="K140" s="461"/>
      <c r="L140" s="461"/>
      <c r="M140" s="461"/>
      <c r="N140" s="461"/>
      <c r="O140" s="461"/>
      <c r="P140" s="461"/>
    </row>
    <row r="141" spans="1:18" x14ac:dyDescent="0.2">
      <c r="A141" s="296">
        <v>5</v>
      </c>
      <c r="B141" s="457" t="s">
        <v>173</v>
      </c>
      <c r="C141" s="457"/>
      <c r="D141" s="457"/>
      <c r="E141" s="457"/>
      <c r="F141" s="457"/>
      <c r="G141" s="457"/>
      <c r="H141" s="8"/>
      <c r="I141" s="297" t="s">
        <v>75</v>
      </c>
      <c r="J141" s="296"/>
      <c r="K141" s="457"/>
      <c r="L141" s="457"/>
      <c r="M141" s="457"/>
      <c r="N141" s="457"/>
      <c r="O141" s="457"/>
      <c r="P141" s="457"/>
    </row>
    <row r="142" spans="1:18" x14ac:dyDescent="0.2">
      <c r="A142" s="296" t="s">
        <v>38</v>
      </c>
      <c r="B142" s="475" t="s">
        <v>174</v>
      </c>
      <c r="C142" s="475"/>
      <c r="D142" s="475"/>
      <c r="E142" s="475"/>
      <c r="F142" s="475"/>
      <c r="G142" s="475"/>
      <c r="H142" s="21" t="s">
        <v>120</v>
      </c>
      <c r="I142" s="82">
        <f>'Uniform&amp;EPIs '!K24</f>
        <v>245.35416666666666</v>
      </c>
      <c r="J142" s="296"/>
      <c r="K142" s="475"/>
      <c r="L142" s="475"/>
      <c r="M142" s="475"/>
      <c r="N142" s="475"/>
      <c r="O142" s="475"/>
      <c r="P142" s="475"/>
    </row>
    <row r="143" spans="1:18" ht="25.5" x14ac:dyDescent="0.2">
      <c r="A143" s="296" t="s">
        <v>40</v>
      </c>
      <c r="B143" s="475" t="s">
        <v>175</v>
      </c>
      <c r="C143" s="475"/>
      <c r="D143" s="475"/>
      <c r="E143" s="475"/>
      <c r="F143" s="475"/>
      <c r="G143" s="475"/>
      <c r="H143" s="21" t="s">
        <v>120</v>
      </c>
      <c r="I143" s="82"/>
      <c r="J143" s="296"/>
      <c r="K143" s="475"/>
      <c r="L143" s="475"/>
      <c r="M143" s="475"/>
      <c r="N143" s="475"/>
      <c r="O143" s="475"/>
      <c r="P143" s="475"/>
      <c r="R143" s="372" t="s">
        <v>227</v>
      </c>
    </row>
    <row r="144" spans="1:18" x14ac:dyDescent="0.2">
      <c r="A144" s="322" t="s">
        <v>43</v>
      </c>
      <c r="B144" s="475" t="s">
        <v>228</v>
      </c>
      <c r="C144" s="475"/>
      <c r="D144" s="475"/>
      <c r="E144" s="475"/>
      <c r="F144" s="475"/>
      <c r="G144" s="475"/>
      <c r="H144" s="21"/>
      <c r="I144" s="82">
        <f>'Equipamentos e Laudo'!K71</f>
        <v>3.4453055555555561</v>
      </c>
      <c r="J144" s="82"/>
      <c r="K144" s="475"/>
      <c r="L144" s="475"/>
      <c r="M144" s="475"/>
      <c r="N144" s="475"/>
      <c r="O144" s="475"/>
      <c r="P144" s="475"/>
    </row>
    <row r="145" spans="1:17" x14ac:dyDescent="0.2">
      <c r="A145" s="322" t="s">
        <v>46</v>
      </c>
      <c r="B145" s="475" t="s">
        <v>83</v>
      </c>
      <c r="C145" s="475"/>
      <c r="D145" s="475"/>
      <c r="E145" s="475"/>
      <c r="F145" s="475"/>
      <c r="G145" s="475"/>
      <c r="H145" s="21" t="s">
        <v>120</v>
      </c>
      <c r="I145" s="82">
        <v>0</v>
      </c>
      <c r="J145" s="322"/>
      <c r="K145" s="475"/>
      <c r="L145" s="475"/>
      <c r="M145" s="475"/>
      <c r="N145" s="475"/>
      <c r="O145" s="475"/>
      <c r="P145" s="475"/>
    </row>
    <row r="146" spans="1:17" x14ac:dyDescent="0.2">
      <c r="A146" s="463" t="s">
        <v>178</v>
      </c>
      <c r="B146" s="478"/>
      <c r="C146" s="478"/>
      <c r="D146" s="478"/>
      <c r="E146" s="478"/>
      <c r="F146" s="478"/>
      <c r="G146" s="478"/>
      <c r="H146" s="33" t="s">
        <v>120</v>
      </c>
      <c r="I146" s="320">
        <f>SUM(I142:I145)</f>
        <v>248.79947222222222</v>
      </c>
      <c r="J146" s="463"/>
      <c r="K146" s="478"/>
      <c r="L146" s="478"/>
      <c r="M146" s="478"/>
      <c r="N146" s="478"/>
      <c r="O146" s="478"/>
      <c r="P146" s="478"/>
    </row>
    <row r="147" spans="1:17" x14ac:dyDescent="0.2">
      <c r="A147" s="323"/>
      <c r="B147" s="43"/>
      <c r="C147" s="43"/>
      <c r="D147" s="43"/>
      <c r="E147" s="43"/>
      <c r="F147" s="43"/>
      <c r="G147" s="43"/>
      <c r="H147" s="43"/>
      <c r="I147" s="324"/>
      <c r="J147" s="323"/>
      <c r="K147" s="43"/>
      <c r="L147" s="43"/>
      <c r="M147" s="43"/>
      <c r="N147" s="43"/>
      <c r="O147" s="43"/>
      <c r="P147" s="43"/>
    </row>
    <row r="148" spans="1:17" x14ac:dyDescent="0.2">
      <c r="A148" s="300" t="s">
        <v>179</v>
      </c>
      <c r="B148" s="3"/>
      <c r="C148" s="3"/>
      <c r="D148" s="3"/>
      <c r="E148" s="3"/>
      <c r="F148" s="3"/>
      <c r="G148" s="3"/>
      <c r="H148" s="3"/>
      <c r="I148" s="321"/>
      <c r="J148" s="300"/>
      <c r="K148" s="3"/>
      <c r="L148" s="3"/>
      <c r="M148" s="3"/>
      <c r="N148" s="3"/>
      <c r="O148" s="3"/>
      <c r="P148" s="3"/>
    </row>
    <row r="149" spans="1:17" x14ac:dyDescent="0.2">
      <c r="A149" s="325"/>
      <c r="B149" s="3"/>
      <c r="C149" s="3"/>
      <c r="D149" s="3"/>
      <c r="E149" s="3"/>
      <c r="F149" s="3"/>
      <c r="G149" s="3"/>
      <c r="H149" s="3"/>
      <c r="I149" s="321"/>
      <c r="J149" s="325"/>
      <c r="K149" s="3"/>
      <c r="L149" s="3"/>
      <c r="M149" s="3"/>
      <c r="N149" s="3"/>
      <c r="O149" s="3"/>
      <c r="P149" s="3"/>
    </row>
    <row r="150" spans="1:17" x14ac:dyDescent="0.2">
      <c r="A150" s="460" t="s">
        <v>180</v>
      </c>
      <c r="B150" s="461"/>
      <c r="C150" s="461"/>
      <c r="D150" s="461"/>
      <c r="E150" s="461"/>
      <c r="F150" s="461"/>
      <c r="G150" s="461"/>
      <c r="H150" s="461"/>
      <c r="I150" s="462"/>
      <c r="J150" s="460"/>
      <c r="K150" s="461"/>
      <c r="L150" s="461"/>
      <c r="M150" s="461"/>
      <c r="N150" s="461"/>
      <c r="O150" s="461"/>
      <c r="P150" s="461"/>
    </row>
    <row r="151" spans="1:17" x14ac:dyDescent="0.2">
      <c r="A151" s="296">
        <v>6</v>
      </c>
      <c r="B151" s="457" t="s">
        <v>181</v>
      </c>
      <c r="C151" s="457"/>
      <c r="D151" s="457"/>
      <c r="E151" s="457"/>
      <c r="F151" s="457"/>
      <c r="G151" s="457"/>
      <c r="H151" s="8" t="s">
        <v>74</v>
      </c>
      <c r="I151" s="297" t="s">
        <v>75</v>
      </c>
      <c r="J151" s="296"/>
      <c r="K151" s="457"/>
      <c r="L151" s="457"/>
      <c r="M151" s="457"/>
      <c r="N151" s="457"/>
      <c r="O151" s="457"/>
      <c r="P151" s="457"/>
    </row>
    <row r="152" spans="1:17" x14ac:dyDescent="0.2">
      <c r="A152" s="296" t="s">
        <v>38</v>
      </c>
      <c r="B152" s="445" t="s">
        <v>182</v>
      </c>
      <c r="C152" s="445"/>
      <c r="D152" s="445"/>
      <c r="E152" s="445"/>
      <c r="F152" s="445"/>
      <c r="G152" s="445"/>
      <c r="H152" s="24">
        <v>0.05</v>
      </c>
      <c r="I152" s="326">
        <f>H152*I170</f>
        <v>206.96280881711115</v>
      </c>
      <c r="J152" s="296"/>
      <c r="K152" s="445"/>
      <c r="L152" s="445"/>
      <c r="M152" s="445"/>
      <c r="N152" s="445"/>
      <c r="O152" s="445"/>
      <c r="P152" s="445"/>
      <c r="Q152" s="25"/>
    </row>
    <row r="153" spans="1:17" x14ac:dyDescent="0.2">
      <c r="A153" s="296" t="s">
        <v>40</v>
      </c>
      <c r="B153" s="445" t="s">
        <v>183</v>
      </c>
      <c r="C153" s="445"/>
      <c r="D153" s="445"/>
      <c r="E153" s="445"/>
      <c r="F153" s="445"/>
      <c r="G153" s="445"/>
      <c r="H153" s="24">
        <v>0.1</v>
      </c>
      <c r="I153" s="326">
        <f>H153*(I152+I170)</f>
        <v>434.62189851593342</v>
      </c>
      <c r="J153" s="296"/>
      <c r="K153" s="445"/>
      <c r="L153" s="445"/>
      <c r="M153" s="445"/>
      <c r="N153" s="445"/>
      <c r="O153" s="445"/>
      <c r="P153" s="445"/>
      <c r="Q153" s="25"/>
    </row>
    <row r="154" spans="1:17" x14ac:dyDescent="0.2">
      <c r="A154" s="296" t="s">
        <v>43</v>
      </c>
      <c r="B154" s="498" t="s">
        <v>184</v>
      </c>
      <c r="C154" s="498"/>
      <c r="D154" s="498"/>
      <c r="E154" s="498"/>
      <c r="F154" s="498"/>
      <c r="G154" s="498"/>
      <c r="H154" s="2"/>
      <c r="I154" s="327"/>
      <c r="J154" s="296"/>
      <c r="K154" s="498"/>
      <c r="L154" s="498"/>
      <c r="M154" s="498"/>
      <c r="N154" s="498"/>
      <c r="O154" s="498"/>
      <c r="P154" s="498"/>
    </row>
    <row r="155" spans="1:17" x14ac:dyDescent="0.2">
      <c r="A155" s="296" t="s">
        <v>185</v>
      </c>
      <c r="B155" s="445" t="s">
        <v>186</v>
      </c>
      <c r="C155" s="445"/>
      <c r="D155" s="445"/>
      <c r="E155" s="445"/>
      <c r="F155" s="445"/>
      <c r="G155" s="445"/>
      <c r="H155" s="6">
        <v>1.6500000000000001E-2</v>
      </c>
      <c r="I155" s="326">
        <f>H155*$I$172</f>
        <v>91.99285665380981</v>
      </c>
      <c r="J155" s="296"/>
      <c r="K155" s="445"/>
      <c r="L155" s="445"/>
      <c r="M155" s="445"/>
      <c r="N155" s="445"/>
      <c r="O155" s="445"/>
      <c r="P155" s="445"/>
      <c r="Q155" s="25"/>
    </row>
    <row r="156" spans="1:17" x14ac:dyDescent="0.2">
      <c r="A156" s="296" t="s">
        <v>187</v>
      </c>
      <c r="B156" s="445" t="s">
        <v>188</v>
      </c>
      <c r="C156" s="445"/>
      <c r="D156" s="445"/>
      <c r="E156" s="445"/>
      <c r="F156" s="445"/>
      <c r="G156" s="445"/>
      <c r="H156" s="6">
        <v>7.5999999999999998E-2</v>
      </c>
      <c r="I156" s="326">
        <f t="shared" ref="I156:I157" si="2">H156*$I$172</f>
        <v>423.72467307209365</v>
      </c>
      <c r="J156" s="296"/>
      <c r="K156" s="445"/>
      <c r="L156" s="445"/>
      <c r="M156" s="445"/>
      <c r="N156" s="445"/>
      <c r="O156" s="445"/>
      <c r="P156" s="445"/>
      <c r="Q156" s="25"/>
    </row>
    <row r="157" spans="1:17" x14ac:dyDescent="0.2">
      <c r="A157" s="296" t="s">
        <v>189</v>
      </c>
      <c r="B157" s="445" t="s">
        <v>190</v>
      </c>
      <c r="C157" s="445"/>
      <c r="D157" s="445"/>
      <c r="E157" s="445"/>
      <c r="F157" s="445"/>
      <c r="G157" s="445"/>
      <c r="H157" s="6">
        <v>0.05</v>
      </c>
      <c r="I157" s="326">
        <f t="shared" si="2"/>
        <v>278.76623228427218</v>
      </c>
      <c r="J157" s="296"/>
      <c r="K157" s="445"/>
      <c r="L157" s="445"/>
      <c r="M157" s="445"/>
      <c r="N157" s="445"/>
      <c r="O157" s="445"/>
      <c r="P157" s="445"/>
      <c r="Q157" s="25"/>
    </row>
    <row r="158" spans="1:17" x14ac:dyDescent="0.2">
      <c r="A158" s="463" t="s">
        <v>191</v>
      </c>
      <c r="B158" s="478"/>
      <c r="C158" s="478"/>
      <c r="D158" s="478"/>
      <c r="E158" s="478"/>
      <c r="F158" s="478"/>
      <c r="G158" s="478"/>
      <c r="H158" s="44">
        <f>SUM(H152:H157)</f>
        <v>0.29250000000000004</v>
      </c>
      <c r="I158" s="320">
        <f>SUM(I152:I157)</f>
        <v>1436.0684693432199</v>
      </c>
      <c r="J158" s="463"/>
      <c r="K158" s="478"/>
      <c r="L158" s="478"/>
      <c r="M158" s="478"/>
      <c r="N158" s="478"/>
      <c r="O158" s="478"/>
      <c r="P158" s="478"/>
    </row>
    <row r="159" spans="1:17" x14ac:dyDescent="0.2">
      <c r="A159" s="287"/>
      <c r="B159" s="238"/>
      <c r="C159" s="238"/>
      <c r="D159" s="238"/>
      <c r="E159" s="238"/>
      <c r="F159" s="238"/>
      <c r="G159" s="238"/>
      <c r="H159" s="238"/>
      <c r="I159" s="328"/>
      <c r="J159" s="287"/>
      <c r="K159" s="238"/>
      <c r="L159" s="238"/>
      <c r="M159" s="238"/>
      <c r="N159" s="238"/>
      <c r="O159" s="238"/>
      <c r="P159" s="238"/>
    </row>
    <row r="160" spans="1:17" x14ac:dyDescent="0.2">
      <c r="A160" s="300" t="s">
        <v>192</v>
      </c>
      <c r="B160" s="238"/>
      <c r="C160" s="238"/>
      <c r="D160" s="238"/>
      <c r="E160" s="238"/>
      <c r="F160" s="238"/>
      <c r="G160" s="238"/>
      <c r="H160" s="238"/>
      <c r="I160" s="328"/>
      <c r="J160" s="300"/>
      <c r="K160" s="238"/>
      <c r="L160" s="238"/>
      <c r="M160" s="238"/>
      <c r="N160" s="238"/>
      <c r="O160" s="238"/>
      <c r="P160" s="238"/>
    </row>
    <row r="161" spans="1:16" x14ac:dyDescent="0.2">
      <c r="A161" s="300" t="s">
        <v>193</v>
      </c>
      <c r="B161" s="238"/>
      <c r="C161" s="238"/>
      <c r="D161" s="238"/>
      <c r="E161" s="238"/>
      <c r="F161" s="238"/>
      <c r="G161" s="238"/>
      <c r="H161" s="238"/>
      <c r="I161" s="328"/>
      <c r="J161" s="300"/>
      <c r="K161" s="238"/>
      <c r="L161" s="238"/>
      <c r="M161" s="238"/>
      <c r="N161" s="238"/>
      <c r="O161" s="238"/>
      <c r="P161" s="238"/>
    </row>
    <row r="162" spans="1:16" x14ac:dyDescent="0.2">
      <c r="A162" s="287"/>
      <c r="B162" s="233"/>
      <c r="C162" s="233"/>
      <c r="D162" s="233"/>
      <c r="E162" s="233"/>
      <c r="F162" s="233"/>
      <c r="G162" s="233"/>
      <c r="H162" s="233"/>
      <c r="I162" s="61"/>
      <c r="J162" s="287"/>
      <c r="K162" s="233"/>
      <c r="L162" s="233"/>
      <c r="M162" s="233"/>
      <c r="N162" s="233"/>
      <c r="O162" s="233"/>
      <c r="P162" s="233"/>
    </row>
    <row r="163" spans="1:16" x14ac:dyDescent="0.2">
      <c r="A163" s="447" t="s">
        <v>194</v>
      </c>
      <c r="B163" s="448"/>
      <c r="C163" s="448"/>
      <c r="D163" s="448"/>
      <c r="E163" s="448"/>
      <c r="F163" s="448"/>
      <c r="G163" s="448"/>
      <c r="H163" s="448"/>
      <c r="I163" s="449"/>
      <c r="J163" s="447"/>
      <c r="K163" s="448"/>
      <c r="L163" s="448"/>
      <c r="M163" s="448"/>
      <c r="N163" s="448"/>
      <c r="O163" s="448"/>
      <c r="P163" s="448"/>
    </row>
    <row r="164" spans="1:16" x14ac:dyDescent="0.2">
      <c r="A164" s="456" t="s">
        <v>195</v>
      </c>
      <c r="B164" s="457"/>
      <c r="C164" s="457"/>
      <c r="D164" s="457"/>
      <c r="E164" s="457"/>
      <c r="F164" s="457"/>
      <c r="G164" s="457"/>
      <c r="H164" s="457"/>
      <c r="I164" s="297" t="s">
        <v>75</v>
      </c>
      <c r="J164" s="456"/>
      <c r="K164" s="457"/>
      <c r="L164" s="457"/>
      <c r="M164" s="457"/>
      <c r="N164" s="457"/>
      <c r="O164" s="457"/>
      <c r="P164" s="457"/>
    </row>
    <row r="165" spans="1:16" x14ac:dyDescent="0.2">
      <c r="A165" s="292" t="s">
        <v>38</v>
      </c>
      <c r="B165" s="446" t="str">
        <f>A37</f>
        <v>MÓDULO 1 - COMPOSIÇÃO DA REMUNERAÇÃO</v>
      </c>
      <c r="C165" s="446"/>
      <c r="D165" s="446"/>
      <c r="E165" s="446"/>
      <c r="F165" s="446"/>
      <c r="G165" s="446"/>
      <c r="H165" s="446"/>
      <c r="I165" s="326">
        <f>I45</f>
        <v>1824.45</v>
      </c>
      <c r="J165" s="292"/>
      <c r="K165" s="446"/>
      <c r="L165" s="446"/>
      <c r="M165" s="446"/>
      <c r="N165" s="446"/>
      <c r="O165" s="446"/>
      <c r="P165" s="446"/>
    </row>
    <row r="166" spans="1:16" x14ac:dyDescent="0.2">
      <c r="A166" s="292" t="s">
        <v>40</v>
      </c>
      <c r="B166" s="446" t="str">
        <f>A50</f>
        <v>MÓDULO 2 – ENCARGOS E BENEFÍCIOS ANUAIS, MENSAIS E DIÁRIOS</v>
      </c>
      <c r="C166" s="446"/>
      <c r="D166" s="446"/>
      <c r="E166" s="446"/>
      <c r="F166" s="446"/>
      <c r="G166" s="446"/>
      <c r="H166" s="446"/>
      <c r="I166" s="326">
        <f>I102</f>
        <v>1885.1686796800002</v>
      </c>
      <c r="J166" s="292"/>
      <c r="K166" s="446"/>
      <c r="L166" s="446"/>
      <c r="M166" s="446"/>
      <c r="N166" s="446"/>
      <c r="O166" s="446"/>
      <c r="P166" s="446"/>
    </row>
    <row r="167" spans="1:16" x14ac:dyDescent="0.2">
      <c r="A167" s="292" t="s">
        <v>43</v>
      </c>
      <c r="B167" s="446" t="str">
        <f>A104</f>
        <v>MÓDULO 3 – PROVISÃO PARA RESCISÃO</v>
      </c>
      <c r="C167" s="446"/>
      <c r="D167" s="446"/>
      <c r="E167" s="446"/>
      <c r="F167" s="446"/>
      <c r="G167" s="446"/>
      <c r="H167" s="446"/>
      <c r="I167" s="326">
        <f>I112</f>
        <v>129.67314863999999</v>
      </c>
      <c r="J167" s="292"/>
      <c r="K167" s="446"/>
      <c r="L167" s="446"/>
      <c r="M167" s="446"/>
      <c r="N167" s="446"/>
      <c r="O167" s="446"/>
      <c r="P167" s="446"/>
    </row>
    <row r="168" spans="1:16" x14ac:dyDescent="0.2">
      <c r="A168" s="329" t="s">
        <v>46</v>
      </c>
      <c r="B168" s="446" t="str">
        <f>A114</f>
        <v>MÓDULO 4 – CUSTO DE REPOSIÇÃO DO PROFISSIONAL AUSENTE</v>
      </c>
      <c r="C168" s="446"/>
      <c r="D168" s="446"/>
      <c r="E168" s="446"/>
      <c r="F168" s="446"/>
      <c r="G168" s="446"/>
      <c r="H168" s="446"/>
      <c r="I168" s="326">
        <f>I138</f>
        <v>51.164875800000004</v>
      </c>
      <c r="J168" s="329"/>
      <c r="K168" s="446"/>
      <c r="L168" s="446"/>
      <c r="M168" s="446"/>
      <c r="N168" s="446"/>
      <c r="O168" s="446"/>
      <c r="P168" s="446"/>
    </row>
    <row r="169" spans="1:16" x14ac:dyDescent="0.2">
      <c r="A169" s="329" t="s">
        <v>80</v>
      </c>
      <c r="B169" s="446" t="str">
        <f>A140</f>
        <v>MÓDULO 5 – INSUMOS DIVERSOS</v>
      </c>
      <c r="C169" s="446"/>
      <c r="D169" s="446"/>
      <c r="E169" s="446"/>
      <c r="F169" s="446"/>
      <c r="G169" s="446"/>
      <c r="H169" s="446"/>
      <c r="I169" s="326">
        <f>I146</f>
        <v>248.79947222222222</v>
      </c>
      <c r="J169" s="329"/>
      <c r="K169" s="446"/>
      <c r="L169" s="446"/>
      <c r="M169" s="446"/>
      <c r="N169" s="446"/>
      <c r="O169" s="446"/>
      <c r="P169" s="446"/>
    </row>
    <row r="170" spans="1:16" x14ac:dyDescent="0.2">
      <c r="A170" s="296"/>
      <c r="B170" s="457" t="s">
        <v>196</v>
      </c>
      <c r="C170" s="457"/>
      <c r="D170" s="457"/>
      <c r="E170" s="457"/>
      <c r="F170" s="457"/>
      <c r="G170" s="457"/>
      <c r="H170" s="457"/>
      <c r="I170" s="330">
        <f>SUM(I165:I169)</f>
        <v>4139.2561763422227</v>
      </c>
      <c r="J170" s="296"/>
      <c r="K170" s="457"/>
      <c r="L170" s="457"/>
      <c r="M170" s="457"/>
      <c r="N170" s="457"/>
      <c r="O170" s="457"/>
      <c r="P170" s="457"/>
    </row>
    <row r="171" spans="1:16" x14ac:dyDescent="0.2">
      <c r="A171" s="329" t="s">
        <v>82</v>
      </c>
      <c r="B171" s="446" t="str">
        <f>A150</f>
        <v>MÓDULO 6 – CUSTOS INDIRETOS, TRIBUTOS E LUCRO</v>
      </c>
      <c r="C171" s="446"/>
      <c r="D171" s="446"/>
      <c r="E171" s="446"/>
      <c r="F171" s="446"/>
      <c r="G171" s="446"/>
      <c r="H171" s="446"/>
      <c r="I171" s="82">
        <f>I158</f>
        <v>1436.0684693432199</v>
      </c>
      <c r="J171" s="329"/>
      <c r="K171" s="446"/>
      <c r="L171" s="446"/>
      <c r="M171" s="446"/>
      <c r="N171" s="446"/>
      <c r="O171" s="446"/>
      <c r="P171" s="446"/>
    </row>
    <row r="172" spans="1:16" ht="13.5" thickBot="1" x14ac:dyDescent="0.25">
      <c r="A172" s="510" t="s">
        <v>197</v>
      </c>
      <c r="B172" s="511"/>
      <c r="C172" s="511"/>
      <c r="D172" s="511"/>
      <c r="E172" s="511"/>
      <c r="F172" s="511"/>
      <c r="G172" s="511"/>
      <c r="H172" s="511"/>
      <c r="I172" s="331">
        <f>SUM(I45,I102,I112,I138,I146,I152,I153)/(1-SUM(H155:H157))</f>
        <v>5575.3246456854431</v>
      </c>
      <c r="J172" s="510"/>
      <c r="K172" s="511"/>
      <c r="L172" s="511"/>
      <c r="M172" s="511"/>
      <c r="N172" s="511"/>
      <c r="O172" s="511"/>
      <c r="P172" s="511"/>
    </row>
    <row r="173" spans="1:16" ht="13.5" thickBot="1" x14ac:dyDescent="0.25">
      <c r="A173" s="3"/>
      <c r="B173" s="3"/>
      <c r="C173" s="3"/>
      <c r="D173" s="3"/>
      <c r="E173" s="3"/>
      <c r="F173" s="3"/>
      <c r="G173" s="3"/>
      <c r="H173" s="3"/>
      <c r="I173" s="4"/>
      <c r="J173" s="57"/>
    </row>
    <row r="174" spans="1:16" s="284" customFormat="1" ht="17.45" customHeight="1" thickBot="1" x14ac:dyDescent="0.25">
      <c r="A174" s="512" t="s">
        <v>198</v>
      </c>
      <c r="B174" s="513"/>
      <c r="C174" s="513"/>
      <c r="D174" s="513"/>
      <c r="E174" s="513"/>
      <c r="F174" s="513"/>
      <c r="G174" s="513"/>
      <c r="H174" s="341">
        <f>I16</f>
        <v>1</v>
      </c>
      <c r="I174" s="332">
        <f>I172*H174</f>
        <v>5575.3246456854431</v>
      </c>
      <c r="J174" s="335"/>
      <c r="K174" s="285"/>
      <c r="L174" s="285"/>
      <c r="M174" s="285"/>
      <c r="N174" s="285"/>
      <c r="O174" s="514"/>
      <c r="P174" s="515"/>
    </row>
    <row r="175" spans="1:16" s="284" customFormat="1" ht="24.95" customHeight="1" thickBot="1" x14ac:dyDescent="0.25">
      <c r="A175" s="549">
        <f>(I174)</f>
        <v>5575.3246456854431</v>
      </c>
      <c r="B175" s="550"/>
      <c r="C175" s="550"/>
      <c r="D175" s="550"/>
      <c r="E175" s="550"/>
      <c r="F175" s="550"/>
      <c r="G175" s="550"/>
      <c r="H175" s="547" t="str">
        <f>I31</f>
        <v>Desinsetizador</v>
      </c>
      <c r="I175" s="548"/>
      <c r="J175" s="336"/>
      <c r="K175" s="283"/>
      <c r="L175" s="283"/>
      <c r="M175" s="283"/>
      <c r="N175" s="283"/>
      <c r="O175" s="283"/>
      <c r="P175" s="283"/>
    </row>
    <row r="176" spans="1:16" x14ac:dyDescent="0.2">
      <c r="A176" s="3"/>
      <c r="B176" s="3"/>
      <c r="C176" s="3"/>
      <c r="D176" s="3"/>
      <c r="E176" s="3"/>
      <c r="F176" s="3"/>
      <c r="G176" s="3"/>
      <c r="H176" s="3"/>
      <c r="I176" s="4"/>
    </row>
    <row r="177" spans="1:18" x14ac:dyDescent="0.2">
      <c r="A177" s="3"/>
      <c r="B177" s="3"/>
      <c r="C177" s="3"/>
      <c r="D177" s="3"/>
      <c r="E177" s="3"/>
      <c r="F177" s="3"/>
      <c r="G177" s="3"/>
      <c r="H177" s="3"/>
      <c r="I177" s="4"/>
    </row>
    <row r="178" spans="1:18" x14ac:dyDescent="0.2">
      <c r="A178" s="530" t="s">
        <v>229</v>
      </c>
      <c r="B178" s="531"/>
      <c r="C178" s="531"/>
      <c r="D178" s="531"/>
      <c r="E178" s="531"/>
      <c r="F178" s="531"/>
      <c r="G178" s="531"/>
      <c r="H178" s="531"/>
      <c r="I178" s="532"/>
    </row>
    <row r="179" spans="1:18" s="32" customFormat="1" ht="12.6" customHeight="1" x14ac:dyDescent="0.2">
      <c r="A179" s="533"/>
      <c r="B179" s="534"/>
      <c r="C179" s="534"/>
      <c r="D179" s="534"/>
      <c r="E179" s="534"/>
      <c r="F179" s="534"/>
      <c r="G179" s="534"/>
      <c r="H179" s="534"/>
      <c r="I179" s="535"/>
      <c r="J179"/>
      <c r="K179"/>
    </row>
    <row r="180" spans="1:18" ht="38.25" x14ac:dyDescent="0.2">
      <c r="A180" s="536" t="s">
        <v>201</v>
      </c>
      <c r="B180" s="537"/>
      <c r="C180" s="538"/>
      <c r="D180" s="539" t="s">
        <v>230</v>
      </c>
      <c r="E180" s="539"/>
      <c r="F180" s="540"/>
      <c r="G180" s="539" t="s">
        <v>212</v>
      </c>
      <c r="H180" s="540"/>
      <c r="I180" s="371" t="s">
        <v>206</v>
      </c>
    </row>
    <row r="181" spans="1:18" s="32" customFormat="1" ht="22.5" customHeight="1" x14ac:dyDescent="0.2">
      <c r="A181" s="541" t="s">
        <v>231</v>
      </c>
      <c r="B181" s="542"/>
      <c r="C181" s="543"/>
      <c r="D181" s="544">
        <v>800</v>
      </c>
      <c r="E181" s="544"/>
      <c r="F181" s="545"/>
      <c r="G181" s="546">
        <f>A175</f>
        <v>5575.3246456854431</v>
      </c>
      <c r="H181" s="543"/>
      <c r="I181" s="406">
        <f>TRUNC((1/D181*G181)/22,2)</f>
        <v>0.31</v>
      </c>
      <c r="K181" s="372" t="s">
        <v>232</v>
      </c>
      <c r="R181" s="372" t="s">
        <v>227</v>
      </c>
    </row>
    <row r="182" spans="1:18" x14ac:dyDescent="0.2">
      <c r="A182" s="536" t="s">
        <v>208</v>
      </c>
      <c r="B182" s="537"/>
      <c r="C182" s="537"/>
      <c r="D182" s="537"/>
      <c r="E182" s="537"/>
      <c r="F182" s="537"/>
      <c r="G182" s="537"/>
      <c r="H182" s="538"/>
      <c r="I182" s="407">
        <f>I181</f>
        <v>0.31</v>
      </c>
    </row>
  </sheetData>
  <mergeCells count="247">
    <mergeCell ref="B156:G156"/>
    <mergeCell ref="B145:G145"/>
    <mergeCell ref="B143:G143"/>
    <mergeCell ref="B142:G142"/>
    <mergeCell ref="B153:G153"/>
    <mergeCell ref="B154:G154"/>
    <mergeCell ref="A163:I163"/>
    <mergeCell ref="B168:H168"/>
    <mergeCell ref="A138:H138"/>
    <mergeCell ref="A146:G146"/>
    <mergeCell ref="A150:I150"/>
    <mergeCell ref="B141:G141"/>
    <mergeCell ref="B144:G144"/>
    <mergeCell ref="A158:G158"/>
    <mergeCell ref="B155:G155"/>
    <mergeCell ref="B165:H165"/>
    <mergeCell ref="B157:G157"/>
    <mergeCell ref="A164:H164"/>
    <mergeCell ref="B166:H166"/>
    <mergeCell ref="B167:H167"/>
    <mergeCell ref="A134:I134"/>
    <mergeCell ref="B151:G151"/>
    <mergeCell ref="B152:G152"/>
    <mergeCell ref="A139:I139"/>
    <mergeCell ref="A140:I140"/>
    <mergeCell ref="B135:G135"/>
    <mergeCell ref="B136:G136"/>
    <mergeCell ref="B137:G137"/>
    <mergeCell ref="A112:G112"/>
    <mergeCell ref="B119:G119"/>
    <mergeCell ref="B121:G121"/>
    <mergeCell ref="B122:G122"/>
    <mergeCell ref="B130:G130"/>
    <mergeCell ref="B125:G125"/>
    <mergeCell ref="B124:G124"/>
    <mergeCell ref="A126:G126"/>
    <mergeCell ref="B120:G120"/>
    <mergeCell ref="B131:G131"/>
    <mergeCell ref="B127:G127"/>
    <mergeCell ref="A128:G128"/>
    <mergeCell ref="A132:G132"/>
    <mergeCell ref="B123:G123"/>
    <mergeCell ref="A114:I114"/>
    <mergeCell ref="B84:G84"/>
    <mergeCell ref="B85:G85"/>
    <mergeCell ref="A1:I1"/>
    <mergeCell ref="A27:I27"/>
    <mergeCell ref="A8:I8"/>
    <mergeCell ref="A16:B16"/>
    <mergeCell ref="A15:B15"/>
    <mergeCell ref="C15:D15"/>
    <mergeCell ref="E15:I15"/>
    <mergeCell ref="A14:I14"/>
    <mergeCell ref="C16:D16"/>
    <mergeCell ref="B9:H9"/>
    <mergeCell ref="B10:H10"/>
    <mergeCell ref="B11:H11"/>
    <mergeCell ref="B12:H12"/>
    <mergeCell ref="A3:F3"/>
    <mergeCell ref="A4:F4"/>
    <mergeCell ref="A6:F6"/>
    <mergeCell ref="E16:H16"/>
    <mergeCell ref="B74:G74"/>
    <mergeCell ref="B69:G69"/>
    <mergeCell ref="B28:H28"/>
    <mergeCell ref="B29:H29"/>
    <mergeCell ref="B30:H30"/>
    <mergeCell ref="A98:H98"/>
    <mergeCell ref="B99:H99"/>
    <mergeCell ref="B100:H100"/>
    <mergeCell ref="B86:G86"/>
    <mergeCell ref="B110:G110"/>
    <mergeCell ref="B111:G111"/>
    <mergeCell ref="A113:I113"/>
    <mergeCell ref="A103:I103"/>
    <mergeCell ref="A104:I104"/>
    <mergeCell ref="B105:G105"/>
    <mergeCell ref="B106:G106"/>
    <mergeCell ref="B107:G107"/>
    <mergeCell ref="B108:G108"/>
    <mergeCell ref="B109:G109"/>
    <mergeCell ref="B101:H101"/>
    <mergeCell ref="A102:H102"/>
    <mergeCell ref="B89:G89"/>
    <mergeCell ref="B87:G87"/>
    <mergeCell ref="B88:G88"/>
    <mergeCell ref="A90:H90"/>
    <mergeCell ref="B31:H31"/>
    <mergeCell ref="B32:H32"/>
    <mergeCell ref="B40:G40"/>
    <mergeCell ref="B41:G41"/>
    <mergeCell ref="A75:G75"/>
    <mergeCell ref="B68:G68"/>
    <mergeCell ref="B51:G51"/>
    <mergeCell ref="B66:G66"/>
    <mergeCell ref="B55:G55"/>
    <mergeCell ref="A56:G56"/>
    <mergeCell ref="B44:G44"/>
    <mergeCell ref="A45:H45"/>
    <mergeCell ref="A50:I50"/>
    <mergeCell ref="B72:G72"/>
    <mergeCell ref="B52:G52"/>
    <mergeCell ref="B83:G83"/>
    <mergeCell ref="B71:G71"/>
    <mergeCell ref="B73:G73"/>
    <mergeCell ref="A37:I37"/>
    <mergeCell ref="B38:G38"/>
    <mergeCell ref="B39:G39"/>
    <mergeCell ref="B43:G43"/>
    <mergeCell ref="B42:G42"/>
    <mergeCell ref="B53:G53"/>
    <mergeCell ref="A54:G54"/>
    <mergeCell ref="J14:P14"/>
    <mergeCell ref="J15:K15"/>
    <mergeCell ref="L15:M15"/>
    <mergeCell ref="N15:P15"/>
    <mergeCell ref="J16:K16"/>
    <mergeCell ref="L16:M16"/>
    <mergeCell ref="J27:P27"/>
    <mergeCell ref="B67:G67"/>
    <mergeCell ref="B70:G70"/>
    <mergeCell ref="K28:P28"/>
    <mergeCell ref="K29:P29"/>
    <mergeCell ref="K30:P30"/>
    <mergeCell ref="K31:P31"/>
    <mergeCell ref="K32:P32"/>
    <mergeCell ref="J37:P37"/>
    <mergeCell ref="K38:P38"/>
    <mergeCell ref="K39:P39"/>
    <mergeCell ref="K40:P40"/>
    <mergeCell ref="K41:P41"/>
    <mergeCell ref="K42:P42"/>
    <mergeCell ref="K43:P43"/>
    <mergeCell ref="K44:P44"/>
    <mergeCell ref="J45:P45"/>
    <mergeCell ref="J50:P50"/>
    <mergeCell ref="J1:P1"/>
    <mergeCell ref="J3:O3"/>
    <mergeCell ref="J4:O4"/>
    <mergeCell ref="J6:O6"/>
    <mergeCell ref="J8:P8"/>
    <mergeCell ref="K9:P9"/>
    <mergeCell ref="K10:P10"/>
    <mergeCell ref="K11:P11"/>
    <mergeCell ref="K12:P12"/>
    <mergeCell ref="K51:P51"/>
    <mergeCell ref="K52:P52"/>
    <mergeCell ref="K53:P53"/>
    <mergeCell ref="J54:P54"/>
    <mergeCell ref="K55:P55"/>
    <mergeCell ref="J56:P56"/>
    <mergeCell ref="K66:P66"/>
    <mergeCell ref="K67:P67"/>
    <mergeCell ref="K68:P68"/>
    <mergeCell ref="K69:P69"/>
    <mergeCell ref="K70:P70"/>
    <mergeCell ref="K71:P71"/>
    <mergeCell ref="K72:P72"/>
    <mergeCell ref="K73:P73"/>
    <mergeCell ref="K74:P74"/>
    <mergeCell ref="J75:P75"/>
    <mergeCell ref="K83:P83"/>
    <mergeCell ref="K84:P84"/>
    <mergeCell ref="K85:P85"/>
    <mergeCell ref="K86:P86"/>
    <mergeCell ref="K87:P87"/>
    <mergeCell ref="K88:P88"/>
    <mergeCell ref="K89:P89"/>
    <mergeCell ref="J90:P90"/>
    <mergeCell ref="J98:P98"/>
    <mergeCell ref="K99:P99"/>
    <mergeCell ref="K100:P100"/>
    <mergeCell ref="K101:P101"/>
    <mergeCell ref="J102:P102"/>
    <mergeCell ref="J103:P103"/>
    <mergeCell ref="J104:P104"/>
    <mergeCell ref="K105:P105"/>
    <mergeCell ref="K106:P106"/>
    <mergeCell ref="K107:P107"/>
    <mergeCell ref="K108:P108"/>
    <mergeCell ref="K109:P109"/>
    <mergeCell ref="K110:P110"/>
    <mergeCell ref="K111:P111"/>
    <mergeCell ref="J112:P112"/>
    <mergeCell ref="J113:P113"/>
    <mergeCell ref="J114:P114"/>
    <mergeCell ref="K119:P119"/>
    <mergeCell ref="K120:P120"/>
    <mergeCell ref="K121:P121"/>
    <mergeCell ref="K122:P122"/>
    <mergeCell ref="K123:P123"/>
    <mergeCell ref="K124:P124"/>
    <mergeCell ref="K125:P125"/>
    <mergeCell ref="J126:P126"/>
    <mergeCell ref="K127:P127"/>
    <mergeCell ref="J128:P128"/>
    <mergeCell ref="K130:P130"/>
    <mergeCell ref="K131:P131"/>
    <mergeCell ref="J132:P132"/>
    <mergeCell ref="J134:P134"/>
    <mergeCell ref="K135:P135"/>
    <mergeCell ref="K136:P136"/>
    <mergeCell ref="K137:P137"/>
    <mergeCell ref="J138:P138"/>
    <mergeCell ref="J139:P139"/>
    <mergeCell ref="J140:P140"/>
    <mergeCell ref="K141:P141"/>
    <mergeCell ref="K142:P142"/>
    <mergeCell ref="K143:P143"/>
    <mergeCell ref="K144:P144"/>
    <mergeCell ref="K145:P145"/>
    <mergeCell ref="J146:P146"/>
    <mergeCell ref="J150:P150"/>
    <mergeCell ref="K151:P151"/>
    <mergeCell ref="K152:P152"/>
    <mergeCell ref="K153:P153"/>
    <mergeCell ref="K154:P154"/>
    <mergeCell ref="K155:P155"/>
    <mergeCell ref="K156:P156"/>
    <mergeCell ref="K157:P157"/>
    <mergeCell ref="J158:P158"/>
    <mergeCell ref="J163:P163"/>
    <mergeCell ref="J164:P164"/>
    <mergeCell ref="K165:P165"/>
    <mergeCell ref="K166:P166"/>
    <mergeCell ref="K167:P167"/>
    <mergeCell ref="K168:P168"/>
    <mergeCell ref="K169:P169"/>
    <mergeCell ref="K170:P170"/>
    <mergeCell ref="A174:G174"/>
    <mergeCell ref="A175:G175"/>
    <mergeCell ref="K171:P171"/>
    <mergeCell ref="J172:P172"/>
    <mergeCell ref="O174:P174"/>
    <mergeCell ref="B169:H169"/>
    <mergeCell ref="B170:H170"/>
    <mergeCell ref="B171:H171"/>
    <mergeCell ref="A172:H172"/>
    <mergeCell ref="A178:I179"/>
    <mergeCell ref="A180:C180"/>
    <mergeCell ref="D180:F180"/>
    <mergeCell ref="G180:H180"/>
    <mergeCell ref="A181:C181"/>
    <mergeCell ref="D181:F181"/>
    <mergeCell ref="G181:H181"/>
    <mergeCell ref="A182:H182"/>
    <mergeCell ref="H175:I175"/>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F6E1CB-913E-46DC-B825-0446AC1C78A5}">
  <sheetPr>
    <tabColor rgb="FF00B0F0"/>
  </sheetPr>
  <dimension ref="A1:Q220"/>
  <sheetViews>
    <sheetView topLeftCell="A4" zoomScaleNormal="100" workbookViewId="0">
      <selection activeCell="I32" sqref="I32"/>
    </sheetView>
  </sheetViews>
  <sheetFormatPr defaultRowHeight="12.75" outlineLevelRow="1" x14ac:dyDescent="0.2"/>
  <cols>
    <col min="1" max="1" width="7.7109375" customWidth="1"/>
    <col min="2" max="2" width="15.28515625" customWidth="1"/>
    <col min="3" max="3" width="13.7109375" bestFit="1" customWidth="1"/>
    <col min="4" max="4" width="20.5703125" customWidth="1"/>
    <col min="5" max="5" width="17.7109375" customWidth="1"/>
    <col min="6" max="6" width="12.85546875" customWidth="1"/>
    <col min="7" max="7" width="12.140625" customWidth="1"/>
    <col min="8" max="8" width="17.42578125" customWidth="1"/>
    <col min="9" max="9" width="21.85546875" customWidth="1"/>
    <col min="10" max="10" width="17.28515625" hidden="1" customWidth="1"/>
    <col min="11" max="16" width="0" hidden="1" customWidth="1"/>
    <col min="18" max="18" width="15.42578125" bestFit="1" customWidth="1"/>
  </cols>
  <sheetData>
    <row r="1" spans="1:16" ht="13.5" thickBot="1" x14ac:dyDescent="0.25">
      <c r="A1" s="439" t="s">
        <v>33</v>
      </c>
      <c r="B1" s="440"/>
      <c r="C1" s="440"/>
      <c r="D1" s="440"/>
      <c r="E1" s="440"/>
      <c r="F1" s="440"/>
      <c r="G1" s="440"/>
      <c r="H1" s="440"/>
      <c r="I1" s="441"/>
      <c r="J1" s="439"/>
      <c r="K1" s="440"/>
      <c r="L1" s="440"/>
      <c r="M1" s="440"/>
      <c r="N1" s="440"/>
      <c r="O1" s="440"/>
      <c r="P1" s="440"/>
    </row>
    <row r="2" spans="1:16" x14ac:dyDescent="0.2">
      <c r="A2" s="287"/>
      <c r="B2" s="233"/>
      <c r="C2" s="233"/>
      <c r="D2" s="233"/>
      <c r="E2" s="233"/>
      <c r="F2" s="233"/>
      <c r="G2" s="233"/>
      <c r="H2" s="233"/>
      <c r="I2" s="288"/>
      <c r="J2" s="287"/>
      <c r="K2" s="233"/>
      <c r="L2" s="233"/>
      <c r="M2" s="233"/>
      <c r="N2" s="233"/>
      <c r="O2" s="233"/>
      <c r="P2" s="233"/>
    </row>
    <row r="3" spans="1:16" ht="15" customHeight="1" x14ac:dyDescent="0.2">
      <c r="A3" s="551" t="s">
        <v>224</v>
      </c>
      <c r="B3" s="443"/>
      <c r="C3" s="443"/>
      <c r="D3" s="443"/>
      <c r="E3" s="443"/>
      <c r="F3" s="443"/>
      <c r="G3" s="233"/>
      <c r="H3" s="233"/>
      <c r="I3" s="288"/>
      <c r="J3" s="444"/>
      <c r="K3" s="443"/>
      <c r="L3" s="443"/>
      <c r="M3" s="443"/>
      <c r="N3" s="443"/>
      <c r="O3" s="443"/>
      <c r="P3" s="233"/>
    </row>
    <row r="4" spans="1:16" ht="15" customHeight="1" x14ac:dyDescent="0.2">
      <c r="A4" s="444" t="s">
        <v>35</v>
      </c>
      <c r="B4" s="443"/>
      <c r="C4" s="443"/>
      <c r="D4" s="443"/>
      <c r="E4" s="443"/>
      <c r="F4" s="443"/>
      <c r="G4" s="233"/>
      <c r="H4" s="233"/>
      <c r="I4" s="288"/>
      <c r="J4" s="444"/>
      <c r="K4" s="443"/>
      <c r="L4" s="443"/>
      <c r="M4" s="443"/>
      <c r="N4" s="443"/>
      <c r="O4" s="443"/>
      <c r="P4" s="233"/>
    </row>
    <row r="5" spans="1:16" x14ac:dyDescent="0.2">
      <c r="A5" s="59"/>
      <c r="B5" s="9"/>
      <c r="C5" s="9"/>
      <c r="D5" s="9"/>
      <c r="E5" s="9"/>
      <c r="F5" s="9"/>
      <c r="G5" s="9"/>
      <c r="H5" s="9"/>
      <c r="I5" s="97"/>
      <c r="J5" s="59"/>
      <c r="K5" s="9"/>
      <c r="L5" s="9"/>
      <c r="M5" s="9"/>
      <c r="N5" s="9"/>
      <c r="O5" s="9"/>
      <c r="P5" s="9"/>
    </row>
    <row r="6" spans="1:16" x14ac:dyDescent="0.2">
      <c r="A6" s="444" t="s">
        <v>36</v>
      </c>
      <c r="B6" s="443"/>
      <c r="C6" s="443"/>
      <c r="D6" s="443"/>
      <c r="E6" s="443"/>
      <c r="F6" s="443"/>
      <c r="G6" s="9"/>
      <c r="H6" s="9"/>
      <c r="I6" s="97"/>
      <c r="J6" s="444"/>
      <c r="K6" s="443"/>
      <c r="L6" s="443"/>
      <c r="M6" s="443"/>
      <c r="N6" s="443"/>
      <c r="O6" s="443"/>
      <c r="P6" s="9"/>
    </row>
    <row r="7" spans="1:16" x14ac:dyDescent="0.2">
      <c r="A7" s="289"/>
      <c r="B7" s="234"/>
      <c r="C7" s="234"/>
      <c r="D7" s="234"/>
      <c r="E7" s="234"/>
      <c r="F7" s="234"/>
      <c r="G7" s="234"/>
      <c r="H7" s="234"/>
      <c r="I7" s="290"/>
      <c r="J7" s="289"/>
      <c r="K7" s="234"/>
      <c r="L7" s="234"/>
      <c r="M7" s="234"/>
      <c r="N7" s="234"/>
      <c r="O7" s="234"/>
      <c r="P7" s="234"/>
    </row>
    <row r="8" spans="1:16" x14ac:dyDescent="0.2">
      <c r="A8" s="447" t="s">
        <v>37</v>
      </c>
      <c r="B8" s="448"/>
      <c r="C8" s="448"/>
      <c r="D8" s="448"/>
      <c r="E8" s="448"/>
      <c r="F8" s="448"/>
      <c r="G8" s="448"/>
      <c r="H8" s="448"/>
      <c r="I8" s="449"/>
      <c r="J8" s="447"/>
      <c r="K8" s="448"/>
      <c r="L8" s="448"/>
      <c r="M8" s="448"/>
      <c r="N8" s="448"/>
      <c r="O8" s="448"/>
      <c r="P8" s="448"/>
    </row>
    <row r="9" spans="1:16" x14ac:dyDescent="0.2">
      <c r="A9" s="292" t="s">
        <v>38</v>
      </c>
      <c r="B9" s="445" t="s">
        <v>39</v>
      </c>
      <c r="C9" s="446"/>
      <c r="D9" s="446"/>
      <c r="E9" s="446"/>
      <c r="F9" s="446"/>
      <c r="G9" s="446"/>
      <c r="H9" s="446"/>
      <c r="I9" s="293">
        <f>'Limpeza - Item 8'!I9</f>
        <v>45863</v>
      </c>
      <c r="J9" s="292"/>
      <c r="K9" s="445"/>
      <c r="L9" s="446"/>
      <c r="M9" s="446"/>
      <c r="N9" s="446"/>
      <c r="O9" s="446"/>
      <c r="P9" s="446"/>
    </row>
    <row r="10" spans="1:16" x14ac:dyDescent="0.2">
      <c r="A10" s="292" t="s">
        <v>40</v>
      </c>
      <c r="B10" s="445" t="s">
        <v>41</v>
      </c>
      <c r="C10" s="446"/>
      <c r="D10" s="446"/>
      <c r="E10" s="446"/>
      <c r="F10" s="446"/>
      <c r="G10" s="446"/>
      <c r="H10" s="446"/>
      <c r="I10" s="294" t="str">
        <f>'Limpeza - Item 8'!I10</f>
        <v>Vitória/ES</v>
      </c>
      <c r="J10" s="292"/>
      <c r="K10" s="445"/>
      <c r="L10" s="446"/>
      <c r="M10" s="446"/>
      <c r="N10" s="446"/>
      <c r="O10" s="446"/>
      <c r="P10" s="446"/>
    </row>
    <row r="11" spans="1:16" x14ac:dyDescent="0.2">
      <c r="A11" s="292" t="s">
        <v>43</v>
      </c>
      <c r="B11" s="445" t="s">
        <v>44</v>
      </c>
      <c r="C11" s="445"/>
      <c r="D11" s="445"/>
      <c r="E11" s="445"/>
      <c r="F11" s="445"/>
      <c r="G11" s="445"/>
      <c r="H11" s="445"/>
      <c r="I11" s="294" t="str">
        <f>'Limpeza - Item 8'!I11</f>
        <v>ES000055/2025</v>
      </c>
      <c r="J11" s="292"/>
      <c r="K11" s="445"/>
      <c r="L11" s="445"/>
      <c r="M11" s="445"/>
      <c r="N11" s="445"/>
      <c r="O11" s="445"/>
      <c r="P11" s="445"/>
    </row>
    <row r="12" spans="1:16" x14ac:dyDescent="0.2">
      <c r="A12" s="292" t="s">
        <v>46</v>
      </c>
      <c r="B12" s="445" t="s">
        <v>47</v>
      </c>
      <c r="C12" s="446"/>
      <c r="D12" s="446"/>
      <c r="E12" s="446"/>
      <c r="F12" s="446"/>
      <c r="G12" s="446"/>
      <c r="H12" s="446"/>
      <c r="I12" s="295">
        <v>60</v>
      </c>
      <c r="J12" s="292"/>
      <c r="K12" s="445"/>
      <c r="L12" s="446"/>
      <c r="M12" s="446"/>
      <c r="N12" s="446"/>
      <c r="O12" s="446"/>
      <c r="P12" s="446"/>
    </row>
    <row r="13" spans="1:16" x14ac:dyDescent="0.2">
      <c r="A13" s="287"/>
      <c r="B13" s="234"/>
      <c r="C13" s="234"/>
      <c r="D13" s="234"/>
      <c r="E13" s="234"/>
      <c r="F13" s="234"/>
      <c r="G13" s="234"/>
      <c r="H13" s="233"/>
      <c r="I13" s="288"/>
      <c r="J13" s="287"/>
      <c r="K13" s="234"/>
      <c r="L13" s="234"/>
      <c r="M13" s="234"/>
      <c r="N13" s="234"/>
      <c r="O13" s="234"/>
      <c r="P13" s="234"/>
    </row>
    <row r="14" spans="1:16" x14ac:dyDescent="0.2">
      <c r="A14" s="447" t="s">
        <v>48</v>
      </c>
      <c r="B14" s="448"/>
      <c r="C14" s="448"/>
      <c r="D14" s="448"/>
      <c r="E14" s="448"/>
      <c r="F14" s="448"/>
      <c r="G14" s="448"/>
      <c r="H14" s="448"/>
      <c r="I14" s="449"/>
      <c r="J14" s="447"/>
      <c r="K14" s="448"/>
      <c r="L14" s="448"/>
      <c r="M14" s="448"/>
      <c r="N14" s="448"/>
      <c r="O14" s="448"/>
      <c r="P14" s="448"/>
    </row>
    <row r="15" spans="1:16" x14ac:dyDescent="0.2">
      <c r="A15" s="456" t="s">
        <v>49</v>
      </c>
      <c r="B15" s="457"/>
      <c r="C15" s="457" t="s">
        <v>50</v>
      </c>
      <c r="D15" s="457"/>
      <c r="E15" s="458" t="s">
        <v>51</v>
      </c>
      <c r="F15" s="458"/>
      <c r="G15" s="458"/>
      <c r="H15" s="458"/>
      <c r="I15" s="459"/>
      <c r="J15" s="456"/>
      <c r="K15" s="457"/>
      <c r="L15" s="457"/>
      <c r="M15" s="457"/>
      <c r="N15" s="457"/>
      <c r="O15" s="457"/>
      <c r="P15" s="457"/>
    </row>
    <row r="16" spans="1:16" s="41" customFormat="1" ht="25.5" customHeight="1" x14ac:dyDescent="0.2">
      <c r="A16" s="450" t="s">
        <v>233</v>
      </c>
      <c r="B16" s="451"/>
      <c r="C16" s="452" t="s">
        <v>53</v>
      </c>
      <c r="D16" s="453"/>
      <c r="E16" s="454" t="s">
        <v>18</v>
      </c>
      <c r="F16" s="454"/>
      <c r="G16" s="454"/>
      <c r="H16" s="454"/>
      <c r="I16" s="344">
        <v>1</v>
      </c>
      <c r="J16" s="450"/>
      <c r="K16" s="451"/>
      <c r="L16" s="452"/>
      <c r="M16" s="451"/>
      <c r="O16" s="286"/>
      <c r="P16" s="286"/>
    </row>
    <row r="17" spans="1:16" ht="15" customHeight="1" x14ac:dyDescent="0.2">
      <c r="A17" s="298"/>
      <c r="B17" s="235"/>
      <c r="C17" s="31"/>
      <c r="D17" s="236"/>
      <c r="E17" s="32"/>
      <c r="F17" s="237"/>
      <c r="G17" s="237"/>
      <c r="H17" s="237"/>
      <c r="I17" s="299"/>
      <c r="J17" s="298"/>
      <c r="K17" s="235"/>
      <c r="L17" s="31"/>
      <c r="M17" s="236"/>
      <c r="N17" s="32"/>
      <c r="O17" s="237"/>
      <c r="P17" s="237"/>
    </row>
    <row r="18" spans="1:16" ht="15" customHeight="1" x14ac:dyDescent="0.2">
      <c r="A18" s="300" t="s">
        <v>54</v>
      </c>
      <c r="B18" s="235"/>
      <c r="C18" s="31"/>
      <c r="D18" s="236"/>
      <c r="E18" s="32"/>
      <c r="F18" s="237"/>
      <c r="G18" s="237"/>
      <c r="H18" s="237"/>
      <c r="I18" s="299"/>
      <c r="J18" s="300"/>
      <c r="K18" s="235"/>
      <c r="L18" s="31"/>
      <c r="M18" s="236"/>
      <c r="N18" s="32"/>
      <c r="O18" s="237"/>
      <c r="P18" s="237"/>
    </row>
    <row r="19" spans="1:16" ht="15" customHeight="1" x14ac:dyDescent="0.2">
      <c r="A19" s="300" t="s">
        <v>55</v>
      </c>
      <c r="B19" s="235"/>
      <c r="C19" s="31"/>
      <c r="D19" s="236"/>
      <c r="E19" s="32"/>
      <c r="F19" s="237"/>
      <c r="G19" s="237"/>
      <c r="H19" s="237"/>
      <c r="I19" s="299"/>
      <c r="J19" s="300"/>
      <c r="K19" s="235"/>
      <c r="L19" s="31"/>
      <c r="M19" s="236"/>
      <c r="N19" s="32"/>
      <c r="O19" s="237"/>
      <c r="P19" s="237"/>
    </row>
    <row r="20" spans="1:16" ht="15" customHeight="1" x14ac:dyDescent="0.2">
      <c r="A20" s="300" t="s">
        <v>56</v>
      </c>
      <c r="B20" s="235"/>
      <c r="C20" s="31"/>
      <c r="D20" s="236"/>
      <c r="E20" s="32"/>
      <c r="F20" s="237"/>
      <c r="G20" s="237"/>
      <c r="H20" s="237"/>
      <c r="I20" s="299"/>
      <c r="J20" s="300"/>
      <c r="K20" s="235"/>
      <c r="L20" s="31"/>
      <c r="M20" s="236"/>
      <c r="N20" s="32"/>
      <c r="O20" s="237"/>
      <c r="P20" s="237"/>
    </row>
    <row r="21" spans="1:16" ht="15" customHeight="1" x14ac:dyDescent="0.2">
      <c r="A21" s="300" t="s">
        <v>57</v>
      </c>
      <c r="B21" s="235"/>
      <c r="C21" s="31"/>
      <c r="D21" s="236"/>
      <c r="E21" s="32"/>
      <c r="F21" s="237"/>
      <c r="G21" s="237"/>
      <c r="H21" s="237"/>
      <c r="I21" s="299"/>
      <c r="J21" s="300"/>
      <c r="K21" s="235"/>
      <c r="L21" s="31"/>
      <c r="M21" s="236"/>
      <c r="N21" s="32"/>
      <c r="O21" s="237"/>
      <c r="P21" s="237"/>
    </row>
    <row r="22" spans="1:16" ht="15" customHeight="1" x14ac:dyDescent="0.2">
      <c r="A22" s="301"/>
      <c r="B22" s="235"/>
      <c r="C22" s="31"/>
      <c r="D22" s="236"/>
      <c r="E22" s="32"/>
      <c r="F22" s="237"/>
      <c r="G22" s="237"/>
      <c r="H22" s="237"/>
      <c r="I22" s="302"/>
      <c r="J22" s="301"/>
      <c r="K22" s="235"/>
      <c r="L22" s="31"/>
      <c r="M22" s="236"/>
      <c r="N22" s="32"/>
      <c r="O22" s="237"/>
      <c r="P22" s="237"/>
    </row>
    <row r="23" spans="1:16" ht="15" customHeight="1" x14ac:dyDescent="0.2">
      <c r="A23" s="303" t="s">
        <v>58</v>
      </c>
      <c r="B23" s="235"/>
      <c r="C23" s="31"/>
      <c r="D23" s="236"/>
      <c r="E23" s="32"/>
      <c r="F23" s="237"/>
      <c r="G23" s="237"/>
      <c r="H23" s="237"/>
      <c r="I23" s="299"/>
      <c r="J23" s="303"/>
      <c r="K23" s="235"/>
      <c r="L23" s="31"/>
      <c r="M23" s="236"/>
      <c r="N23" s="32"/>
      <c r="O23" s="237"/>
      <c r="P23" s="237"/>
    </row>
    <row r="24" spans="1:16" ht="15" customHeight="1" x14ac:dyDescent="0.2">
      <c r="A24" s="298"/>
      <c r="B24" s="235"/>
      <c r="C24" s="31"/>
      <c r="D24" s="236"/>
      <c r="E24" s="32"/>
      <c r="F24" s="237"/>
      <c r="G24" s="237"/>
      <c r="H24" s="237"/>
      <c r="I24" s="299"/>
      <c r="J24" s="298"/>
      <c r="K24" s="235"/>
      <c r="L24" s="31"/>
      <c r="M24" s="236"/>
      <c r="N24" s="32"/>
      <c r="O24" s="237"/>
      <c r="P24" s="237"/>
    </row>
    <row r="25" spans="1:16" ht="15" customHeight="1" x14ac:dyDescent="0.2">
      <c r="A25" s="303" t="s">
        <v>59</v>
      </c>
      <c r="B25" s="235"/>
      <c r="C25" s="31"/>
      <c r="D25" s="236"/>
      <c r="E25" s="32"/>
      <c r="F25" s="237"/>
      <c r="G25" s="237"/>
      <c r="H25" s="237"/>
      <c r="I25" s="299"/>
      <c r="J25" s="303"/>
      <c r="K25" s="235"/>
      <c r="L25" s="31"/>
      <c r="M25" s="236"/>
      <c r="N25" s="32"/>
      <c r="O25" s="237"/>
      <c r="P25" s="237"/>
    </row>
    <row r="26" spans="1:16" ht="15" customHeight="1" x14ac:dyDescent="0.2">
      <c r="A26" s="300" t="s">
        <v>60</v>
      </c>
      <c r="B26" s="235"/>
      <c r="C26" s="31"/>
      <c r="D26" s="236"/>
      <c r="E26" s="32"/>
      <c r="F26" s="237"/>
      <c r="G26" s="237"/>
      <c r="H26" s="237"/>
      <c r="I26" s="299"/>
      <c r="J26" s="300"/>
      <c r="K26" s="235"/>
      <c r="L26" s="31"/>
      <c r="M26" s="236"/>
      <c r="N26" s="32"/>
      <c r="O26" s="237"/>
      <c r="P26" s="237"/>
    </row>
    <row r="27" spans="1:16" x14ac:dyDescent="0.2">
      <c r="A27" s="447" t="s">
        <v>61</v>
      </c>
      <c r="B27" s="448"/>
      <c r="C27" s="448"/>
      <c r="D27" s="448"/>
      <c r="E27" s="448"/>
      <c r="F27" s="448"/>
      <c r="G27" s="448"/>
      <c r="H27" s="448"/>
      <c r="I27" s="449"/>
      <c r="J27" s="447"/>
      <c r="K27" s="448"/>
      <c r="L27" s="448"/>
      <c r="M27" s="448"/>
      <c r="N27" s="448"/>
      <c r="O27" s="448"/>
      <c r="P27" s="448"/>
    </row>
    <row r="28" spans="1:16" ht="25.5" x14ac:dyDescent="0.2">
      <c r="A28" s="304">
        <v>1</v>
      </c>
      <c r="B28" s="455" t="s">
        <v>62</v>
      </c>
      <c r="C28" s="455"/>
      <c r="D28" s="455"/>
      <c r="E28" s="455"/>
      <c r="F28" s="455"/>
      <c r="G28" s="455"/>
      <c r="H28" s="455"/>
      <c r="I28" s="305" t="str">
        <f>A16</f>
        <v>Remanejamento de moveis e equipamentos</v>
      </c>
      <c r="J28" s="304"/>
      <c r="K28" s="455"/>
      <c r="L28" s="455"/>
      <c r="M28" s="455"/>
      <c r="N28" s="455"/>
      <c r="O28" s="455"/>
      <c r="P28" s="455"/>
    </row>
    <row r="29" spans="1:16" x14ac:dyDescent="0.2">
      <c r="A29" s="292">
        <v>2</v>
      </c>
      <c r="B29" s="445" t="s">
        <v>63</v>
      </c>
      <c r="C29" s="445"/>
      <c r="D29" s="445"/>
      <c r="E29" s="445"/>
      <c r="F29" s="445"/>
      <c r="G29" s="445"/>
      <c r="H29" s="445"/>
      <c r="I29" s="306" t="s">
        <v>64</v>
      </c>
      <c r="J29" s="292"/>
      <c r="K29" s="445"/>
      <c r="L29" s="445"/>
      <c r="M29" s="445"/>
      <c r="N29" s="445"/>
      <c r="O29" s="445"/>
      <c r="P29" s="445"/>
    </row>
    <row r="30" spans="1:16" x14ac:dyDescent="0.2">
      <c r="A30" s="292">
        <v>3</v>
      </c>
      <c r="B30" s="446" t="s">
        <v>65</v>
      </c>
      <c r="C30" s="446"/>
      <c r="D30" s="446"/>
      <c r="E30" s="446"/>
      <c r="F30" s="446"/>
      <c r="G30" s="446"/>
      <c r="H30" s="446"/>
      <c r="I30" s="307">
        <v>1553.88</v>
      </c>
      <c r="J30" s="292"/>
      <c r="K30" s="446"/>
      <c r="L30" s="446"/>
      <c r="M30" s="446"/>
      <c r="N30" s="446"/>
      <c r="O30" s="446"/>
      <c r="P30" s="446"/>
    </row>
    <row r="31" spans="1:16" ht="46.5" customHeight="1" x14ac:dyDescent="0.2">
      <c r="A31" s="304">
        <v>4</v>
      </c>
      <c r="B31" s="455" t="s">
        <v>66</v>
      </c>
      <c r="C31" s="455"/>
      <c r="D31" s="455"/>
      <c r="E31" s="455"/>
      <c r="F31" s="455"/>
      <c r="G31" s="455"/>
      <c r="H31" s="455"/>
      <c r="I31" s="308" t="s">
        <v>234</v>
      </c>
      <c r="J31" s="304"/>
      <c r="K31" s="455"/>
      <c r="L31" s="455"/>
      <c r="M31" s="455"/>
      <c r="N31" s="455"/>
      <c r="O31" s="455"/>
      <c r="P31" s="455"/>
    </row>
    <row r="32" spans="1:16" x14ac:dyDescent="0.2">
      <c r="A32" s="292">
        <v>5</v>
      </c>
      <c r="B32" s="445" t="s">
        <v>69</v>
      </c>
      <c r="C32" s="446"/>
      <c r="D32" s="446"/>
      <c r="E32" s="446"/>
      <c r="F32" s="446"/>
      <c r="G32" s="446"/>
      <c r="H32" s="446"/>
      <c r="I32" s="293">
        <v>45688</v>
      </c>
      <c r="J32" s="292"/>
      <c r="K32" s="445"/>
      <c r="L32" s="446"/>
      <c r="M32" s="446"/>
      <c r="N32" s="446"/>
      <c r="O32" s="446"/>
      <c r="P32" s="446"/>
    </row>
    <row r="33" spans="1:17" x14ac:dyDescent="0.2">
      <c r="A33" s="287"/>
      <c r="B33" s="234"/>
      <c r="C33" s="234"/>
      <c r="D33" s="234"/>
      <c r="E33" s="234"/>
      <c r="F33" s="234"/>
      <c r="G33" s="234"/>
      <c r="H33" s="234"/>
      <c r="I33" s="309"/>
      <c r="J33" s="287"/>
      <c r="K33" s="234"/>
      <c r="L33" s="234"/>
      <c r="M33" s="234"/>
      <c r="N33" s="234"/>
      <c r="O33" s="234"/>
      <c r="P33" s="234"/>
    </row>
    <row r="34" spans="1:17" x14ac:dyDescent="0.2">
      <c r="A34" s="300" t="s">
        <v>70</v>
      </c>
      <c r="B34" s="234"/>
      <c r="C34" s="234"/>
      <c r="D34" s="234"/>
      <c r="E34" s="234"/>
      <c r="F34" s="234"/>
      <c r="G34" s="234"/>
      <c r="H34" s="234"/>
      <c r="I34" s="309"/>
      <c r="J34" s="300"/>
      <c r="K34" s="234"/>
      <c r="L34" s="234"/>
      <c r="M34" s="234"/>
      <c r="N34" s="234"/>
      <c r="O34" s="234"/>
      <c r="P34" s="234"/>
    </row>
    <row r="35" spans="1:17" x14ac:dyDescent="0.2">
      <c r="A35" s="300" t="s">
        <v>71</v>
      </c>
      <c r="B35" s="234"/>
      <c r="C35" s="234"/>
      <c r="D35" s="234"/>
      <c r="E35" s="234"/>
      <c r="F35" s="234"/>
      <c r="G35" s="234"/>
      <c r="H35" s="234"/>
      <c r="I35" s="309"/>
      <c r="J35" s="300"/>
      <c r="K35" s="234"/>
      <c r="L35" s="234"/>
      <c r="M35" s="234"/>
      <c r="N35" s="234"/>
      <c r="O35" s="234"/>
      <c r="P35" s="234"/>
    </row>
    <row r="36" spans="1:17" x14ac:dyDescent="0.2">
      <c r="A36" s="57"/>
      <c r="I36" s="58"/>
      <c r="J36" s="57"/>
    </row>
    <row r="37" spans="1:17" x14ac:dyDescent="0.2">
      <c r="A37" s="460" t="s">
        <v>72</v>
      </c>
      <c r="B37" s="461"/>
      <c r="C37" s="461"/>
      <c r="D37" s="461"/>
      <c r="E37" s="461"/>
      <c r="F37" s="461"/>
      <c r="G37" s="461"/>
      <c r="H37" s="461"/>
      <c r="I37" s="462"/>
      <c r="J37" s="460"/>
      <c r="K37" s="461"/>
      <c r="L37" s="461"/>
      <c r="M37" s="461"/>
      <c r="N37" s="461"/>
      <c r="O37" s="461"/>
      <c r="P37" s="461"/>
    </row>
    <row r="38" spans="1:17" x14ac:dyDescent="0.2">
      <c r="A38" s="296">
        <v>1</v>
      </c>
      <c r="B38" s="457" t="s">
        <v>73</v>
      </c>
      <c r="C38" s="457"/>
      <c r="D38" s="457"/>
      <c r="E38" s="457"/>
      <c r="F38" s="457"/>
      <c r="G38" s="457"/>
      <c r="H38" s="8" t="s">
        <v>74</v>
      </c>
      <c r="I38" s="297" t="s">
        <v>75</v>
      </c>
      <c r="J38" s="296"/>
      <c r="K38" s="457"/>
      <c r="L38" s="457"/>
      <c r="M38" s="457"/>
      <c r="N38" s="457"/>
      <c r="O38" s="457"/>
      <c r="P38" s="457"/>
    </row>
    <row r="39" spans="1:17" x14ac:dyDescent="0.2">
      <c r="A39" s="296" t="s">
        <v>38</v>
      </c>
      <c r="B39" s="445" t="s">
        <v>76</v>
      </c>
      <c r="C39" s="445"/>
      <c r="D39" s="445"/>
      <c r="E39" s="445"/>
      <c r="F39" s="445"/>
      <c r="G39" s="445"/>
      <c r="H39" s="20"/>
      <c r="I39" s="310">
        <f>I30</f>
        <v>1553.88</v>
      </c>
      <c r="J39" s="296"/>
      <c r="K39" s="445"/>
      <c r="L39" s="445"/>
      <c r="M39" s="445"/>
      <c r="N39" s="445"/>
      <c r="O39" s="445"/>
      <c r="P39" s="445"/>
    </row>
    <row r="40" spans="1:17" x14ac:dyDescent="0.2">
      <c r="A40" s="296" t="s">
        <v>40</v>
      </c>
      <c r="B40" s="445" t="s">
        <v>77</v>
      </c>
      <c r="C40" s="445"/>
      <c r="D40" s="445"/>
      <c r="E40" s="445"/>
      <c r="F40" s="445"/>
      <c r="G40" s="445"/>
      <c r="H40" s="2"/>
      <c r="I40" s="310">
        <f>I39*H40</f>
        <v>0</v>
      </c>
      <c r="J40" s="296"/>
      <c r="K40" s="445"/>
      <c r="L40" s="445"/>
      <c r="M40" s="445"/>
      <c r="N40" s="445"/>
      <c r="O40" s="445"/>
      <c r="P40" s="445"/>
      <c r="Q40" s="25"/>
    </row>
    <row r="41" spans="1:17" x14ac:dyDescent="0.2">
      <c r="A41" s="296" t="s">
        <v>43</v>
      </c>
      <c r="B41" s="445" t="s">
        <v>78</v>
      </c>
      <c r="C41" s="445"/>
      <c r="D41" s="445"/>
      <c r="E41" s="445"/>
      <c r="F41" s="445"/>
      <c r="G41" s="445"/>
      <c r="H41" s="2"/>
      <c r="I41" s="310">
        <f>H41*I39</f>
        <v>0</v>
      </c>
      <c r="J41" s="296"/>
      <c r="K41" s="445"/>
      <c r="L41" s="445"/>
      <c r="M41" s="445"/>
      <c r="N41" s="445"/>
      <c r="O41" s="445"/>
      <c r="P41" s="445"/>
    </row>
    <row r="42" spans="1:17" x14ac:dyDescent="0.2">
      <c r="A42" s="296" t="s">
        <v>46</v>
      </c>
      <c r="B42" s="445" t="s">
        <v>79</v>
      </c>
      <c r="C42" s="445"/>
      <c r="D42" s="445"/>
      <c r="E42" s="445"/>
      <c r="F42" s="445"/>
      <c r="G42" s="445"/>
      <c r="H42" s="2"/>
      <c r="I42" s="310">
        <v>0</v>
      </c>
      <c r="J42" s="296"/>
      <c r="K42" s="445"/>
      <c r="L42" s="445"/>
      <c r="M42" s="445"/>
      <c r="N42" s="445"/>
      <c r="O42" s="445"/>
      <c r="P42" s="445"/>
      <c r="Q42" s="25"/>
    </row>
    <row r="43" spans="1:17" x14ac:dyDescent="0.2">
      <c r="A43" s="296" t="s">
        <v>80</v>
      </c>
      <c r="B43" s="445" t="s">
        <v>81</v>
      </c>
      <c r="C43" s="445"/>
      <c r="D43" s="445"/>
      <c r="E43" s="445"/>
      <c r="F43" s="445"/>
      <c r="G43" s="445"/>
      <c r="H43" s="5"/>
      <c r="I43" s="310">
        <v>0</v>
      </c>
      <c r="J43" s="296"/>
      <c r="K43" s="445"/>
      <c r="L43" s="445"/>
      <c r="M43" s="445"/>
      <c r="N43" s="445"/>
      <c r="O43" s="445"/>
      <c r="P43" s="445"/>
      <c r="Q43" s="25"/>
    </row>
    <row r="44" spans="1:17" x14ac:dyDescent="0.2">
      <c r="A44" s="296" t="s">
        <v>82</v>
      </c>
      <c r="B44" s="445" t="s">
        <v>83</v>
      </c>
      <c r="C44" s="445"/>
      <c r="D44" s="445"/>
      <c r="E44" s="445"/>
      <c r="F44" s="445"/>
      <c r="G44" s="445"/>
      <c r="H44" s="2"/>
      <c r="I44" s="310">
        <v>0</v>
      </c>
      <c r="J44" s="296"/>
      <c r="K44" s="445"/>
      <c r="L44" s="445"/>
      <c r="M44" s="445"/>
      <c r="N44" s="445"/>
      <c r="O44" s="445"/>
      <c r="P44" s="445"/>
    </row>
    <row r="45" spans="1:17" x14ac:dyDescent="0.2">
      <c r="A45" s="463" t="s">
        <v>84</v>
      </c>
      <c r="B45" s="448"/>
      <c r="C45" s="448"/>
      <c r="D45" s="448"/>
      <c r="E45" s="448"/>
      <c r="F45" s="448"/>
      <c r="G45" s="448"/>
      <c r="H45" s="448"/>
      <c r="I45" s="311">
        <f>SUM(I39:I44)</f>
        <v>1553.88</v>
      </c>
      <c r="J45" s="463"/>
      <c r="K45" s="448"/>
      <c r="L45" s="448"/>
      <c r="M45" s="448"/>
      <c r="N45" s="448"/>
      <c r="O45" s="448"/>
      <c r="P45" s="448"/>
    </row>
    <row r="46" spans="1:17" s="9" customFormat="1" x14ac:dyDescent="0.2">
      <c r="A46" s="59"/>
      <c r="I46" s="97"/>
      <c r="J46" s="59"/>
    </row>
    <row r="47" spans="1:17" s="9" customFormat="1" x14ac:dyDescent="0.2">
      <c r="A47" s="300" t="s">
        <v>85</v>
      </c>
      <c r="I47" s="97"/>
      <c r="J47" s="300"/>
    </row>
    <row r="48" spans="1:17" s="9" customFormat="1" x14ac:dyDescent="0.2">
      <c r="A48" s="300" t="s">
        <v>86</v>
      </c>
      <c r="I48" s="97"/>
      <c r="J48" s="300"/>
    </row>
    <row r="49" spans="1:16" x14ac:dyDescent="0.2">
      <c r="A49" s="312"/>
      <c r="B49" s="3"/>
      <c r="C49" s="3"/>
      <c r="D49" s="3"/>
      <c r="E49" s="3"/>
      <c r="F49" s="3"/>
      <c r="G49" s="3"/>
      <c r="H49" s="3"/>
      <c r="I49" s="61"/>
      <c r="J49" s="312"/>
      <c r="K49" s="3"/>
      <c r="L49" s="3"/>
      <c r="M49" s="3"/>
      <c r="N49" s="3"/>
      <c r="O49" s="3"/>
      <c r="P49" s="3"/>
    </row>
    <row r="50" spans="1:16" x14ac:dyDescent="0.2">
      <c r="A50" s="460" t="s">
        <v>87</v>
      </c>
      <c r="B50" s="461"/>
      <c r="C50" s="461"/>
      <c r="D50" s="461"/>
      <c r="E50" s="461"/>
      <c r="F50" s="461"/>
      <c r="G50" s="461"/>
      <c r="H50" s="461"/>
      <c r="I50" s="462"/>
      <c r="J50" s="460"/>
      <c r="K50" s="461"/>
      <c r="L50" s="461"/>
      <c r="M50" s="461"/>
      <c r="N50" s="461"/>
      <c r="O50" s="461"/>
      <c r="P50" s="461"/>
    </row>
    <row r="51" spans="1:16" x14ac:dyDescent="0.2">
      <c r="A51" s="313" t="s">
        <v>88</v>
      </c>
      <c r="B51" s="466" t="s">
        <v>89</v>
      </c>
      <c r="C51" s="467"/>
      <c r="D51" s="467"/>
      <c r="E51" s="467"/>
      <c r="F51" s="467"/>
      <c r="G51" s="468"/>
      <c r="H51" s="8" t="s">
        <v>74</v>
      </c>
      <c r="I51" s="297" t="s">
        <v>75</v>
      </c>
      <c r="J51" s="313"/>
      <c r="K51" s="466"/>
      <c r="L51" s="467"/>
      <c r="M51" s="467"/>
      <c r="N51" s="467"/>
      <c r="O51" s="467"/>
      <c r="P51" s="468"/>
    </row>
    <row r="52" spans="1:16" ht="13.5" customHeight="1" x14ac:dyDescent="0.2">
      <c r="A52" s="296" t="s">
        <v>38</v>
      </c>
      <c r="B52" s="445" t="s">
        <v>90</v>
      </c>
      <c r="C52" s="445"/>
      <c r="D52" s="445"/>
      <c r="E52" s="445"/>
      <c r="F52" s="445"/>
      <c r="G52" s="445"/>
      <c r="H52" s="1">
        <f>1/12</f>
        <v>8.3333333333333329E-2</v>
      </c>
      <c r="I52" s="82">
        <f>$I$45*H52</f>
        <v>129.49</v>
      </c>
      <c r="J52" s="296"/>
      <c r="K52" s="445"/>
      <c r="L52" s="445"/>
      <c r="M52" s="445"/>
      <c r="N52" s="445"/>
      <c r="O52" s="445"/>
      <c r="P52" s="445"/>
    </row>
    <row r="53" spans="1:16" x14ac:dyDescent="0.2">
      <c r="A53" s="296" t="s">
        <v>40</v>
      </c>
      <c r="B53" s="445" t="s">
        <v>91</v>
      </c>
      <c r="C53" s="445"/>
      <c r="D53" s="445"/>
      <c r="E53" s="445"/>
      <c r="F53" s="445"/>
      <c r="G53" s="445"/>
      <c r="H53" s="22">
        <v>0.121</v>
      </c>
      <c r="I53" s="82">
        <f>$I$45*H53</f>
        <v>188.01948000000002</v>
      </c>
      <c r="J53" s="296"/>
      <c r="K53" s="445"/>
      <c r="L53" s="445"/>
      <c r="M53" s="445"/>
      <c r="N53" s="445"/>
      <c r="O53" s="445"/>
      <c r="P53" s="445"/>
    </row>
    <row r="54" spans="1:16" x14ac:dyDescent="0.2">
      <c r="A54" s="447" t="s">
        <v>92</v>
      </c>
      <c r="B54" s="448"/>
      <c r="C54" s="448"/>
      <c r="D54" s="448"/>
      <c r="E54" s="448"/>
      <c r="F54" s="448"/>
      <c r="G54" s="448"/>
      <c r="H54" s="33">
        <f>TRUNC(SUM(H52:H53),4)</f>
        <v>0.20430000000000001</v>
      </c>
      <c r="I54" s="314">
        <f>SUM(I52:I53)</f>
        <v>317.50948000000005</v>
      </c>
      <c r="J54" s="447"/>
      <c r="K54" s="448"/>
      <c r="L54" s="448"/>
      <c r="M54" s="448"/>
      <c r="N54" s="448"/>
      <c r="O54" s="448"/>
      <c r="P54" s="448"/>
    </row>
    <row r="55" spans="1:16" ht="21.95" customHeight="1" x14ac:dyDescent="0.2">
      <c r="A55" s="313" t="s">
        <v>43</v>
      </c>
      <c r="B55" s="465" t="s">
        <v>93</v>
      </c>
      <c r="C55" s="465"/>
      <c r="D55" s="465"/>
      <c r="E55" s="465"/>
      <c r="F55" s="465"/>
      <c r="G55" s="465"/>
      <c r="H55" s="149">
        <f>H54*H75</f>
        <v>7.518240000000001E-2</v>
      </c>
      <c r="I55" s="83">
        <f>$I$45*H55</f>
        <v>116.82442771200003</v>
      </c>
      <c r="J55" s="313"/>
      <c r="K55" s="465"/>
      <c r="L55" s="465"/>
      <c r="M55" s="465"/>
      <c r="N55" s="465"/>
      <c r="O55" s="465"/>
      <c r="P55" s="465"/>
    </row>
    <row r="56" spans="1:16" x14ac:dyDescent="0.2">
      <c r="A56" s="447" t="s">
        <v>94</v>
      </c>
      <c r="B56" s="448"/>
      <c r="C56" s="448"/>
      <c r="D56" s="448"/>
      <c r="E56" s="448"/>
      <c r="F56" s="448"/>
      <c r="G56" s="448"/>
      <c r="H56" s="33">
        <f>TRUNC(SUM(H54:H55),4)</f>
        <v>0.27939999999999998</v>
      </c>
      <c r="I56" s="314">
        <f>SUM(I54:I55)</f>
        <v>434.3339077120001</v>
      </c>
      <c r="J56" s="447"/>
      <c r="K56" s="448"/>
      <c r="L56" s="448"/>
      <c r="M56" s="448"/>
      <c r="N56" s="448"/>
      <c r="O56" s="448"/>
      <c r="P56" s="448"/>
    </row>
    <row r="57" spans="1:16" x14ac:dyDescent="0.2">
      <c r="A57" s="312"/>
      <c r="B57" s="3"/>
      <c r="C57" s="3"/>
      <c r="D57" s="3"/>
      <c r="E57" s="3"/>
      <c r="F57" s="3"/>
      <c r="G57" s="3"/>
      <c r="H57" s="35"/>
      <c r="I57" s="61"/>
      <c r="J57" s="312"/>
      <c r="K57" s="3"/>
      <c r="L57" s="3"/>
      <c r="M57" s="3"/>
      <c r="N57" s="3"/>
      <c r="O57" s="3"/>
      <c r="P57" s="3"/>
    </row>
    <row r="58" spans="1:16" x14ac:dyDescent="0.2">
      <c r="A58" s="300" t="s">
        <v>95</v>
      </c>
      <c r="B58" s="3"/>
      <c r="C58" s="3"/>
      <c r="D58" s="3"/>
      <c r="E58" s="3"/>
      <c r="F58" s="3"/>
      <c r="G58" s="3"/>
      <c r="H58" s="35"/>
      <c r="I58" s="61"/>
      <c r="J58" s="300"/>
      <c r="K58" s="3"/>
      <c r="L58" s="3"/>
      <c r="M58" s="3"/>
      <c r="N58" s="3"/>
      <c r="O58" s="3"/>
      <c r="P58" s="3"/>
    </row>
    <row r="59" spans="1:16" x14ac:dyDescent="0.2">
      <c r="A59" s="300" t="s">
        <v>96</v>
      </c>
      <c r="B59" s="3"/>
      <c r="C59" s="3"/>
      <c r="D59" s="3"/>
      <c r="E59" s="3"/>
      <c r="F59" s="3"/>
      <c r="G59" s="3"/>
      <c r="H59" s="35"/>
      <c r="I59" s="61"/>
      <c r="J59" s="300"/>
      <c r="K59" s="3"/>
      <c r="L59" s="3"/>
      <c r="M59" s="3"/>
      <c r="N59" s="3"/>
      <c r="O59" s="3"/>
      <c r="P59" s="3"/>
    </row>
    <row r="60" spans="1:16" x14ac:dyDescent="0.2">
      <c r="A60" s="300" t="s">
        <v>97</v>
      </c>
      <c r="B60" s="3"/>
      <c r="C60" s="3"/>
      <c r="D60" s="3"/>
      <c r="E60" s="3"/>
      <c r="F60" s="3"/>
      <c r="G60" s="3"/>
      <c r="H60" s="35"/>
      <c r="I60" s="61"/>
      <c r="J60" s="300"/>
      <c r="K60" s="3"/>
      <c r="L60" s="3"/>
      <c r="M60" s="3"/>
      <c r="N60" s="3"/>
      <c r="O60" s="3"/>
      <c r="P60" s="3"/>
    </row>
    <row r="61" spans="1:16" x14ac:dyDescent="0.2">
      <c r="A61" s="300" t="s">
        <v>98</v>
      </c>
      <c r="B61" s="9"/>
      <c r="C61" s="9"/>
      <c r="D61" s="9"/>
      <c r="E61" s="9"/>
      <c r="F61" s="9"/>
      <c r="G61" s="9"/>
      <c r="H61" s="9"/>
      <c r="I61" s="97"/>
      <c r="J61" s="300"/>
      <c r="K61" s="9"/>
      <c r="L61" s="9"/>
      <c r="M61" s="9"/>
      <c r="N61" s="9"/>
      <c r="O61" s="9"/>
      <c r="P61" s="9"/>
    </row>
    <row r="62" spans="1:16" x14ac:dyDescent="0.2">
      <c r="A62" s="300" t="s">
        <v>99</v>
      </c>
      <c r="B62" s="9"/>
      <c r="C62" s="9"/>
      <c r="D62" s="9"/>
      <c r="E62" s="9"/>
      <c r="F62" s="9"/>
      <c r="G62" s="9"/>
      <c r="H62" s="9"/>
      <c r="I62" s="97"/>
      <c r="J62" s="300"/>
      <c r="K62" s="9"/>
      <c r="L62" s="9"/>
      <c r="M62" s="9"/>
      <c r="N62" s="9"/>
      <c r="O62" s="9"/>
      <c r="P62" s="9"/>
    </row>
    <row r="63" spans="1:16" x14ac:dyDescent="0.2">
      <c r="A63" s="300"/>
      <c r="B63" s="9"/>
      <c r="C63" s="9"/>
      <c r="D63" s="9"/>
      <c r="E63" s="9"/>
      <c r="F63" s="9"/>
      <c r="G63" s="9"/>
      <c r="H63" s="9"/>
      <c r="I63" s="97"/>
      <c r="J63" s="300"/>
      <c r="K63" s="9"/>
      <c r="L63" s="9"/>
      <c r="M63" s="9"/>
      <c r="N63" s="9"/>
      <c r="O63" s="9"/>
      <c r="P63" s="9"/>
    </row>
    <row r="64" spans="1:16" x14ac:dyDescent="0.2">
      <c r="A64" s="300"/>
      <c r="B64" s="9"/>
      <c r="C64" s="9"/>
      <c r="D64" s="9"/>
      <c r="E64" s="9"/>
      <c r="F64" s="9"/>
      <c r="G64" s="9"/>
      <c r="H64" s="9"/>
      <c r="I64" s="97"/>
      <c r="J64" s="300"/>
      <c r="K64" s="9"/>
      <c r="L64" s="9"/>
      <c r="M64" s="9"/>
      <c r="N64" s="9"/>
      <c r="O64" s="9"/>
      <c r="P64" s="9"/>
    </row>
    <row r="65" spans="1:17" x14ac:dyDescent="0.2">
      <c r="A65" s="42"/>
      <c r="B65" s="36"/>
      <c r="C65" s="36"/>
      <c r="D65" s="36"/>
      <c r="E65" s="36"/>
      <c r="F65" s="36"/>
      <c r="G65" s="36"/>
      <c r="H65" s="36"/>
      <c r="I65" s="315"/>
      <c r="J65" s="42"/>
      <c r="K65" s="36"/>
      <c r="L65" s="36"/>
      <c r="M65" s="36"/>
      <c r="N65" s="36"/>
      <c r="O65" s="36"/>
      <c r="P65" s="36"/>
    </row>
    <row r="66" spans="1:17" x14ac:dyDescent="0.2">
      <c r="A66" s="316" t="s">
        <v>100</v>
      </c>
      <c r="B66" s="469" t="s">
        <v>101</v>
      </c>
      <c r="C66" s="470"/>
      <c r="D66" s="470"/>
      <c r="E66" s="470"/>
      <c r="F66" s="470"/>
      <c r="G66" s="471"/>
      <c r="H66" s="26" t="s">
        <v>74</v>
      </c>
      <c r="I66" s="291" t="s">
        <v>75</v>
      </c>
      <c r="J66" s="316"/>
      <c r="K66" s="469"/>
      <c r="L66" s="470"/>
      <c r="M66" s="470"/>
      <c r="N66" s="470"/>
      <c r="O66" s="470"/>
      <c r="P66" s="471"/>
    </row>
    <row r="67" spans="1:17" x14ac:dyDescent="0.2">
      <c r="A67" s="296" t="s">
        <v>38</v>
      </c>
      <c r="B67" s="445" t="s">
        <v>102</v>
      </c>
      <c r="C67" s="445"/>
      <c r="D67" s="445"/>
      <c r="E67" s="445"/>
      <c r="F67" s="445"/>
      <c r="G67" s="445"/>
      <c r="H67" s="1">
        <v>0.2</v>
      </c>
      <c r="I67" s="82">
        <f t="shared" ref="I67:I74" si="0">H67*($I$45)</f>
        <v>310.77600000000007</v>
      </c>
      <c r="J67" s="296"/>
      <c r="K67" s="445"/>
      <c r="L67" s="445"/>
      <c r="M67" s="445"/>
      <c r="N67" s="445"/>
      <c r="O67" s="445"/>
      <c r="P67" s="445"/>
    </row>
    <row r="68" spans="1:17" x14ac:dyDescent="0.2">
      <c r="A68" s="296" t="s">
        <v>40</v>
      </c>
      <c r="B68" s="445" t="s">
        <v>103</v>
      </c>
      <c r="C68" s="445"/>
      <c r="D68" s="445"/>
      <c r="E68" s="445"/>
      <c r="F68" s="445"/>
      <c r="G68" s="445"/>
      <c r="H68" s="1">
        <v>2.5000000000000001E-2</v>
      </c>
      <c r="I68" s="82">
        <f t="shared" si="0"/>
        <v>38.847000000000008</v>
      </c>
      <c r="J68" s="296"/>
      <c r="K68" s="445"/>
      <c r="L68" s="445"/>
      <c r="M68" s="445"/>
      <c r="N68" s="445"/>
      <c r="O68" s="445"/>
      <c r="P68" s="445"/>
    </row>
    <row r="69" spans="1:17" x14ac:dyDescent="0.2">
      <c r="A69" s="296" t="s">
        <v>43</v>
      </c>
      <c r="B69" s="445" t="s">
        <v>104</v>
      </c>
      <c r="C69" s="445"/>
      <c r="D69" s="445"/>
      <c r="E69" s="445"/>
      <c r="F69" s="445"/>
      <c r="G69" s="445"/>
      <c r="H69" s="1">
        <v>0.03</v>
      </c>
      <c r="I69" s="82">
        <f t="shared" si="0"/>
        <v>46.616399999999999</v>
      </c>
      <c r="J69" s="296"/>
      <c r="K69" s="445"/>
      <c r="L69" s="445"/>
      <c r="M69" s="445"/>
      <c r="N69" s="445"/>
      <c r="O69" s="445"/>
      <c r="P69" s="445"/>
      <c r="Q69" s="25"/>
    </row>
    <row r="70" spans="1:17" x14ac:dyDescent="0.2">
      <c r="A70" s="296" t="s">
        <v>46</v>
      </c>
      <c r="B70" s="445" t="s">
        <v>105</v>
      </c>
      <c r="C70" s="445"/>
      <c r="D70" s="445"/>
      <c r="E70" s="445"/>
      <c r="F70" s="445"/>
      <c r="G70" s="445"/>
      <c r="H70" s="1">
        <v>1.4999999999999999E-2</v>
      </c>
      <c r="I70" s="82">
        <f t="shared" si="0"/>
        <v>23.308199999999999</v>
      </c>
      <c r="J70" s="296"/>
      <c r="K70" s="445"/>
      <c r="L70" s="445"/>
      <c r="M70" s="445"/>
      <c r="N70" s="445"/>
      <c r="O70" s="445"/>
      <c r="P70" s="445"/>
    </row>
    <row r="71" spans="1:17" x14ac:dyDescent="0.2">
      <c r="A71" s="296" t="s">
        <v>80</v>
      </c>
      <c r="B71" s="445" t="s">
        <v>106</v>
      </c>
      <c r="C71" s="445"/>
      <c r="D71" s="445"/>
      <c r="E71" s="445"/>
      <c r="F71" s="445"/>
      <c r="G71" s="445"/>
      <c r="H71" s="1">
        <v>0.01</v>
      </c>
      <c r="I71" s="82">
        <f t="shared" si="0"/>
        <v>15.538800000000002</v>
      </c>
      <c r="J71" s="296"/>
      <c r="K71" s="445"/>
      <c r="L71" s="445"/>
      <c r="M71" s="445"/>
      <c r="N71" s="445"/>
      <c r="O71" s="445"/>
      <c r="P71" s="445"/>
    </row>
    <row r="72" spans="1:17" x14ac:dyDescent="0.2">
      <c r="A72" s="296" t="s">
        <v>82</v>
      </c>
      <c r="B72" s="445" t="s">
        <v>107</v>
      </c>
      <c r="C72" s="445"/>
      <c r="D72" s="445"/>
      <c r="E72" s="445"/>
      <c r="F72" s="445"/>
      <c r="G72" s="445"/>
      <c r="H72" s="1">
        <v>6.0000000000000001E-3</v>
      </c>
      <c r="I72" s="82">
        <f t="shared" si="0"/>
        <v>9.3232800000000005</v>
      </c>
      <c r="J72" s="296"/>
      <c r="K72" s="445"/>
      <c r="L72" s="445"/>
      <c r="M72" s="445"/>
      <c r="N72" s="445"/>
      <c r="O72" s="445"/>
      <c r="P72" s="445"/>
    </row>
    <row r="73" spans="1:17" x14ac:dyDescent="0.2">
      <c r="A73" s="296" t="s">
        <v>108</v>
      </c>
      <c r="B73" s="445" t="s">
        <v>109</v>
      </c>
      <c r="C73" s="445"/>
      <c r="D73" s="445"/>
      <c r="E73" s="445"/>
      <c r="F73" s="445"/>
      <c r="G73" s="445"/>
      <c r="H73" s="1">
        <v>2E-3</v>
      </c>
      <c r="I73" s="82">
        <f t="shared" si="0"/>
        <v>3.1077600000000003</v>
      </c>
      <c r="J73" s="296"/>
      <c r="K73" s="445"/>
      <c r="L73" s="445"/>
      <c r="M73" s="445"/>
      <c r="N73" s="445"/>
      <c r="O73" s="445"/>
      <c r="P73" s="445"/>
    </row>
    <row r="74" spans="1:17" x14ac:dyDescent="0.2">
      <c r="A74" s="296" t="s">
        <v>110</v>
      </c>
      <c r="B74" s="445" t="s">
        <v>111</v>
      </c>
      <c r="C74" s="445"/>
      <c r="D74" s="445"/>
      <c r="E74" s="445"/>
      <c r="F74" s="445"/>
      <c r="G74" s="445"/>
      <c r="H74" s="1">
        <v>0.08</v>
      </c>
      <c r="I74" s="82">
        <f t="shared" si="0"/>
        <v>124.31040000000002</v>
      </c>
      <c r="J74" s="296"/>
      <c r="K74" s="445"/>
      <c r="L74" s="445"/>
      <c r="M74" s="445"/>
      <c r="N74" s="445"/>
      <c r="O74" s="445"/>
      <c r="P74" s="445"/>
    </row>
    <row r="75" spans="1:17" x14ac:dyDescent="0.2">
      <c r="A75" s="447" t="s">
        <v>11</v>
      </c>
      <c r="B75" s="448"/>
      <c r="C75" s="448"/>
      <c r="D75" s="448"/>
      <c r="E75" s="448"/>
      <c r="F75" s="448"/>
      <c r="G75" s="448"/>
      <c r="H75" s="33">
        <f>SUM(H67:H74)</f>
        <v>0.36800000000000005</v>
      </c>
      <c r="I75" s="314">
        <f>SUM(I67:I74)</f>
        <v>571.82784000000004</v>
      </c>
      <c r="J75" s="447"/>
      <c r="K75" s="448"/>
      <c r="L75" s="448"/>
      <c r="M75" s="448"/>
      <c r="N75" s="448"/>
      <c r="O75" s="448"/>
      <c r="P75" s="448"/>
    </row>
    <row r="76" spans="1:17" x14ac:dyDescent="0.2">
      <c r="A76" s="312"/>
      <c r="B76" s="3"/>
      <c r="C76" s="3"/>
      <c r="D76" s="3"/>
      <c r="E76" s="3"/>
      <c r="F76" s="3"/>
      <c r="G76" s="3"/>
      <c r="H76" s="35"/>
      <c r="I76" s="61"/>
      <c r="J76" s="312"/>
      <c r="K76" s="3"/>
      <c r="L76" s="3"/>
      <c r="M76" s="3"/>
      <c r="N76" s="3"/>
      <c r="O76" s="3"/>
      <c r="P76" s="3"/>
    </row>
    <row r="77" spans="1:17" x14ac:dyDescent="0.2">
      <c r="A77" s="300" t="s">
        <v>112</v>
      </c>
      <c r="B77" s="3"/>
      <c r="C77" s="3"/>
      <c r="D77" s="3"/>
      <c r="E77" s="3"/>
      <c r="F77" s="3"/>
      <c r="G77" s="3"/>
      <c r="H77" s="35"/>
      <c r="I77" s="61"/>
      <c r="J77" s="300"/>
      <c r="K77" s="3"/>
      <c r="L77" s="3"/>
      <c r="M77" s="3"/>
      <c r="N77" s="3"/>
      <c r="O77" s="3"/>
      <c r="P77" s="3"/>
    </row>
    <row r="78" spans="1:17" x14ac:dyDescent="0.2">
      <c r="A78" s="300" t="s">
        <v>113</v>
      </c>
      <c r="B78" s="3"/>
      <c r="C78" s="3"/>
      <c r="D78" s="3"/>
      <c r="E78" s="3"/>
      <c r="F78" s="3"/>
      <c r="G78" s="3"/>
      <c r="H78" s="35"/>
      <c r="I78" s="61"/>
      <c r="J78" s="300"/>
      <c r="K78" s="3"/>
      <c r="L78" s="3"/>
      <c r="M78" s="3"/>
      <c r="N78" s="3"/>
      <c r="O78" s="3"/>
      <c r="P78" s="3"/>
    </row>
    <row r="79" spans="1:17" x14ac:dyDescent="0.2">
      <c r="A79" s="300" t="s">
        <v>114</v>
      </c>
      <c r="B79" s="3"/>
      <c r="C79" s="3"/>
      <c r="D79" s="3"/>
      <c r="E79" s="3"/>
      <c r="F79" s="3"/>
      <c r="G79" s="3"/>
      <c r="H79" s="35"/>
      <c r="I79" s="61"/>
      <c r="J79" s="300"/>
      <c r="K79" s="3"/>
      <c r="L79" s="3"/>
      <c r="M79" s="3"/>
      <c r="N79" s="3"/>
      <c r="O79" s="3"/>
      <c r="P79" s="3"/>
    </row>
    <row r="80" spans="1:17" x14ac:dyDescent="0.2">
      <c r="A80" s="300" t="s">
        <v>115</v>
      </c>
      <c r="B80" s="3"/>
      <c r="C80" s="3"/>
      <c r="D80" s="3"/>
      <c r="E80" s="3"/>
      <c r="F80" s="3"/>
      <c r="G80" s="3"/>
      <c r="H80" s="35"/>
      <c r="I80" s="61"/>
      <c r="J80" s="300"/>
      <c r="K80" s="3"/>
      <c r="L80" s="3"/>
      <c r="M80" s="3"/>
      <c r="N80" s="3"/>
      <c r="O80" s="3"/>
      <c r="P80" s="3"/>
    </row>
    <row r="81" spans="1:16" x14ac:dyDescent="0.2">
      <c r="A81" s="300" t="s">
        <v>116</v>
      </c>
      <c r="B81" s="3"/>
      <c r="C81" s="3"/>
      <c r="D81" s="3"/>
      <c r="E81" s="3"/>
      <c r="F81" s="3"/>
      <c r="G81" s="3"/>
      <c r="H81" s="35"/>
      <c r="I81" s="61"/>
      <c r="J81" s="300"/>
      <c r="K81" s="3"/>
      <c r="L81" s="3"/>
      <c r="M81" s="3"/>
      <c r="N81" s="3"/>
      <c r="O81" s="3"/>
      <c r="P81" s="3"/>
    </row>
    <row r="82" spans="1:16" x14ac:dyDescent="0.2">
      <c r="A82" s="59"/>
      <c r="B82" s="9"/>
      <c r="C82" s="9"/>
      <c r="D82" s="9"/>
      <c r="E82" s="9"/>
      <c r="F82" s="9"/>
      <c r="G82" s="9"/>
      <c r="H82" s="9"/>
      <c r="I82" s="97"/>
      <c r="J82" s="59"/>
      <c r="K82" s="9"/>
      <c r="L82" s="9"/>
      <c r="M82" s="9"/>
      <c r="N82" s="9"/>
      <c r="O82" s="9"/>
      <c r="P82" s="9"/>
    </row>
    <row r="83" spans="1:16" x14ac:dyDescent="0.2">
      <c r="A83" s="316" t="s">
        <v>117</v>
      </c>
      <c r="B83" s="472" t="s">
        <v>118</v>
      </c>
      <c r="C83" s="473"/>
      <c r="D83" s="473"/>
      <c r="E83" s="473"/>
      <c r="F83" s="473"/>
      <c r="G83" s="474"/>
      <c r="H83" s="33"/>
      <c r="I83" s="291" t="s">
        <v>75</v>
      </c>
      <c r="J83" s="316"/>
      <c r="K83" s="472"/>
      <c r="L83" s="473"/>
      <c r="M83" s="473"/>
      <c r="N83" s="473"/>
      <c r="O83" s="473"/>
      <c r="P83" s="474"/>
    </row>
    <row r="84" spans="1:16" ht="14.1" customHeight="1" x14ac:dyDescent="0.2">
      <c r="A84" s="296" t="s">
        <v>38</v>
      </c>
      <c r="B84" s="475" t="s">
        <v>119</v>
      </c>
      <c r="C84" s="475"/>
      <c r="D84" s="475"/>
      <c r="E84" s="475"/>
      <c r="F84" s="475"/>
      <c r="G84" s="475"/>
      <c r="H84" s="21" t="s">
        <v>120</v>
      </c>
      <c r="I84" s="317">
        <f>'Mód2.3 '!E12</f>
        <v>106.13300000000002</v>
      </c>
      <c r="J84" s="296"/>
      <c r="K84" s="475"/>
      <c r="L84" s="475"/>
      <c r="M84" s="475"/>
      <c r="N84" s="475"/>
      <c r="O84" s="475"/>
      <c r="P84" s="475"/>
    </row>
    <row r="85" spans="1:16" x14ac:dyDescent="0.2">
      <c r="A85" s="296" t="s">
        <v>40</v>
      </c>
      <c r="B85" s="475" t="s">
        <v>121</v>
      </c>
      <c r="C85" s="475"/>
      <c r="D85" s="475"/>
      <c r="E85" s="475"/>
      <c r="F85" s="475"/>
      <c r="G85" s="475"/>
      <c r="H85" s="21" t="s">
        <v>120</v>
      </c>
      <c r="I85" s="317">
        <f>'Mód2.3 '!E25</f>
        <v>482.34559999999999</v>
      </c>
      <c r="J85" s="296"/>
      <c r="K85" s="475"/>
      <c r="L85" s="475"/>
      <c r="M85" s="475"/>
      <c r="N85" s="475"/>
      <c r="O85" s="475"/>
      <c r="P85" s="475"/>
    </row>
    <row r="86" spans="1:16" x14ac:dyDescent="0.2">
      <c r="A86" s="296" t="s">
        <v>43</v>
      </c>
      <c r="B86" s="475" t="s">
        <v>122</v>
      </c>
      <c r="C86" s="475"/>
      <c r="D86" s="475"/>
      <c r="E86" s="475"/>
      <c r="F86" s="475"/>
      <c r="G86" s="475"/>
      <c r="H86" s="21" t="s">
        <v>120</v>
      </c>
      <c r="I86" s="317">
        <f>'Mód2.3 '!E33</f>
        <v>0</v>
      </c>
      <c r="J86" s="296"/>
      <c r="K86" s="475"/>
      <c r="L86" s="475"/>
      <c r="M86" s="475"/>
      <c r="N86" s="475"/>
      <c r="O86" s="475"/>
      <c r="P86" s="475"/>
    </row>
    <row r="87" spans="1:16" ht="15" customHeight="1" x14ac:dyDescent="0.2">
      <c r="A87" s="313" t="s">
        <v>46</v>
      </c>
      <c r="B87" s="476" t="s">
        <v>123</v>
      </c>
      <c r="C87" s="475"/>
      <c r="D87" s="475"/>
      <c r="E87" s="475"/>
      <c r="F87" s="475"/>
      <c r="G87" s="475"/>
      <c r="H87" s="28" t="s">
        <v>120</v>
      </c>
      <c r="I87" s="318">
        <f>'Mód2.3 '!E42</f>
        <v>115.33</v>
      </c>
      <c r="J87" s="313"/>
      <c r="K87" s="477"/>
      <c r="L87" s="477"/>
      <c r="M87" s="477"/>
      <c r="N87" s="477"/>
      <c r="O87" s="477"/>
      <c r="P87" s="477"/>
    </row>
    <row r="88" spans="1:16" x14ac:dyDescent="0.2">
      <c r="A88" s="296" t="s">
        <v>80</v>
      </c>
      <c r="B88" s="475" t="s">
        <v>127</v>
      </c>
      <c r="C88" s="475"/>
      <c r="D88" s="475"/>
      <c r="E88" s="475"/>
      <c r="F88" s="475"/>
      <c r="G88" s="475"/>
      <c r="H88" s="21" t="s">
        <v>120</v>
      </c>
      <c r="I88" s="317">
        <f>'Mód2.3 '!E52</f>
        <v>0</v>
      </c>
      <c r="J88" s="296"/>
      <c r="K88" s="475"/>
      <c r="L88" s="475"/>
      <c r="M88" s="475"/>
      <c r="N88" s="475"/>
      <c r="O88" s="475"/>
      <c r="P88" s="475"/>
    </row>
    <row r="89" spans="1:16" x14ac:dyDescent="0.2">
      <c r="A89" s="296"/>
      <c r="B89" s="476"/>
      <c r="C89" s="475"/>
      <c r="D89" s="475"/>
      <c r="E89" s="475"/>
      <c r="F89" s="475"/>
      <c r="G89" s="475"/>
      <c r="H89" s="21"/>
      <c r="I89" s="317"/>
      <c r="J89" s="296"/>
      <c r="K89" s="475"/>
      <c r="L89" s="475"/>
      <c r="M89" s="475"/>
      <c r="N89" s="475"/>
      <c r="O89" s="475"/>
      <c r="P89" s="475"/>
    </row>
    <row r="90" spans="1:16" x14ac:dyDescent="0.2">
      <c r="A90" s="447" t="s">
        <v>129</v>
      </c>
      <c r="B90" s="448"/>
      <c r="C90" s="448"/>
      <c r="D90" s="448"/>
      <c r="E90" s="448"/>
      <c r="F90" s="448"/>
      <c r="G90" s="448"/>
      <c r="H90" s="448"/>
      <c r="I90" s="314">
        <f>SUM(I84:I89)</f>
        <v>703.80860000000007</v>
      </c>
      <c r="J90" s="447"/>
      <c r="K90" s="448"/>
      <c r="L90" s="448"/>
      <c r="M90" s="448"/>
      <c r="N90" s="448"/>
      <c r="O90" s="448"/>
      <c r="P90" s="448"/>
    </row>
    <row r="91" spans="1:16" x14ac:dyDescent="0.2">
      <c r="A91" s="312"/>
      <c r="B91" s="3"/>
      <c r="C91" s="3"/>
      <c r="D91" s="3"/>
      <c r="E91" s="3"/>
      <c r="F91" s="3"/>
      <c r="G91" s="3"/>
      <c r="H91" s="3"/>
      <c r="I91" s="61"/>
      <c r="J91" s="312"/>
      <c r="K91" s="3"/>
      <c r="L91" s="3"/>
      <c r="M91" s="3"/>
      <c r="N91" s="3"/>
      <c r="O91" s="3"/>
      <c r="P91" s="3"/>
    </row>
    <row r="92" spans="1:16" x14ac:dyDescent="0.2">
      <c r="A92" s="300" t="s">
        <v>130</v>
      </c>
      <c r="B92" s="3"/>
      <c r="C92" s="3"/>
      <c r="D92" s="3"/>
      <c r="E92" s="3"/>
      <c r="F92" s="3"/>
      <c r="G92" s="3"/>
      <c r="H92" s="3"/>
      <c r="I92" s="61"/>
      <c r="J92" s="300"/>
      <c r="K92" s="3"/>
      <c r="L92" s="3"/>
      <c r="M92" s="3"/>
      <c r="N92" s="3"/>
      <c r="O92" s="3"/>
      <c r="P92" s="3"/>
    </row>
    <row r="93" spans="1:16" x14ac:dyDescent="0.2">
      <c r="A93" s="300" t="s">
        <v>131</v>
      </c>
      <c r="B93" s="3"/>
      <c r="C93" s="3"/>
      <c r="D93" s="3"/>
      <c r="E93" s="3"/>
      <c r="F93" s="3"/>
      <c r="G93" s="3"/>
      <c r="H93" s="3"/>
      <c r="I93" s="61"/>
      <c r="J93" s="300"/>
      <c r="K93" s="3"/>
      <c r="L93" s="3"/>
      <c r="M93" s="3"/>
      <c r="N93" s="3"/>
      <c r="O93" s="3"/>
      <c r="P93" s="3"/>
    </row>
    <row r="94" spans="1:16" x14ac:dyDescent="0.2">
      <c r="A94" s="300" t="s">
        <v>132</v>
      </c>
      <c r="B94" s="3"/>
      <c r="C94" s="3"/>
      <c r="D94" s="3"/>
      <c r="E94" s="3"/>
      <c r="F94" s="3"/>
      <c r="G94" s="3"/>
      <c r="H94" s="3"/>
      <c r="I94" s="61"/>
      <c r="J94" s="300"/>
      <c r="K94" s="3"/>
      <c r="L94" s="3"/>
      <c r="M94" s="3"/>
      <c r="N94" s="3"/>
      <c r="O94" s="3"/>
      <c r="P94" s="3"/>
    </row>
    <row r="95" spans="1:16" x14ac:dyDescent="0.2">
      <c r="A95" s="300" t="s">
        <v>133</v>
      </c>
      <c r="B95" s="3"/>
      <c r="C95" s="3"/>
      <c r="D95" s="3"/>
      <c r="E95" s="3"/>
      <c r="F95" s="3"/>
      <c r="G95" s="3"/>
      <c r="H95" s="3"/>
      <c r="I95" s="61"/>
      <c r="J95" s="300"/>
      <c r="K95" s="3"/>
      <c r="L95" s="3"/>
      <c r="M95" s="3"/>
      <c r="N95" s="3"/>
      <c r="O95" s="3"/>
      <c r="P95" s="3"/>
    </row>
    <row r="96" spans="1:16" x14ac:dyDescent="0.2">
      <c r="A96" s="59"/>
      <c r="B96" s="9"/>
      <c r="C96" s="9"/>
      <c r="D96" s="9"/>
      <c r="E96" s="9"/>
      <c r="F96" s="9"/>
      <c r="G96" s="9"/>
      <c r="H96" s="9"/>
      <c r="I96" s="97"/>
      <c r="J96" s="59"/>
      <c r="K96" s="9"/>
      <c r="L96" s="9"/>
      <c r="M96" s="9"/>
      <c r="N96" s="9"/>
      <c r="O96" s="9"/>
      <c r="P96" s="9"/>
    </row>
    <row r="97" spans="1:16" x14ac:dyDescent="0.2">
      <c r="A97" s="316">
        <v>2</v>
      </c>
      <c r="B97" s="39" t="s">
        <v>134</v>
      </c>
      <c r="C97" s="39"/>
      <c r="D97" s="39"/>
      <c r="E97" s="39"/>
      <c r="F97" s="39"/>
      <c r="G97" s="39"/>
      <c r="H97" s="39"/>
      <c r="I97" s="319"/>
      <c r="J97" s="316"/>
      <c r="K97" s="39"/>
      <c r="L97" s="39"/>
      <c r="M97" s="39"/>
      <c r="N97" s="39"/>
      <c r="O97" s="39"/>
      <c r="P97" s="39"/>
    </row>
    <row r="98" spans="1:16" x14ac:dyDescent="0.2">
      <c r="A98" s="456" t="s">
        <v>135</v>
      </c>
      <c r="B98" s="457"/>
      <c r="C98" s="457"/>
      <c r="D98" s="457"/>
      <c r="E98" s="457"/>
      <c r="F98" s="457"/>
      <c r="G98" s="457"/>
      <c r="H98" s="457"/>
      <c r="I98" s="297" t="s">
        <v>75</v>
      </c>
      <c r="J98" s="456"/>
      <c r="K98" s="457"/>
      <c r="L98" s="457"/>
      <c r="M98" s="457"/>
      <c r="N98" s="457"/>
      <c r="O98" s="457"/>
      <c r="P98" s="457"/>
    </row>
    <row r="99" spans="1:16" x14ac:dyDescent="0.2">
      <c r="A99" s="296" t="s">
        <v>88</v>
      </c>
      <c r="B99" s="464" t="s">
        <v>136</v>
      </c>
      <c r="C99" s="464"/>
      <c r="D99" s="464"/>
      <c r="E99" s="464"/>
      <c r="F99" s="464"/>
      <c r="G99" s="464"/>
      <c r="H99" s="464"/>
      <c r="I99" s="82">
        <f>I56</f>
        <v>434.3339077120001</v>
      </c>
      <c r="J99" s="296"/>
      <c r="K99" s="464"/>
      <c r="L99" s="464"/>
      <c r="M99" s="464"/>
      <c r="N99" s="464"/>
      <c r="O99" s="464"/>
      <c r="P99" s="464"/>
    </row>
    <row r="100" spans="1:16" x14ac:dyDescent="0.2">
      <c r="A100" s="296" t="s">
        <v>100</v>
      </c>
      <c r="B100" s="464" t="s">
        <v>137</v>
      </c>
      <c r="C100" s="464"/>
      <c r="D100" s="464"/>
      <c r="E100" s="464"/>
      <c r="F100" s="464"/>
      <c r="G100" s="464"/>
      <c r="H100" s="464"/>
      <c r="I100" s="82">
        <f>I75</f>
        <v>571.82784000000004</v>
      </c>
      <c r="J100" s="296"/>
      <c r="K100" s="464"/>
      <c r="L100" s="464"/>
      <c r="M100" s="464"/>
      <c r="N100" s="464"/>
      <c r="O100" s="464"/>
      <c r="P100" s="464"/>
    </row>
    <row r="101" spans="1:16" x14ac:dyDescent="0.2">
      <c r="A101" s="296" t="s">
        <v>117</v>
      </c>
      <c r="B101" s="464" t="s">
        <v>138</v>
      </c>
      <c r="C101" s="464"/>
      <c r="D101" s="464"/>
      <c r="E101" s="464"/>
      <c r="F101" s="464"/>
      <c r="G101" s="464"/>
      <c r="H101" s="464"/>
      <c r="I101" s="82">
        <f>I90</f>
        <v>703.80860000000007</v>
      </c>
      <c r="J101" s="296"/>
      <c r="K101" s="464"/>
      <c r="L101" s="464"/>
      <c r="M101" s="464"/>
      <c r="N101" s="464"/>
      <c r="O101" s="464"/>
      <c r="P101" s="464"/>
    </row>
    <row r="102" spans="1:16" x14ac:dyDescent="0.2">
      <c r="A102" s="463" t="s">
        <v>139</v>
      </c>
      <c r="B102" s="478"/>
      <c r="C102" s="478"/>
      <c r="D102" s="478"/>
      <c r="E102" s="478"/>
      <c r="F102" s="478"/>
      <c r="G102" s="478"/>
      <c r="H102" s="478"/>
      <c r="I102" s="320">
        <f>SUM(I99:I101)</f>
        <v>1709.9703477120001</v>
      </c>
      <c r="J102" s="463"/>
      <c r="K102" s="478"/>
      <c r="L102" s="478"/>
      <c r="M102" s="478"/>
      <c r="N102" s="478"/>
      <c r="O102" s="478"/>
      <c r="P102" s="478"/>
    </row>
    <row r="103" spans="1:16" x14ac:dyDescent="0.2">
      <c r="A103" s="479"/>
      <c r="B103" s="480"/>
      <c r="C103" s="480"/>
      <c r="D103" s="480"/>
      <c r="E103" s="480"/>
      <c r="F103" s="480"/>
      <c r="G103" s="480"/>
      <c r="H103" s="480"/>
      <c r="I103" s="481"/>
      <c r="J103" s="479"/>
      <c r="K103" s="480"/>
      <c r="L103" s="480"/>
      <c r="M103" s="480"/>
      <c r="N103" s="480"/>
      <c r="O103" s="480"/>
      <c r="P103" s="480"/>
    </row>
    <row r="104" spans="1:16" ht="13.5" customHeight="1" x14ac:dyDescent="0.2">
      <c r="A104" s="460" t="s">
        <v>140</v>
      </c>
      <c r="B104" s="461"/>
      <c r="C104" s="461"/>
      <c r="D104" s="461"/>
      <c r="E104" s="461"/>
      <c r="F104" s="461"/>
      <c r="G104" s="461"/>
      <c r="H104" s="461"/>
      <c r="I104" s="462"/>
      <c r="J104" s="460"/>
      <c r="K104" s="461"/>
      <c r="L104" s="461"/>
      <c r="M104" s="461"/>
      <c r="N104" s="461"/>
      <c r="O104" s="461"/>
      <c r="P104" s="461"/>
    </row>
    <row r="105" spans="1:16" ht="14.1" customHeight="1" x14ac:dyDescent="0.2">
      <c r="A105" s="296">
        <v>3</v>
      </c>
      <c r="B105" s="457" t="s">
        <v>141</v>
      </c>
      <c r="C105" s="457"/>
      <c r="D105" s="457"/>
      <c r="E105" s="457"/>
      <c r="F105" s="457"/>
      <c r="G105" s="457"/>
      <c r="H105" s="8" t="s">
        <v>74</v>
      </c>
      <c r="I105" s="297" t="s">
        <v>75</v>
      </c>
      <c r="J105" s="296"/>
      <c r="K105" s="457"/>
      <c r="L105" s="457"/>
      <c r="M105" s="457"/>
      <c r="N105" s="457"/>
      <c r="O105" s="457"/>
      <c r="P105" s="457"/>
    </row>
    <row r="106" spans="1:16" x14ac:dyDescent="0.2">
      <c r="A106" s="296" t="s">
        <v>38</v>
      </c>
      <c r="B106" s="445" t="s">
        <v>142</v>
      </c>
      <c r="C106" s="445"/>
      <c r="D106" s="445"/>
      <c r="E106" s="445"/>
      <c r="F106" s="445"/>
      <c r="G106" s="445"/>
      <c r="H106" s="1">
        <v>4.1999999999999997E-3</v>
      </c>
      <c r="I106" s="82">
        <f>H106*I45</f>
        <v>6.5262960000000003</v>
      </c>
      <c r="J106" s="296"/>
      <c r="K106" s="445"/>
      <c r="L106" s="445"/>
      <c r="M106" s="445"/>
      <c r="N106" s="445"/>
      <c r="O106" s="445"/>
      <c r="P106" s="445"/>
    </row>
    <row r="107" spans="1:16" x14ac:dyDescent="0.2">
      <c r="A107" s="313" t="s">
        <v>40</v>
      </c>
      <c r="B107" s="465" t="s">
        <v>143</v>
      </c>
      <c r="C107" s="465"/>
      <c r="D107" s="465"/>
      <c r="E107" s="465"/>
      <c r="F107" s="465"/>
      <c r="G107" s="465"/>
      <c r="H107" s="149">
        <f>H74</f>
        <v>0.08</v>
      </c>
      <c r="I107" s="83">
        <f>I106*H107</f>
        <v>0.52210368000000007</v>
      </c>
      <c r="J107" s="313"/>
      <c r="K107" s="465"/>
      <c r="L107" s="465"/>
      <c r="M107" s="465"/>
      <c r="N107" s="465"/>
      <c r="O107" s="465"/>
      <c r="P107" s="465"/>
    </row>
    <row r="108" spans="1:16" ht="24.75" customHeight="1" x14ac:dyDescent="0.2">
      <c r="A108" s="313" t="s">
        <v>43</v>
      </c>
      <c r="B108" s="465" t="s">
        <v>144</v>
      </c>
      <c r="C108" s="465"/>
      <c r="D108" s="465"/>
      <c r="E108" s="465"/>
      <c r="F108" s="465"/>
      <c r="G108" s="465"/>
      <c r="H108" s="149">
        <v>2E-3</v>
      </c>
      <c r="I108" s="83">
        <f>H108*I45</f>
        <v>3.1077600000000003</v>
      </c>
      <c r="J108" s="313"/>
      <c r="K108" s="465"/>
      <c r="L108" s="465"/>
      <c r="M108" s="465"/>
      <c r="N108" s="465"/>
      <c r="O108" s="465"/>
      <c r="P108" s="465"/>
    </row>
    <row r="109" spans="1:16" x14ac:dyDescent="0.2">
      <c r="A109" s="296" t="s">
        <v>46</v>
      </c>
      <c r="B109" s="445" t="s">
        <v>145</v>
      </c>
      <c r="C109" s="445"/>
      <c r="D109" s="445"/>
      <c r="E109" s="445"/>
      <c r="F109" s="445"/>
      <c r="G109" s="445"/>
      <c r="H109" s="1">
        <v>1.9400000000000001E-2</v>
      </c>
      <c r="I109" s="82">
        <f>H109*I45</f>
        <v>30.145272000000002</v>
      </c>
      <c r="J109" s="296"/>
      <c r="K109" s="445"/>
      <c r="L109" s="445"/>
      <c r="M109" s="445"/>
      <c r="N109" s="445"/>
      <c r="O109" s="445"/>
      <c r="P109" s="445"/>
    </row>
    <row r="110" spans="1:16" x14ac:dyDescent="0.2">
      <c r="A110" s="296" t="s">
        <v>80</v>
      </c>
      <c r="B110" s="485" t="s">
        <v>146</v>
      </c>
      <c r="C110" s="485"/>
      <c r="D110" s="485"/>
      <c r="E110" s="485"/>
      <c r="F110" s="485"/>
      <c r="G110" s="485"/>
      <c r="H110" s="22">
        <f>H75</f>
        <v>0.36800000000000005</v>
      </c>
      <c r="I110" s="82">
        <f>I109*H110</f>
        <v>11.093460096000003</v>
      </c>
      <c r="J110" s="296"/>
      <c r="K110" s="485"/>
      <c r="L110" s="485"/>
      <c r="M110" s="485"/>
      <c r="N110" s="485"/>
      <c r="O110" s="485"/>
      <c r="P110" s="485"/>
    </row>
    <row r="111" spans="1:16" ht="25.5" customHeight="1" x14ac:dyDescent="0.2">
      <c r="A111" s="313" t="s">
        <v>82</v>
      </c>
      <c r="B111" s="465" t="s">
        <v>147</v>
      </c>
      <c r="C111" s="465"/>
      <c r="D111" s="465"/>
      <c r="E111" s="465"/>
      <c r="F111" s="465"/>
      <c r="G111" s="465"/>
      <c r="H111" s="149">
        <v>3.7999999999999999E-2</v>
      </c>
      <c r="I111" s="83">
        <f>H111*I45</f>
        <v>59.047440000000002</v>
      </c>
      <c r="J111" s="313"/>
      <c r="K111" s="465"/>
      <c r="L111" s="465"/>
      <c r="M111" s="465"/>
      <c r="N111" s="465"/>
      <c r="O111" s="465"/>
      <c r="P111" s="465"/>
    </row>
    <row r="112" spans="1:16" x14ac:dyDescent="0.2">
      <c r="A112" s="463" t="s">
        <v>148</v>
      </c>
      <c r="B112" s="478"/>
      <c r="C112" s="478"/>
      <c r="D112" s="478"/>
      <c r="E112" s="478"/>
      <c r="F112" s="478"/>
      <c r="G112" s="478"/>
      <c r="H112" s="33"/>
      <c r="I112" s="320">
        <f>SUM(I106:I111)</f>
        <v>110.442331776</v>
      </c>
      <c r="J112" s="463"/>
      <c r="K112" s="478"/>
      <c r="L112" s="478"/>
      <c r="M112" s="478"/>
      <c r="N112" s="478"/>
      <c r="O112" s="478"/>
      <c r="P112" s="478"/>
    </row>
    <row r="113" spans="1:17" x14ac:dyDescent="0.2">
      <c r="A113" s="482"/>
      <c r="B113" s="483"/>
      <c r="C113" s="483"/>
      <c r="D113" s="483"/>
      <c r="E113" s="483"/>
      <c r="F113" s="483"/>
      <c r="G113" s="483"/>
      <c r="H113" s="483"/>
      <c r="I113" s="484"/>
      <c r="J113" s="482"/>
      <c r="K113" s="483"/>
      <c r="L113" s="483"/>
      <c r="M113" s="483"/>
      <c r="N113" s="483"/>
      <c r="O113" s="483"/>
      <c r="P113" s="483"/>
    </row>
    <row r="114" spans="1:17" x14ac:dyDescent="0.2">
      <c r="A114" s="460" t="s">
        <v>149</v>
      </c>
      <c r="B114" s="461"/>
      <c r="C114" s="461"/>
      <c r="D114" s="461"/>
      <c r="E114" s="461"/>
      <c r="F114" s="461"/>
      <c r="G114" s="461"/>
      <c r="H114" s="461"/>
      <c r="I114" s="462"/>
      <c r="J114" s="460"/>
      <c r="K114" s="461"/>
      <c r="L114" s="461"/>
      <c r="M114" s="461"/>
      <c r="N114" s="461"/>
      <c r="O114" s="461"/>
      <c r="P114" s="461"/>
    </row>
    <row r="115" spans="1:17" x14ac:dyDescent="0.2">
      <c r="A115" s="312"/>
      <c r="B115" s="3"/>
      <c r="C115" s="3"/>
      <c r="D115" s="3"/>
      <c r="E115" s="3"/>
      <c r="F115" s="3"/>
      <c r="G115" s="3"/>
      <c r="H115" s="3"/>
      <c r="I115" s="321"/>
      <c r="J115" s="312"/>
      <c r="K115" s="3"/>
      <c r="L115" s="3"/>
      <c r="M115" s="3"/>
      <c r="N115" s="3"/>
      <c r="O115" s="3"/>
      <c r="P115" s="3"/>
    </row>
    <row r="116" spans="1:17" x14ac:dyDescent="0.2">
      <c r="A116" s="300" t="s">
        <v>150</v>
      </c>
      <c r="B116" s="3"/>
      <c r="C116" s="3"/>
      <c r="D116" s="3"/>
      <c r="E116" s="3"/>
      <c r="F116" s="3"/>
      <c r="G116" s="3"/>
      <c r="H116" s="3"/>
      <c r="I116" s="321"/>
      <c r="J116" s="300"/>
      <c r="K116" s="3"/>
      <c r="L116" s="3"/>
      <c r="M116" s="3"/>
      <c r="N116" s="3"/>
      <c r="O116" s="3"/>
      <c r="P116" s="3"/>
    </row>
    <row r="117" spans="1:17" x14ac:dyDescent="0.2">
      <c r="A117" s="300" t="s">
        <v>151</v>
      </c>
      <c r="B117" s="3"/>
      <c r="C117" s="3"/>
      <c r="D117" s="3"/>
      <c r="E117" s="3"/>
      <c r="F117" s="3"/>
      <c r="G117" s="3"/>
      <c r="H117" s="3"/>
      <c r="I117" s="321"/>
      <c r="J117" s="300"/>
      <c r="K117" s="3"/>
      <c r="L117" s="3"/>
      <c r="M117" s="3"/>
      <c r="N117" s="3"/>
      <c r="O117" s="3"/>
      <c r="P117" s="3"/>
    </row>
    <row r="118" spans="1:17" x14ac:dyDescent="0.2">
      <c r="A118" s="312"/>
      <c r="B118" s="3"/>
      <c r="C118" s="3"/>
      <c r="D118" s="3"/>
      <c r="E118" s="3"/>
      <c r="F118" s="3"/>
      <c r="G118" s="3"/>
      <c r="H118" s="3"/>
      <c r="I118" s="321"/>
      <c r="J118" s="312"/>
      <c r="K118" s="3"/>
      <c r="L118" s="3"/>
      <c r="M118" s="3"/>
      <c r="N118" s="3"/>
      <c r="O118" s="3"/>
      <c r="P118" s="3"/>
    </row>
    <row r="119" spans="1:17" x14ac:dyDescent="0.2">
      <c r="A119" s="316" t="s">
        <v>152</v>
      </c>
      <c r="B119" s="448" t="s">
        <v>153</v>
      </c>
      <c r="C119" s="448"/>
      <c r="D119" s="448"/>
      <c r="E119" s="448"/>
      <c r="F119" s="448"/>
      <c r="G119" s="448"/>
      <c r="H119" s="26" t="s">
        <v>74</v>
      </c>
      <c r="I119" s="291" t="s">
        <v>75</v>
      </c>
      <c r="J119" s="316"/>
      <c r="K119" s="448"/>
      <c r="L119" s="448"/>
      <c r="M119" s="448"/>
      <c r="N119" s="448"/>
      <c r="O119" s="448"/>
      <c r="P119" s="448"/>
    </row>
    <row r="120" spans="1:17" ht="14.1" customHeight="1" x14ac:dyDescent="0.2">
      <c r="A120" s="316" t="s">
        <v>38</v>
      </c>
      <c r="B120" s="445" t="s">
        <v>154</v>
      </c>
      <c r="C120" s="445"/>
      <c r="D120" s="445"/>
      <c r="E120" s="445"/>
      <c r="F120" s="445"/>
      <c r="G120" s="445"/>
      <c r="H120" s="34"/>
      <c r="I120" s="314"/>
      <c r="J120" s="316"/>
      <c r="K120" s="445"/>
      <c r="L120" s="445"/>
      <c r="M120" s="445"/>
      <c r="N120" s="445"/>
      <c r="O120" s="445"/>
      <c r="P120" s="445"/>
    </row>
    <row r="121" spans="1:17" x14ac:dyDescent="0.2">
      <c r="A121" s="296" t="s">
        <v>40</v>
      </c>
      <c r="B121" s="445" t="s">
        <v>155</v>
      </c>
      <c r="C121" s="445"/>
      <c r="D121" s="445"/>
      <c r="E121" s="445"/>
      <c r="F121" s="445"/>
      <c r="G121" s="445"/>
      <c r="H121" s="157">
        <v>1.67E-2</v>
      </c>
      <c r="I121" s="82">
        <f>H121*$I$45</f>
        <v>25.949796000000003</v>
      </c>
      <c r="J121" s="296"/>
      <c r="K121" s="445"/>
      <c r="L121" s="445"/>
      <c r="M121" s="445"/>
      <c r="N121" s="445"/>
      <c r="O121" s="445"/>
      <c r="P121" s="445"/>
      <c r="Q121" s="25"/>
    </row>
    <row r="122" spans="1:17" x14ac:dyDescent="0.2">
      <c r="A122" s="296" t="s">
        <v>43</v>
      </c>
      <c r="B122" s="445" t="s">
        <v>156</v>
      </c>
      <c r="C122" s="445"/>
      <c r="D122" s="445"/>
      <c r="E122" s="445"/>
      <c r="F122" s="445"/>
      <c r="G122" s="445"/>
      <c r="H122" s="157">
        <v>2.0000000000000001E-4</v>
      </c>
      <c r="I122" s="82">
        <f>H122*$I$45</f>
        <v>0.31077600000000005</v>
      </c>
      <c r="J122" s="296"/>
      <c r="K122" s="445"/>
      <c r="L122" s="445"/>
      <c r="M122" s="445"/>
      <c r="N122" s="445"/>
      <c r="O122" s="445"/>
      <c r="P122" s="445"/>
      <c r="Q122" s="25"/>
    </row>
    <row r="123" spans="1:17" x14ac:dyDescent="0.2">
      <c r="A123" s="313" t="s">
        <v>46</v>
      </c>
      <c r="B123" s="465" t="s">
        <v>157</v>
      </c>
      <c r="C123" s="465"/>
      <c r="D123" s="465"/>
      <c r="E123" s="465"/>
      <c r="F123" s="465"/>
      <c r="G123" s="465"/>
      <c r="H123" s="149">
        <v>6.9999999999999999E-4</v>
      </c>
      <c r="I123" s="83">
        <f>H123*$I$45</f>
        <v>1.0877160000000001</v>
      </c>
      <c r="J123" s="313"/>
      <c r="K123" s="465"/>
      <c r="L123" s="465"/>
      <c r="M123" s="465"/>
      <c r="N123" s="465"/>
      <c r="O123" s="465"/>
      <c r="P123" s="465"/>
      <c r="Q123" s="25"/>
    </row>
    <row r="124" spans="1:17" x14ac:dyDescent="0.2">
      <c r="A124" s="296" t="s">
        <v>80</v>
      </c>
      <c r="B124" s="445" t="s">
        <v>158</v>
      </c>
      <c r="C124" s="445"/>
      <c r="D124" s="445"/>
      <c r="E124" s="445"/>
      <c r="F124" s="445"/>
      <c r="G124" s="445"/>
      <c r="H124" s="157">
        <v>2.8999999999999998E-3</v>
      </c>
      <c r="I124" s="82">
        <f>H124*$I$45</f>
        <v>4.5062519999999999</v>
      </c>
      <c r="J124" s="296"/>
      <c r="K124" s="445"/>
      <c r="L124" s="445"/>
      <c r="M124" s="445"/>
      <c r="N124" s="445"/>
      <c r="O124" s="445"/>
      <c r="P124" s="445"/>
      <c r="Q124" s="25"/>
    </row>
    <row r="125" spans="1:17" x14ac:dyDescent="0.2">
      <c r="A125" s="296" t="s">
        <v>82</v>
      </c>
      <c r="B125" s="445" t="s">
        <v>159</v>
      </c>
      <c r="C125" s="445"/>
      <c r="D125" s="445"/>
      <c r="E125" s="445"/>
      <c r="F125" s="445"/>
      <c r="G125" s="445"/>
      <c r="H125" s="157"/>
      <c r="I125" s="82">
        <f t="shared" ref="I125" si="1">H125*$I$45</f>
        <v>0</v>
      </c>
      <c r="J125" s="296"/>
      <c r="K125" s="445"/>
      <c r="L125" s="445"/>
      <c r="M125" s="445"/>
      <c r="N125" s="445"/>
      <c r="O125" s="445"/>
      <c r="P125" s="445"/>
      <c r="Q125" s="25"/>
    </row>
    <row r="126" spans="1:17" x14ac:dyDescent="0.2">
      <c r="A126" s="447" t="s">
        <v>160</v>
      </c>
      <c r="B126" s="448"/>
      <c r="C126" s="448"/>
      <c r="D126" s="448"/>
      <c r="E126" s="448"/>
      <c r="F126" s="448"/>
      <c r="G126" s="448"/>
      <c r="H126" s="33"/>
      <c r="I126" s="314">
        <f>SUM(I121:I125)</f>
        <v>31.854540000000004</v>
      </c>
      <c r="J126" s="447"/>
      <c r="K126" s="448"/>
      <c r="L126" s="448"/>
      <c r="M126" s="448"/>
      <c r="N126" s="448"/>
      <c r="O126" s="448"/>
      <c r="P126" s="448"/>
      <c r="Q126" s="25"/>
    </row>
    <row r="127" spans="1:17" x14ac:dyDescent="0.2">
      <c r="A127" s="296" t="s">
        <v>82</v>
      </c>
      <c r="B127" s="445" t="s">
        <v>161</v>
      </c>
      <c r="C127" s="445"/>
      <c r="D127" s="445"/>
      <c r="E127" s="445"/>
      <c r="F127" s="445"/>
      <c r="G127" s="445"/>
      <c r="H127" s="1">
        <f>H75</f>
        <v>0.36800000000000005</v>
      </c>
      <c r="I127" s="82">
        <f>I126*H127</f>
        <v>11.722470720000002</v>
      </c>
      <c r="J127" s="296"/>
      <c r="K127" s="445"/>
      <c r="L127" s="445"/>
      <c r="M127" s="445"/>
      <c r="N127" s="445"/>
      <c r="O127" s="445"/>
      <c r="P127" s="445"/>
    </row>
    <row r="128" spans="1:17" x14ac:dyDescent="0.2">
      <c r="A128" s="447" t="s">
        <v>162</v>
      </c>
      <c r="B128" s="448"/>
      <c r="C128" s="448"/>
      <c r="D128" s="448"/>
      <c r="E128" s="448"/>
      <c r="F128" s="448"/>
      <c r="G128" s="448"/>
      <c r="H128" s="33"/>
      <c r="I128" s="314">
        <f>SUM(I126:I127)</f>
        <v>43.577010720000004</v>
      </c>
      <c r="J128" s="447"/>
      <c r="K128" s="448"/>
      <c r="L128" s="448"/>
      <c r="M128" s="448"/>
      <c r="N128" s="448"/>
      <c r="O128" s="448"/>
      <c r="P128" s="448"/>
    </row>
    <row r="129" spans="1:16" x14ac:dyDescent="0.2">
      <c r="A129" s="312"/>
      <c r="B129" s="3"/>
      <c r="C129" s="3"/>
      <c r="D129" s="3"/>
      <c r="E129" s="3"/>
      <c r="F129" s="3"/>
      <c r="G129" s="3"/>
      <c r="H129" s="3"/>
      <c r="I129" s="321"/>
      <c r="J129" s="312"/>
      <c r="K129" s="3"/>
      <c r="L129" s="3"/>
      <c r="M129" s="3"/>
      <c r="N129" s="3"/>
      <c r="O129" s="3"/>
      <c r="P129" s="3"/>
    </row>
    <row r="130" spans="1:16" x14ac:dyDescent="0.2">
      <c r="A130" s="316" t="s">
        <v>163</v>
      </c>
      <c r="B130" s="472" t="s">
        <v>164</v>
      </c>
      <c r="C130" s="473"/>
      <c r="D130" s="473"/>
      <c r="E130" s="473"/>
      <c r="F130" s="473"/>
      <c r="G130" s="474"/>
      <c r="H130" s="26" t="s">
        <v>74</v>
      </c>
      <c r="I130" s="291" t="s">
        <v>75</v>
      </c>
      <c r="J130" s="316"/>
      <c r="K130" s="472"/>
      <c r="L130" s="473"/>
      <c r="M130" s="473"/>
      <c r="N130" s="473"/>
      <c r="O130" s="473"/>
      <c r="P130" s="474"/>
    </row>
    <row r="131" spans="1:16" x14ac:dyDescent="0.2">
      <c r="A131" s="296" t="s">
        <v>38</v>
      </c>
      <c r="B131" s="486" t="s">
        <v>165</v>
      </c>
      <c r="C131" s="487"/>
      <c r="D131" s="487"/>
      <c r="E131" s="487"/>
      <c r="F131" s="487"/>
      <c r="G131" s="488"/>
      <c r="H131" s="157">
        <v>0</v>
      </c>
      <c r="I131" s="82">
        <v>0</v>
      </c>
      <c r="J131" s="296"/>
      <c r="K131" s="486"/>
      <c r="L131" s="487"/>
      <c r="M131" s="487"/>
      <c r="N131" s="487"/>
      <c r="O131" s="487"/>
      <c r="P131" s="488"/>
    </row>
    <row r="132" spans="1:16" x14ac:dyDescent="0.2">
      <c r="A132" s="489" t="s">
        <v>166</v>
      </c>
      <c r="B132" s="473"/>
      <c r="C132" s="473"/>
      <c r="D132" s="473"/>
      <c r="E132" s="473"/>
      <c r="F132" s="473"/>
      <c r="G132" s="474"/>
      <c r="H132" s="33">
        <f>TRUNC(SUM(H131),4)</f>
        <v>0</v>
      </c>
      <c r="I132" s="314">
        <f>SUM(I131)</f>
        <v>0</v>
      </c>
      <c r="J132" s="489"/>
      <c r="K132" s="473"/>
      <c r="L132" s="473"/>
      <c r="M132" s="473"/>
      <c r="N132" s="473"/>
      <c r="O132" s="473"/>
      <c r="P132" s="474"/>
    </row>
    <row r="133" spans="1:16" x14ac:dyDescent="0.2">
      <c r="A133" s="42"/>
      <c r="B133" s="36"/>
      <c r="C133" s="36"/>
      <c r="D133" s="36"/>
      <c r="E133" s="36"/>
      <c r="F133" s="36"/>
      <c r="G133" s="36"/>
      <c r="H133" s="36"/>
      <c r="I133" s="315"/>
      <c r="J133" s="42"/>
      <c r="K133" s="36"/>
      <c r="L133" s="36"/>
      <c r="M133" s="36"/>
      <c r="N133" s="36"/>
      <c r="O133" s="36"/>
      <c r="P133" s="36"/>
    </row>
    <row r="134" spans="1:16" x14ac:dyDescent="0.2">
      <c r="A134" s="447" t="s">
        <v>167</v>
      </c>
      <c r="B134" s="448"/>
      <c r="C134" s="448"/>
      <c r="D134" s="448"/>
      <c r="E134" s="448"/>
      <c r="F134" s="448"/>
      <c r="G134" s="448"/>
      <c r="H134" s="448"/>
      <c r="I134" s="449"/>
      <c r="J134" s="447"/>
      <c r="K134" s="448"/>
      <c r="L134" s="448"/>
      <c r="M134" s="448"/>
      <c r="N134" s="448"/>
      <c r="O134" s="448"/>
      <c r="P134" s="448"/>
    </row>
    <row r="135" spans="1:16" x14ac:dyDescent="0.2">
      <c r="A135" s="313">
        <v>4</v>
      </c>
      <c r="B135" s="493" t="s">
        <v>168</v>
      </c>
      <c r="C135" s="494"/>
      <c r="D135" s="494"/>
      <c r="E135" s="494"/>
      <c r="F135" s="494"/>
      <c r="G135" s="495"/>
      <c r="H135" s="37"/>
      <c r="I135" s="297" t="s">
        <v>75</v>
      </c>
      <c r="J135" s="313"/>
      <c r="K135" s="493"/>
      <c r="L135" s="494"/>
      <c r="M135" s="494"/>
      <c r="N135" s="494"/>
      <c r="O135" s="494"/>
      <c r="P135" s="495"/>
    </row>
    <row r="136" spans="1:16" x14ac:dyDescent="0.2">
      <c r="A136" s="296" t="s">
        <v>152</v>
      </c>
      <c r="B136" s="490" t="s">
        <v>169</v>
      </c>
      <c r="C136" s="491"/>
      <c r="D136" s="491"/>
      <c r="E136" s="491"/>
      <c r="F136" s="491"/>
      <c r="G136" s="492"/>
      <c r="H136" s="20"/>
      <c r="I136" s="82">
        <f>I128</f>
        <v>43.577010720000004</v>
      </c>
      <c r="J136" s="296"/>
      <c r="K136" s="490"/>
      <c r="L136" s="491"/>
      <c r="M136" s="491"/>
      <c r="N136" s="491"/>
      <c r="O136" s="491"/>
      <c r="P136" s="492"/>
    </row>
    <row r="137" spans="1:16" x14ac:dyDescent="0.2">
      <c r="A137" s="296" t="s">
        <v>163</v>
      </c>
      <c r="B137" s="490" t="s">
        <v>170</v>
      </c>
      <c r="C137" s="491"/>
      <c r="D137" s="491"/>
      <c r="E137" s="491"/>
      <c r="F137" s="491"/>
      <c r="G137" s="492"/>
      <c r="H137" s="20"/>
      <c r="I137" s="82">
        <f>I132</f>
        <v>0</v>
      </c>
      <c r="J137" s="296"/>
      <c r="K137" s="490"/>
      <c r="L137" s="491"/>
      <c r="M137" s="491"/>
      <c r="N137" s="491"/>
      <c r="O137" s="491"/>
      <c r="P137" s="492"/>
    </row>
    <row r="138" spans="1:16" x14ac:dyDescent="0.2">
      <c r="A138" s="463" t="s">
        <v>171</v>
      </c>
      <c r="B138" s="478"/>
      <c r="C138" s="478"/>
      <c r="D138" s="478"/>
      <c r="E138" s="478"/>
      <c r="F138" s="478"/>
      <c r="G138" s="478"/>
      <c r="H138" s="478"/>
      <c r="I138" s="320">
        <f>SUM(I136:I137)</f>
        <v>43.577010720000004</v>
      </c>
      <c r="J138" s="463"/>
      <c r="K138" s="478"/>
      <c r="L138" s="478"/>
      <c r="M138" s="478"/>
      <c r="N138" s="478"/>
      <c r="O138" s="478"/>
      <c r="P138" s="478"/>
    </row>
    <row r="139" spans="1:16" x14ac:dyDescent="0.2">
      <c r="A139" s="479"/>
      <c r="B139" s="480"/>
      <c r="C139" s="480"/>
      <c r="D139" s="480"/>
      <c r="E139" s="480"/>
      <c r="F139" s="480"/>
      <c r="G139" s="480"/>
      <c r="H139" s="480"/>
      <c r="I139" s="481"/>
      <c r="J139" s="479"/>
      <c r="K139" s="480"/>
      <c r="L139" s="480"/>
      <c r="M139" s="480"/>
      <c r="N139" s="480"/>
      <c r="O139" s="480"/>
      <c r="P139" s="480"/>
    </row>
    <row r="140" spans="1:16" x14ac:dyDescent="0.2">
      <c r="A140" s="460" t="s">
        <v>172</v>
      </c>
      <c r="B140" s="461"/>
      <c r="C140" s="461"/>
      <c r="D140" s="461"/>
      <c r="E140" s="461"/>
      <c r="F140" s="461"/>
      <c r="G140" s="461"/>
      <c r="H140" s="461"/>
      <c r="I140" s="462"/>
      <c r="J140" s="460"/>
      <c r="K140" s="461"/>
      <c r="L140" s="461"/>
      <c r="M140" s="461"/>
      <c r="N140" s="461"/>
      <c r="O140" s="461"/>
      <c r="P140" s="461"/>
    </row>
    <row r="141" spans="1:16" x14ac:dyDescent="0.2">
      <c r="A141" s="296">
        <v>5</v>
      </c>
      <c r="B141" s="457" t="s">
        <v>173</v>
      </c>
      <c r="C141" s="457"/>
      <c r="D141" s="457"/>
      <c r="E141" s="457"/>
      <c r="F141" s="457"/>
      <c r="G141" s="457"/>
      <c r="H141" s="8"/>
      <c r="I141" s="297" t="s">
        <v>75</v>
      </c>
      <c r="J141" s="296"/>
      <c r="K141" s="457"/>
      <c r="L141" s="457"/>
      <c r="M141" s="457"/>
      <c r="N141" s="457"/>
      <c r="O141" s="457"/>
      <c r="P141" s="457"/>
    </row>
    <row r="142" spans="1:16" x14ac:dyDescent="0.2">
      <c r="A142" s="296" t="s">
        <v>38</v>
      </c>
      <c r="B142" s="475" t="s">
        <v>174</v>
      </c>
      <c r="C142" s="475"/>
      <c r="D142" s="475"/>
      <c r="E142" s="475"/>
      <c r="F142" s="475"/>
      <c r="G142" s="475"/>
      <c r="H142" s="21" t="s">
        <v>120</v>
      </c>
      <c r="I142" s="82">
        <f>'Uniform&amp;EPIs '!K24</f>
        <v>245.35416666666666</v>
      </c>
      <c r="J142" s="296"/>
      <c r="K142" s="475"/>
      <c r="L142" s="475"/>
      <c r="M142" s="475"/>
      <c r="N142" s="475"/>
      <c r="O142" s="475"/>
      <c r="P142" s="475"/>
    </row>
    <row r="143" spans="1:16" x14ac:dyDescent="0.2">
      <c r="A143" s="296" t="s">
        <v>40</v>
      </c>
      <c r="B143" s="475" t="s">
        <v>175</v>
      </c>
      <c r="C143" s="475"/>
      <c r="D143" s="475"/>
      <c r="E143" s="475"/>
      <c r="F143" s="475"/>
      <c r="G143" s="475"/>
      <c r="H143" s="21" t="s">
        <v>120</v>
      </c>
      <c r="I143" s="82">
        <v>0</v>
      </c>
      <c r="J143" s="296"/>
      <c r="K143" s="475"/>
      <c r="L143" s="475"/>
      <c r="M143" s="475"/>
      <c r="N143" s="475"/>
      <c r="O143" s="475"/>
      <c r="P143" s="475"/>
    </row>
    <row r="144" spans="1:16" x14ac:dyDescent="0.2">
      <c r="A144" s="322" t="s">
        <v>43</v>
      </c>
      <c r="B144" s="475" t="s">
        <v>176</v>
      </c>
      <c r="C144" s="475"/>
      <c r="D144" s="475"/>
      <c r="E144" s="475"/>
      <c r="F144" s="475"/>
      <c r="G144" s="475"/>
      <c r="H144" s="21" t="s">
        <v>120</v>
      </c>
      <c r="I144" s="82">
        <v>0</v>
      </c>
      <c r="J144" s="322"/>
      <c r="K144" s="475"/>
      <c r="L144" s="475"/>
      <c r="M144" s="475"/>
      <c r="N144" s="475"/>
      <c r="O144" s="475"/>
      <c r="P144" s="475"/>
    </row>
    <row r="145" spans="1:17" x14ac:dyDescent="0.2">
      <c r="A145" s="322" t="s">
        <v>46</v>
      </c>
      <c r="B145" s="475" t="s">
        <v>83</v>
      </c>
      <c r="C145" s="475"/>
      <c r="D145" s="475"/>
      <c r="E145" s="475"/>
      <c r="F145" s="475"/>
      <c r="G145" s="475"/>
      <c r="H145" s="21" t="s">
        <v>120</v>
      </c>
      <c r="I145" s="82">
        <v>0</v>
      </c>
      <c r="J145" s="322"/>
      <c r="K145" s="475"/>
      <c r="L145" s="475"/>
      <c r="M145" s="475"/>
      <c r="N145" s="475"/>
      <c r="O145" s="475"/>
      <c r="P145" s="475"/>
    </row>
    <row r="146" spans="1:17" x14ac:dyDescent="0.2">
      <c r="A146" s="463" t="s">
        <v>178</v>
      </c>
      <c r="B146" s="478"/>
      <c r="C146" s="478"/>
      <c r="D146" s="478"/>
      <c r="E146" s="478"/>
      <c r="F146" s="478"/>
      <c r="G146" s="478"/>
      <c r="H146" s="33" t="s">
        <v>120</v>
      </c>
      <c r="I146" s="320">
        <f>SUM(I142:I145)</f>
        <v>245.35416666666666</v>
      </c>
      <c r="J146" s="463"/>
      <c r="K146" s="478"/>
      <c r="L146" s="478"/>
      <c r="M146" s="478"/>
      <c r="N146" s="478"/>
      <c r="O146" s="478"/>
      <c r="P146" s="478"/>
    </row>
    <row r="147" spans="1:17" x14ac:dyDescent="0.2">
      <c r="A147" s="323"/>
      <c r="B147" s="43"/>
      <c r="C147" s="43"/>
      <c r="D147" s="43"/>
      <c r="E147" s="43"/>
      <c r="F147" s="43"/>
      <c r="G147" s="43"/>
      <c r="H147" s="43"/>
      <c r="I147" s="324"/>
      <c r="J147" s="323"/>
      <c r="K147" s="43"/>
      <c r="L147" s="43"/>
      <c r="M147" s="43"/>
      <c r="N147" s="43"/>
      <c r="O147" s="43"/>
      <c r="P147" s="43"/>
    </row>
    <row r="148" spans="1:17" x14ac:dyDescent="0.2">
      <c r="A148" s="300" t="s">
        <v>179</v>
      </c>
      <c r="B148" s="3"/>
      <c r="C148" s="3"/>
      <c r="D148" s="3"/>
      <c r="E148" s="3"/>
      <c r="F148" s="3"/>
      <c r="G148" s="3"/>
      <c r="H148" s="3"/>
      <c r="I148" s="321"/>
      <c r="J148" s="300"/>
      <c r="K148" s="3"/>
      <c r="L148" s="3"/>
      <c r="M148" s="3"/>
      <c r="N148" s="3"/>
      <c r="O148" s="3"/>
      <c r="P148" s="3"/>
    </row>
    <row r="149" spans="1:17" x14ac:dyDescent="0.2">
      <c r="A149" s="325"/>
      <c r="B149" s="3"/>
      <c r="C149" s="3"/>
      <c r="D149" s="3"/>
      <c r="E149" s="3"/>
      <c r="F149" s="3"/>
      <c r="G149" s="3"/>
      <c r="H149" s="3"/>
      <c r="I149" s="321"/>
      <c r="J149" s="325"/>
      <c r="K149" s="3"/>
      <c r="L149" s="3"/>
      <c r="M149" s="3"/>
      <c r="N149" s="3"/>
      <c r="O149" s="3"/>
      <c r="P149" s="3"/>
    </row>
    <row r="150" spans="1:17" x14ac:dyDescent="0.2">
      <c r="A150" s="460" t="s">
        <v>180</v>
      </c>
      <c r="B150" s="461"/>
      <c r="C150" s="461"/>
      <c r="D150" s="461"/>
      <c r="E150" s="461"/>
      <c r="F150" s="461"/>
      <c r="G150" s="461"/>
      <c r="H150" s="461"/>
      <c r="I150" s="462"/>
      <c r="J150" s="460"/>
      <c r="K150" s="461"/>
      <c r="L150" s="461"/>
      <c r="M150" s="461"/>
      <c r="N150" s="461"/>
      <c r="O150" s="461"/>
      <c r="P150" s="461"/>
    </row>
    <row r="151" spans="1:17" x14ac:dyDescent="0.2">
      <c r="A151" s="296">
        <v>6</v>
      </c>
      <c r="B151" s="457" t="s">
        <v>181</v>
      </c>
      <c r="C151" s="457"/>
      <c r="D151" s="457"/>
      <c r="E151" s="457"/>
      <c r="F151" s="457"/>
      <c r="G151" s="457"/>
      <c r="H151" s="8" t="s">
        <v>74</v>
      </c>
      <c r="I151" s="297" t="s">
        <v>75</v>
      </c>
      <c r="J151" s="296"/>
      <c r="K151" s="457"/>
      <c r="L151" s="457"/>
      <c r="M151" s="457"/>
      <c r="N151" s="457"/>
      <c r="O151" s="457"/>
      <c r="P151" s="457"/>
    </row>
    <row r="152" spans="1:17" x14ac:dyDescent="0.2">
      <c r="A152" s="296" t="s">
        <v>38</v>
      </c>
      <c r="B152" s="445" t="s">
        <v>182</v>
      </c>
      <c r="C152" s="445"/>
      <c r="D152" s="445"/>
      <c r="E152" s="445"/>
      <c r="F152" s="445"/>
      <c r="G152" s="445"/>
      <c r="H152" s="24">
        <v>0.05</v>
      </c>
      <c r="I152" s="326">
        <f>H152*I170</f>
        <v>183.16119284373337</v>
      </c>
      <c r="J152" s="296"/>
      <c r="K152" s="445"/>
      <c r="L152" s="445"/>
      <c r="M152" s="445"/>
      <c r="N152" s="445"/>
      <c r="O152" s="445"/>
      <c r="P152" s="445"/>
      <c r="Q152" s="25"/>
    </row>
    <row r="153" spans="1:17" x14ac:dyDescent="0.2">
      <c r="A153" s="296" t="s">
        <v>40</v>
      </c>
      <c r="B153" s="445" t="s">
        <v>183</v>
      </c>
      <c r="C153" s="445"/>
      <c r="D153" s="445"/>
      <c r="E153" s="445"/>
      <c r="F153" s="445"/>
      <c r="G153" s="445"/>
      <c r="H153" s="24">
        <v>0.1</v>
      </c>
      <c r="I153" s="326">
        <f>H153*(I152+I170)</f>
        <v>384.63850497184006</v>
      </c>
      <c r="J153" s="296"/>
      <c r="K153" s="445"/>
      <c r="L153" s="445"/>
      <c r="M153" s="445"/>
      <c r="N153" s="445"/>
      <c r="O153" s="445"/>
      <c r="P153" s="445"/>
      <c r="Q153" s="25"/>
    </row>
    <row r="154" spans="1:17" x14ac:dyDescent="0.2">
      <c r="A154" s="296" t="s">
        <v>43</v>
      </c>
      <c r="B154" s="498" t="s">
        <v>184</v>
      </c>
      <c r="C154" s="498"/>
      <c r="D154" s="498"/>
      <c r="E154" s="498"/>
      <c r="F154" s="498"/>
      <c r="G154" s="498"/>
      <c r="H154" s="2"/>
      <c r="I154" s="327"/>
      <c r="J154" s="296"/>
      <c r="K154" s="498"/>
      <c r="L154" s="498"/>
      <c r="M154" s="498"/>
      <c r="N154" s="498"/>
      <c r="O154" s="498"/>
      <c r="P154" s="498"/>
    </row>
    <row r="155" spans="1:17" x14ac:dyDescent="0.2">
      <c r="A155" s="296" t="s">
        <v>185</v>
      </c>
      <c r="B155" s="445" t="s">
        <v>186</v>
      </c>
      <c r="C155" s="445"/>
      <c r="D155" s="445"/>
      <c r="E155" s="445"/>
      <c r="F155" s="445"/>
      <c r="G155" s="445"/>
      <c r="H155" s="6">
        <v>1.6500000000000001E-2</v>
      </c>
      <c r="I155" s="326">
        <f>H155*$I$172</f>
        <v>81.41328122727576</v>
      </c>
      <c r="J155" s="296"/>
      <c r="K155" s="445"/>
      <c r="L155" s="445"/>
      <c r="M155" s="445"/>
      <c r="N155" s="445"/>
      <c r="O155" s="445"/>
      <c r="P155" s="445"/>
      <c r="Q155" s="25"/>
    </row>
    <row r="156" spans="1:17" x14ac:dyDescent="0.2">
      <c r="A156" s="296" t="s">
        <v>187</v>
      </c>
      <c r="B156" s="445" t="s">
        <v>188</v>
      </c>
      <c r="C156" s="445"/>
      <c r="D156" s="445"/>
      <c r="E156" s="445"/>
      <c r="F156" s="445"/>
      <c r="G156" s="445"/>
      <c r="H156" s="6">
        <v>7.5999999999999998E-2</v>
      </c>
      <c r="I156" s="326">
        <f t="shared" ref="I156:I157" si="2">H156*$I$172</f>
        <v>374.99450747108835</v>
      </c>
      <c r="J156" s="296"/>
      <c r="K156" s="445"/>
      <c r="L156" s="445"/>
      <c r="M156" s="445"/>
      <c r="N156" s="445"/>
      <c r="O156" s="445"/>
      <c r="P156" s="445"/>
      <c r="Q156" s="25"/>
    </row>
    <row r="157" spans="1:17" x14ac:dyDescent="0.2">
      <c r="A157" s="296" t="s">
        <v>189</v>
      </c>
      <c r="B157" s="445" t="s">
        <v>190</v>
      </c>
      <c r="C157" s="445"/>
      <c r="D157" s="445"/>
      <c r="E157" s="445"/>
      <c r="F157" s="445"/>
      <c r="G157" s="445"/>
      <c r="H157" s="6">
        <v>0.05</v>
      </c>
      <c r="I157" s="326">
        <f t="shared" si="2"/>
        <v>246.70691280992656</v>
      </c>
      <c r="J157" s="296"/>
      <c r="K157" s="445"/>
      <c r="L157" s="445"/>
      <c r="M157" s="445"/>
      <c r="N157" s="445"/>
      <c r="O157" s="445"/>
      <c r="P157" s="445"/>
      <c r="Q157" s="25"/>
    </row>
    <row r="158" spans="1:17" x14ac:dyDescent="0.2">
      <c r="A158" s="463" t="s">
        <v>191</v>
      </c>
      <c r="B158" s="478"/>
      <c r="C158" s="478"/>
      <c r="D158" s="478"/>
      <c r="E158" s="478"/>
      <c r="F158" s="478"/>
      <c r="G158" s="478"/>
      <c r="H158" s="44">
        <f>SUM(H152:H157)</f>
        <v>0.29250000000000004</v>
      </c>
      <c r="I158" s="320">
        <f>SUM(I152:I157)</f>
        <v>1270.914399323864</v>
      </c>
      <c r="J158" s="463"/>
      <c r="K158" s="478"/>
      <c r="L158" s="478"/>
      <c r="M158" s="478"/>
      <c r="N158" s="478"/>
      <c r="O158" s="478"/>
      <c r="P158" s="478"/>
    </row>
    <row r="159" spans="1:17" x14ac:dyDescent="0.2">
      <c r="A159" s="287"/>
      <c r="B159" s="238"/>
      <c r="C159" s="238"/>
      <c r="D159" s="238"/>
      <c r="E159" s="238"/>
      <c r="F159" s="238"/>
      <c r="G159" s="238"/>
      <c r="H159" s="238"/>
      <c r="I159" s="328"/>
      <c r="J159" s="287"/>
      <c r="K159" s="238"/>
      <c r="L159" s="238"/>
      <c r="M159" s="238"/>
      <c r="N159" s="238"/>
      <c r="O159" s="238"/>
      <c r="P159" s="238"/>
    </row>
    <row r="160" spans="1:17" x14ac:dyDescent="0.2">
      <c r="A160" s="300" t="s">
        <v>192</v>
      </c>
      <c r="B160" s="238"/>
      <c r="C160" s="238"/>
      <c r="D160" s="238"/>
      <c r="E160" s="238"/>
      <c r="F160" s="238"/>
      <c r="G160" s="238"/>
      <c r="H160" s="238"/>
      <c r="I160" s="328"/>
      <c r="J160" s="300"/>
      <c r="K160" s="238"/>
      <c r="L160" s="238"/>
      <c r="M160" s="238"/>
      <c r="N160" s="238"/>
      <c r="O160" s="238"/>
      <c r="P160" s="238"/>
    </row>
    <row r="161" spans="1:16" x14ac:dyDescent="0.2">
      <c r="A161" s="300" t="s">
        <v>193</v>
      </c>
      <c r="B161" s="238"/>
      <c r="C161" s="238"/>
      <c r="D161" s="238"/>
      <c r="E161" s="238"/>
      <c r="F161" s="238"/>
      <c r="G161" s="238"/>
      <c r="H161" s="238"/>
      <c r="I161" s="328"/>
      <c r="J161" s="300"/>
      <c r="K161" s="238"/>
      <c r="L161" s="238"/>
      <c r="M161" s="238"/>
      <c r="N161" s="238"/>
      <c r="O161" s="238"/>
      <c r="P161" s="238"/>
    </row>
    <row r="162" spans="1:16" x14ac:dyDescent="0.2">
      <c r="A162" s="287"/>
      <c r="B162" s="233"/>
      <c r="C162" s="233"/>
      <c r="D162" s="233"/>
      <c r="E162" s="233"/>
      <c r="F162" s="233"/>
      <c r="G162" s="233"/>
      <c r="H162" s="233"/>
      <c r="I162" s="61"/>
      <c r="J162" s="287"/>
      <c r="K162" s="233"/>
      <c r="L162" s="233"/>
      <c r="M162" s="233"/>
      <c r="N162" s="233"/>
      <c r="O162" s="233"/>
      <c r="P162" s="233"/>
    </row>
    <row r="163" spans="1:16" x14ac:dyDescent="0.2">
      <c r="A163" s="447" t="s">
        <v>194</v>
      </c>
      <c r="B163" s="448"/>
      <c r="C163" s="448"/>
      <c r="D163" s="448"/>
      <c r="E163" s="448"/>
      <c r="F163" s="448"/>
      <c r="G163" s="448"/>
      <c r="H163" s="448"/>
      <c r="I163" s="449"/>
      <c r="J163" s="447"/>
      <c r="K163" s="448"/>
      <c r="L163" s="448"/>
      <c r="M163" s="448"/>
      <c r="N163" s="448"/>
      <c r="O163" s="448"/>
      <c r="P163" s="448"/>
    </row>
    <row r="164" spans="1:16" x14ac:dyDescent="0.2">
      <c r="A164" s="456" t="s">
        <v>195</v>
      </c>
      <c r="B164" s="457"/>
      <c r="C164" s="457"/>
      <c r="D164" s="457"/>
      <c r="E164" s="457"/>
      <c r="F164" s="457"/>
      <c r="G164" s="457"/>
      <c r="H164" s="457"/>
      <c r="I164" s="297" t="s">
        <v>75</v>
      </c>
      <c r="J164" s="456"/>
      <c r="K164" s="457"/>
      <c r="L164" s="457"/>
      <c r="M164" s="457"/>
      <c r="N164" s="457"/>
      <c r="O164" s="457"/>
      <c r="P164" s="457"/>
    </row>
    <row r="165" spans="1:16" x14ac:dyDescent="0.2">
      <c r="A165" s="292" t="s">
        <v>38</v>
      </c>
      <c r="B165" s="446" t="str">
        <f>A37</f>
        <v>MÓDULO 1 - COMPOSIÇÃO DA REMUNERAÇÃO</v>
      </c>
      <c r="C165" s="446"/>
      <c r="D165" s="446"/>
      <c r="E165" s="446"/>
      <c r="F165" s="446"/>
      <c r="G165" s="446"/>
      <c r="H165" s="446"/>
      <c r="I165" s="326">
        <f>I45</f>
        <v>1553.88</v>
      </c>
      <c r="J165" s="292"/>
      <c r="K165" s="446"/>
      <c r="L165" s="446"/>
      <c r="M165" s="446"/>
      <c r="N165" s="446"/>
      <c r="O165" s="446"/>
      <c r="P165" s="446"/>
    </row>
    <row r="166" spans="1:16" x14ac:dyDescent="0.2">
      <c r="A166" s="292" t="s">
        <v>40</v>
      </c>
      <c r="B166" s="446" t="str">
        <f>A50</f>
        <v>MÓDULO 2 – ENCARGOS E BENEFÍCIOS ANUAIS, MENSAIS E DIÁRIOS</v>
      </c>
      <c r="C166" s="446"/>
      <c r="D166" s="446"/>
      <c r="E166" s="446"/>
      <c r="F166" s="446"/>
      <c r="G166" s="446"/>
      <c r="H166" s="446"/>
      <c r="I166" s="326">
        <f>I102</f>
        <v>1709.9703477120001</v>
      </c>
      <c r="J166" s="292"/>
      <c r="K166" s="446"/>
      <c r="L166" s="446"/>
      <c r="M166" s="446"/>
      <c r="N166" s="446"/>
      <c r="O166" s="446"/>
      <c r="P166" s="446"/>
    </row>
    <row r="167" spans="1:16" x14ac:dyDescent="0.2">
      <c r="A167" s="292" t="s">
        <v>43</v>
      </c>
      <c r="B167" s="446" t="str">
        <f>A104</f>
        <v>MÓDULO 3 – PROVISÃO PARA RESCISÃO</v>
      </c>
      <c r="C167" s="446"/>
      <c r="D167" s="446"/>
      <c r="E167" s="446"/>
      <c r="F167" s="446"/>
      <c r="G167" s="446"/>
      <c r="H167" s="446"/>
      <c r="I167" s="326">
        <f>I112</f>
        <v>110.442331776</v>
      </c>
      <c r="J167" s="292"/>
      <c r="K167" s="446"/>
      <c r="L167" s="446"/>
      <c r="M167" s="446"/>
      <c r="N167" s="446"/>
      <c r="O167" s="446"/>
      <c r="P167" s="446"/>
    </row>
    <row r="168" spans="1:16" x14ac:dyDescent="0.2">
      <c r="A168" s="329" t="s">
        <v>46</v>
      </c>
      <c r="B168" s="446" t="str">
        <f>A114</f>
        <v>MÓDULO 4 – CUSTO DE REPOSIÇÃO DO PROFISSIONAL AUSENTE</v>
      </c>
      <c r="C168" s="446"/>
      <c r="D168" s="446"/>
      <c r="E168" s="446"/>
      <c r="F168" s="446"/>
      <c r="G168" s="446"/>
      <c r="H168" s="446"/>
      <c r="I168" s="326">
        <f>I138</f>
        <v>43.577010720000004</v>
      </c>
      <c r="J168" s="329"/>
      <c r="K168" s="446"/>
      <c r="L168" s="446"/>
      <c r="M168" s="446"/>
      <c r="N168" s="446"/>
      <c r="O168" s="446"/>
      <c r="P168" s="446"/>
    </row>
    <row r="169" spans="1:16" x14ac:dyDescent="0.2">
      <c r="A169" s="329" t="s">
        <v>80</v>
      </c>
      <c r="B169" s="446" t="str">
        <f>A140</f>
        <v>MÓDULO 5 – INSUMOS DIVERSOS</v>
      </c>
      <c r="C169" s="446"/>
      <c r="D169" s="446"/>
      <c r="E169" s="446"/>
      <c r="F169" s="446"/>
      <c r="G169" s="446"/>
      <c r="H169" s="446"/>
      <c r="I169" s="326">
        <f>I146</f>
        <v>245.35416666666666</v>
      </c>
      <c r="J169" s="329"/>
      <c r="K169" s="446"/>
      <c r="L169" s="446"/>
      <c r="M169" s="446"/>
      <c r="N169" s="446"/>
      <c r="O169" s="446"/>
      <c r="P169" s="446"/>
    </row>
    <row r="170" spans="1:16" x14ac:dyDescent="0.2">
      <c r="A170" s="296"/>
      <c r="B170" s="457" t="s">
        <v>196</v>
      </c>
      <c r="C170" s="457"/>
      <c r="D170" s="457"/>
      <c r="E170" s="457"/>
      <c r="F170" s="457"/>
      <c r="G170" s="457"/>
      <c r="H170" s="457"/>
      <c r="I170" s="330">
        <f>SUM(I165:I169)</f>
        <v>3663.223856874667</v>
      </c>
      <c r="J170" s="296"/>
      <c r="K170" s="457"/>
      <c r="L170" s="457"/>
      <c r="M170" s="457"/>
      <c r="N170" s="457"/>
      <c r="O170" s="457"/>
      <c r="P170" s="457"/>
    </row>
    <row r="171" spans="1:16" x14ac:dyDescent="0.2">
      <c r="A171" s="329" t="s">
        <v>82</v>
      </c>
      <c r="B171" s="446" t="str">
        <f>A150</f>
        <v>MÓDULO 6 – CUSTOS INDIRETOS, TRIBUTOS E LUCRO</v>
      </c>
      <c r="C171" s="446"/>
      <c r="D171" s="446"/>
      <c r="E171" s="446"/>
      <c r="F171" s="446"/>
      <c r="G171" s="446"/>
      <c r="H171" s="446"/>
      <c r="I171" s="82">
        <f>I158</f>
        <v>1270.914399323864</v>
      </c>
      <c r="J171" s="329"/>
      <c r="K171" s="446"/>
      <c r="L171" s="446"/>
      <c r="M171" s="446"/>
      <c r="N171" s="446"/>
      <c r="O171" s="446"/>
      <c r="P171" s="446"/>
    </row>
    <row r="172" spans="1:16" ht="13.5" thickBot="1" x14ac:dyDescent="0.25">
      <c r="A172" s="510" t="s">
        <v>197</v>
      </c>
      <c r="B172" s="511"/>
      <c r="C172" s="511"/>
      <c r="D172" s="511"/>
      <c r="E172" s="511"/>
      <c r="F172" s="511"/>
      <c r="G172" s="511"/>
      <c r="H172" s="511"/>
      <c r="I172" s="331">
        <f>SUM(I45,I102,I112,I138,I146,I152,I153)/(1-SUM(H155:H157))</f>
        <v>4934.1382561985311</v>
      </c>
      <c r="J172" s="510"/>
      <c r="K172" s="511"/>
      <c r="L172" s="511"/>
      <c r="M172" s="511"/>
      <c r="N172" s="511"/>
      <c r="O172" s="511"/>
      <c r="P172" s="511"/>
    </row>
    <row r="173" spans="1:16" ht="13.5" thickBot="1" x14ac:dyDescent="0.25">
      <c r="A173" s="3"/>
      <c r="B173" s="3"/>
      <c r="C173" s="3"/>
      <c r="D173" s="3"/>
      <c r="E173" s="3"/>
      <c r="F173" s="3"/>
      <c r="G173" s="3"/>
      <c r="H173" s="3"/>
      <c r="I173" s="4"/>
      <c r="J173" s="57"/>
    </row>
    <row r="174" spans="1:16" s="284" customFormat="1" ht="17.45" customHeight="1" thickBot="1" x14ac:dyDescent="0.25">
      <c r="A174" s="512" t="s">
        <v>198</v>
      </c>
      <c r="B174" s="513"/>
      <c r="C174" s="513"/>
      <c r="D174" s="513"/>
      <c r="E174" s="513"/>
      <c r="F174" s="513"/>
      <c r="G174" s="513"/>
      <c r="H174" s="341">
        <f>I16</f>
        <v>1</v>
      </c>
      <c r="I174" s="332">
        <f>I172*H174</f>
        <v>4934.1382561985311</v>
      </c>
      <c r="J174" s="335"/>
      <c r="K174" s="285"/>
      <c r="L174" s="285"/>
      <c r="M174" s="285"/>
      <c r="N174" s="285"/>
      <c r="O174" s="514"/>
      <c r="P174" s="515"/>
    </row>
    <row r="175" spans="1:16" s="284" customFormat="1" ht="24.95" customHeight="1" thickBot="1" x14ac:dyDescent="0.25">
      <c r="A175" s="549">
        <f>(I174)</f>
        <v>4934.1382561985311</v>
      </c>
      <c r="B175" s="550"/>
      <c r="C175" s="550"/>
      <c r="D175" s="550"/>
      <c r="E175" s="550"/>
      <c r="F175" s="550"/>
      <c r="G175" s="550"/>
      <c r="H175" s="547" t="str">
        <f>I31</f>
        <v>AUXILIAR DE SERVIÇOS GERAIS-CONVENCIONAL</v>
      </c>
      <c r="I175" s="548"/>
      <c r="J175" s="336"/>
      <c r="K175" s="283"/>
      <c r="L175" s="283"/>
      <c r="M175" s="283"/>
      <c r="N175" s="283"/>
      <c r="O175" s="283"/>
      <c r="P175" s="283"/>
    </row>
    <row r="176" spans="1:16" x14ac:dyDescent="0.2">
      <c r="A176" s="3"/>
      <c r="B176" s="3"/>
      <c r="C176" s="3"/>
      <c r="D176" s="3"/>
      <c r="E176" s="3"/>
      <c r="F176" s="3"/>
      <c r="G176" s="3"/>
      <c r="H176" s="3"/>
      <c r="I176" s="4"/>
    </row>
    <row r="177" spans="1:9" x14ac:dyDescent="0.2">
      <c r="A177" s="3"/>
      <c r="B177" s="3"/>
      <c r="C177" s="3"/>
      <c r="D177" s="3"/>
      <c r="E177" s="3"/>
      <c r="F177" s="3"/>
      <c r="G177" s="3"/>
      <c r="H177" s="3"/>
      <c r="I177" s="4"/>
    </row>
    <row r="178" spans="1:9" hidden="1" outlineLevel="1" x14ac:dyDescent="0.2"/>
    <row r="179" spans="1:9" hidden="1" outlineLevel="1" x14ac:dyDescent="0.2">
      <c r="A179" s="502" t="s">
        <v>210</v>
      </c>
      <c r="B179" s="503"/>
      <c r="C179" s="503"/>
      <c r="D179" s="503"/>
      <c r="E179" s="503"/>
      <c r="F179" s="503"/>
      <c r="G179" s="503"/>
      <c r="H179" s="503"/>
      <c r="I179" s="504"/>
    </row>
    <row r="180" spans="1:9" hidden="1" outlineLevel="1" x14ac:dyDescent="0.2">
      <c r="A180" s="505"/>
      <c r="B180" s="506"/>
      <c r="C180" s="506"/>
      <c r="D180" s="506"/>
      <c r="E180" s="506"/>
      <c r="F180" s="506"/>
      <c r="G180" s="506"/>
      <c r="H180" s="506"/>
      <c r="I180" s="507"/>
    </row>
    <row r="181" spans="1:9" hidden="1" outlineLevel="1" x14ac:dyDescent="0.2"/>
    <row r="182" spans="1:9" ht="38.25" hidden="1" outlineLevel="1" x14ac:dyDescent="0.2">
      <c r="A182" s="508" t="s">
        <v>201</v>
      </c>
      <c r="B182" s="508"/>
      <c r="C182" s="508"/>
      <c r="D182" s="521" t="s">
        <v>211</v>
      </c>
      <c r="E182" s="457"/>
      <c r="F182" s="457"/>
      <c r="G182" s="521" t="s">
        <v>212</v>
      </c>
      <c r="H182" s="457"/>
      <c r="I182" s="45" t="s">
        <v>206</v>
      </c>
    </row>
    <row r="183" spans="1:9" ht="30" hidden="1" customHeight="1" outlineLevel="1" x14ac:dyDescent="0.2">
      <c r="A183" s="520" t="s">
        <v>207</v>
      </c>
      <c r="B183" s="520"/>
      <c r="C183" s="520"/>
      <c r="D183" s="452" t="s">
        <v>213</v>
      </c>
      <c r="E183" s="520"/>
      <c r="F183" s="520"/>
      <c r="G183" s="519">
        <f>A175</f>
        <v>4934.1382561985311</v>
      </c>
      <c r="H183" s="520"/>
      <c r="I183" s="158">
        <f>TRUNC((1/1800)*G183,2)</f>
        <v>2.74</v>
      </c>
    </row>
    <row r="184" spans="1:9" hidden="1" outlineLevel="1" x14ac:dyDescent="0.2">
      <c r="A184" s="457" t="s">
        <v>208</v>
      </c>
      <c r="B184" s="457"/>
      <c r="C184" s="457"/>
      <c r="D184" s="457"/>
      <c r="E184" s="457"/>
      <c r="F184" s="457"/>
      <c r="G184" s="457"/>
      <c r="H184" s="457"/>
      <c r="I184" s="159">
        <f>SUM(I183:I183)</f>
        <v>2.74</v>
      </c>
    </row>
    <row r="185" spans="1:9" hidden="1" outlineLevel="1" x14ac:dyDescent="0.2"/>
    <row r="186" spans="1:9" hidden="1" outlineLevel="1" x14ac:dyDescent="0.2">
      <c r="A186" s="445" t="s">
        <v>214</v>
      </c>
      <c r="B186" s="445"/>
      <c r="C186" s="445"/>
      <c r="D186" s="445"/>
      <c r="E186" s="445"/>
      <c r="F186" s="445"/>
      <c r="G186" s="445"/>
      <c r="H186" s="445"/>
      <c r="I186" s="445"/>
    </row>
    <row r="187" spans="1:9" hidden="1" outlineLevel="1" x14ac:dyDescent="0.2"/>
    <row r="188" spans="1:9" hidden="1" outlineLevel="1" x14ac:dyDescent="0.2">
      <c r="A188" s="502" t="s">
        <v>215</v>
      </c>
      <c r="B188" s="503"/>
      <c r="C188" s="503"/>
      <c r="D188" s="503"/>
      <c r="E188" s="503"/>
      <c r="F188" s="503"/>
      <c r="G188" s="503"/>
      <c r="H188" s="503"/>
      <c r="I188" s="504"/>
    </row>
    <row r="189" spans="1:9" hidden="1" outlineLevel="1" x14ac:dyDescent="0.2">
      <c r="A189" s="505"/>
      <c r="B189" s="506"/>
      <c r="C189" s="506"/>
      <c r="D189" s="506"/>
      <c r="E189" s="506"/>
      <c r="F189" s="506"/>
      <c r="G189" s="506"/>
      <c r="H189" s="506"/>
      <c r="I189" s="507"/>
    </row>
    <row r="190" spans="1:9" hidden="1" outlineLevel="1" x14ac:dyDescent="0.2"/>
    <row r="191" spans="1:9" ht="38.25" hidden="1" outlineLevel="1" x14ac:dyDescent="0.2">
      <c r="A191" s="508" t="s">
        <v>201</v>
      </c>
      <c r="B191" s="508"/>
      <c r="C191" s="508"/>
      <c r="D191" s="521" t="s">
        <v>211</v>
      </c>
      <c r="E191" s="457"/>
      <c r="F191" s="457"/>
      <c r="G191" s="521" t="s">
        <v>212</v>
      </c>
      <c r="H191" s="457"/>
      <c r="I191" s="45" t="s">
        <v>206</v>
      </c>
    </row>
    <row r="192" spans="1:9" ht="30.6" hidden="1" customHeight="1" outlineLevel="1" x14ac:dyDescent="0.2">
      <c r="A192" s="520" t="s">
        <v>207</v>
      </c>
      <c r="B192" s="520"/>
      <c r="C192" s="520"/>
      <c r="D192" s="452" t="s">
        <v>216</v>
      </c>
      <c r="E192" s="520"/>
      <c r="F192" s="520"/>
      <c r="G192" s="519" t="e">
        <f>#REF!</f>
        <v>#REF!</v>
      </c>
      <c r="H192" s="520"/>
      <c r="I192" s="158" t="e">
        <f>TRUNC((1/300)*G192,2)</f>
        <v>#REF!</v>
      </c>
    </row>
    <row r="193" spans="1:9" hidden="1" outlineLevel="1" x14ac:dyDescent="0.2">
      <c r="A193" s="457" t="s">
        <v>208</v>
      </c>
      <c r="B193" s="457"/>
      <c r="C193" s="457"/>
      <c r="D193" s="457"/>
      <c r="E193" s="457"/>
      <c r="F193" s="457"/>
      <c r="G193" s="457"/>
      <c r="H193" s="457"/>
      <c r="I193" s="159" t="e">
        <f>SUM(I192:I192)</f>
        <v>#REF!</v>
      </c>
    </row>
    <row r="194" spans="1:9" hidden="1" outlineLevel="1" x14ac:dyDescent="0.2"/>
    <row r="195" spans="1:9" hidden="1" outlineLevel="1" x14ac:dyDescent="0.2">
      <c r="A195" s="445" t="s">
        <v>217</v>
      </c>
      <c r="B195" s="445"/>
      <c r="C195" s="445"/>
      <c r="D195" s="445"/>
      <c r="E195" s="445"/>
      <c r="F195" s="445"/>
      <c r="G195" s="445"/>
      <c r="H195" s="445"/>
      <c r="I195" s="445"/>
    </row>
    <row r="196" spans="1:9" hidden="1" outlineLevel="1" x14ac:dyDescent="0.2"/>
    <row r="197" spans="1:9" hidden="1" outlineLevel="1" x14ac:dyDescent="0.2">
      <c r="A197" s="524" t="s">
        <v>218</v>
      </c>
      <c r="B197" s="525"/>
      <c r="C197" s="525"/>
      <c r="D197" s="525"/>
      <c r="E197" s="525"/>
      <c r="F197" s="525"/>
      <c r="G197" s="525"/>
      <c r="H197" s="525"/>
      <c r="I197" s="526"/>
    </row>
    <row r="198" spans="1:9" hidden="1" outlineLevel="1" x14ac:dyDescent="0.2">
      <c r="A198" s="527"/>
      <c r="B198" s="528"/>
      <c r="C198" s="528"/>
      <c r="D198" s="528"/>
      <c r="E198" s="528"/>
      <c r="F198" s="528"/>
      <c r="G198" s="528"/>
      <c r="H198" s="528"/>
      <c r="I198" s="529"/>
    </row>
    <row r="199" spans="1:9" hidden="1" outlineLevel="1" x14ac:dyDescent="0.2"/>
    <row r="200" spans="1:9" ht="38.25" hidden="1" outlineLevel="1" x14ac:dyDescent="0.2">
      <c r="A200" s="508" t="s">
        <v>201</v>
      </c>
      <c r="B200" s="508"/>
      <c r="C200" s="508"/>
      <c r="D200" s="521" t="s">
        <v>211</v>
      </c>
      <c r="E200" s="457"/>
      <c r="F200" s="457"/>
      <c r="G200" s="521" t="s">
        <v>212</v>
      </c>
      <c r="H200" s="457"/>
      <c r="I200" s="45" t="s">
        <v>206</v>
      </c>
    </row>
    <row r="201" spans="1:9" ht="29.45" hidden="1" customHeight="1" outlineLevel="1" x14ac:dyDescent="0.2">
      <c r="A201" s="520" t="s">
        <v>207</v>
      </c>
      <c r="B201" s="520"/>
      <c r="C201" s="520"/>
      <c r="D201" s="452" t="s">
        <v>219</v>
      </c>
      <c r="E201" s="520"/>
      <c r="F201" s="520"/>
      <c r="G201" s="519" t="e">
        <f>G192</f>
        <v>#REF!</v>
      </c>
      <c r="H201" s="520"/>
      <c r="I201" s="158" t="e">
        <f>TRUNC((1/130)*G201/22,2)</f>
        <v>#REF!</v>
      </c>
    </row>
    <row r="202" spans="1:9" hidden="1" outlineLevel="1" x14ac:dyDescent="0.2">
      <c r="A202" s="457" t="s">
        <v>208</v>
      </c>
      <c r="B202" s="457"/>
      <c r="C202" s="457"/>
      <c r="D202" s="457"/>
      <c r="E202" s="457"/>
      <c r="F202" s="457"/>
      <c r="G202" s="457"/>
      <c r="H202" s="457"/>
      <c r="I202" s="282" t="e">
        <f>SUM(I201:I201)</f>
        <v>#REF!</v>
      </c>
    </row>
    <row r="203" spans="1:9" hidden="1" outlineLevel="1" x14ac:dyDescent="0.2"/>
    <row r="204" spans="1:9" hidden="1" outlineLevel="1" x14ac:dyDescent="0.2">
      <c r="A204" s="445" t="s">
        <v>220</v>
      </c>
      <c r="B204" s="445"/>
      <c r="C204" s="445"/>
      <c r="D204" s="445"/>
      <c r="E204" s="445"/>
      <c r="F204" s="445"/>
      <c r="G204" s="445"/>
      <c r="H204" s="445"/>
      <c r="I204" s="445"/>
    </row>
    <row r="205" spans="1:9" hidden="1" outlineLevel="1" x14ac:dyDescent="0.2"/>
    <row r="206" spans="1:9" hidden="1" outlineLevel="1" x14ac:dyDescent="0.2">
      <c r="A206" s="522" t="s">
        <v>221</v>
      </c>
      <c r="B206" s="523"/>
      <c r="C206" s="523"/>
      <c r="D206" s="523"/>
      <c r="E206" s="523"/>
      <c r="F206" s="523"/>
      <c r="G206" s="523"/>
      <c r="H206" s="523"/>
      <c r="I206" s="523"/>
    </row>
    <row r="207" spans="1:9" hidden="1" outlineLevel="1" x14ac:dyDescent="0.2"/>
    <row r="208" spans="1:9" hidden="1" outlineLevel="1" x14ac:dyDescent="0.2">
      <c r="A208" s="522" t="s">
        <v>222</v>
      </c>
      <c r="B208" s="523"/>
      <c r="C208" s="523"/>
      <c r="D208" s="523"/>
      <c r="E208" s="523"/>
      <c r="F208" s="523"/>
      <c r="G208" s="523"/>
      <c r="H208" s="523"/>
      <c r="I208" s="523"/>
    </row>
    <row r="209" spans="1:9" hidden="1" outlineLevel="1" x14ac:dyDescent="0.2">
      <c r="A209" s="252"/>
      <c r="B209" s="253"/>
      <c r="C209" s="253"/>
      <c r="D209" s="253"/>
      <c r="E209" s="253"/>
      <c r="F209" s="253"/>
      <c r="G209" s="253"/>
      <c r="H209" s="253"/>
      <c r="I209" s="253"/>
    </row>
    <row r="210" spans="1:9" hidden="1" outlineLevel="1" x14ac:dyDescent="0.2">
      <c r="A210" s="522" t="s">
        <v>223</v>
      </c>
      <c r="B210" s="523"/>
      <c r="C210" s="523"/>
      <c r="D210" s="523"/>
      <c r="E210" s="523"/>
      <c r="F210" s="523"/>
      <c r="G210" s="523"/>
      <c r="H210" s="523"/>
      <c r="I210" s="523"/>
    </row>
    <row r="211" spans="1:9" hidden="1" outlineLevel="1" x14ac:dyDescent="0.2"/>
    <row r="212" spans="1:9" hidden="1" outlineLevel="1" x14ac:dyDescent="0.2"/>
    <row r="213" spans="1:9" collapsed="1" x14ac:dyDescent="0.2">
      <c r="A213" s="469" t="s">
        <v>235</v>
      </c>
      <c r="B213" s="470"/>
      <c r="C213" s="470"/>
      <c r="D213" s="470"/>
      <c r="E213" s="470"/>
      <c r="F213" s="470"/>
      <c r="G213" s="470"/>
      <c r="H213" s="470"/>
      <c r="I213" s="471"/>
    </row>
    <row r="214" spans="1:9" s="32" customFormat="1" x14ac:dyDescent="0.2">
      <c r="A214" s="499"/>
      <c r="B214" s="500"/>
      <c r="C214" s="500"/>
      <c r="D214" s="500"/>
      <c r="E214" s="500"/>
      <c r="F214" s="500"/>
      <c r="G214" s="500"/>
      <c r="H214" s="500"/>
      <c r="I214" s="501"/>
    </row>
    <row r="216" spans="1:9" ht="13.5" thickBot="1" x14ac:dyDescent="0.25">
      <c r="A216" s="32"/>
      <c r="B216" s="32"/>
      <c r="C216" s="32"/>
      <c r="D216" s="32"/>
      <c r="E216" s="32"/>
      <c r="F216" s="32"/>
      <c r="G216" s="32"/>
      <c r="H216" s="32"/>
      <c r="I216" s="32"/>
    </row>
    <row r="217" spans="1:9" x14ac:dyDescent="0.2">
      <c r="A217" s="554" t="s">
        <v>236</v>
      </c>
      <c r="B217" s="555"/>
      <c r="C217" s="555"/>
      <c r="D217" s="555"/>
      <c r="E217" s="555"/>
      <c r="F217" s="555"/>
      <c r="G217" s="555"/>
      <c r="H217" s="555"/>
      <c r="I217" s="556"/>
    </row>
    <row r="218" spans="1:9" x14ac:dyDescent="0.2">
      <c r="A218" s="557"/>
      <c r="B218" s="558"/>
      <c r="C218" s="558"/>
      <c r="D218" s="558"/>
      <c r="E218" s="558"/>
      <c r="F218" s="558"/>
      <c r="G218" s="558"/>
      <c r="H218" s="558"/>
      <c r="I218" s="559"/>
    </row>
    <row r="219" spans="1:9" x14ac:dyDescent="0.2">
      <c r="A219" s="450" t="s">
        <v>207</v>
      </c>
      <c r="B219" s="452"/>
      <c r="C219" s="452"/>
      <c r="D219" s="452">
        <v>22</v>
      </c>
      <c r="E219" s="520"/>
      <c r="F219" s="520"/>
      <c r="G219" s="519">
        <f>I174</f>
        <v>4934.1382561985311</v>
      </c>
      <c r="H219" s="520"/>
      <c r="I219" s="369">
        <f>TRUNC(G219/D219,2)</f>
        <v>224.27</v>
      </c>
    </row>
    <row r="220" spans="1:9" ht="13.5" thickBot="1" x14ac:dyDescent="0.25">
      <c r="A220" s="552" t="s">
        <v>237</v>
      </c>
      <c r="B220" s="553"/>
      <c r="C220" s="553"/>
      <c r="D220" s="553"/>
      <c r="E220" s="553"/>
      <c r="F220" s="553"/>
      <c r="G220" s="553"/>
      <c r="H220" s="553"/>
      <c r="I220" s="370">
        <f>SUM(I219:I219)</f>
        <v>224.27</v>
      </c>
    </row>
  </sheetData>
  <mergeCells count="276">
    <mergeCell ref="A220:H220"/>
    <mergeCell ref="A213:I213"/>
    <mergeCell ref="A214:I214"/>
    <mergeCell ref="A217:I218"/>
    <mergeCell ref="A219:C219"/>
    <mergeCell ref="D219:F219"/>
    <mergeCell ref="G219:H219"/>
    <mergeCell ref="A208:I208"/>
    <mergeCell ref="A210:I210"/>
    <mergeCell ref="A201:C201"/>
    <mergeCell ref="D201:F201"/>
    <mergeCell ref="G201:H201"/>
    <mergeCell ref="A202:H202"/>
    <mergeCell ref="A204:I204"/>
    <mergeCell ref="A206:I206"/>
    <mergeCell ref="A193:H193"/>
    <mergeCell ref="A195:I195"/>
    <mergeCell ref="A197:I198"/>
    <mergeCell ref="A200:C200"/>
    <mergeCell ref="D200:F200"/>
    <mergeCell ref="G200:H200"/>
    <mergeCell ref="A191:C191"/>
    <mergeCell ref="D191:F191"/>
    <mergeCell ref="G191:H191"/>
    <mergeCell ref="A192:C192"/>
    <mergeCell ref="D192:F192"/>
    <mergeCell ref="G192:H192"/>
    <mergeCell ref="A183:C183"/>
    <mergeCell ref="D183:F183"/>
    <mergeCell ref="G183:H183"/>
    <mergeCell ref="A184:H184"/>
    <mergeCell ref="A186:I186"/>
    <mergeCell ref="A188:I189"/>
    <mergeCell ref="A179:I180"/>
    <mergeCell ref="A182:C182"/>
    <mergeCell ref="D182:F182"/>
    <mergeCell ref="G182:H182"/>
    <mergeCell ref="A175:G175"/>
    <mergeCell ref="H175:I175"/>
    <mergeCell ref="B171:H171"/>
    <mergeCell ref="K171:P171"/>
    <mergeCell ref="A172:H172"/>
    <mergeCell ref="J172:P172"/>
    <mergeCell ref="A174:G174"/>
    <mergeCell ref="O174:P174"/>
    <mergeCell ref="B168:H168"/>
    <mergeCell ref="K168:P168"/>
    <mergeCell ref="B169:H169"/>
    <mergeCell ref="K169:P169"/>
    <mergeCell ref="B170:H170"/>
    <mergeCell ref="K170:P170"/>
    <mergeCell ref="B165:H165"/>
    <mergeCell ref="K165:P165"/>
    <mergeCell ref="B166:H166"/>
    <mergeCell ref="K166:P166"/>
    <mergeCell ref="B167:H167"/>
    <mergeCell ref="K167:P167"/>
    <mergeCell ref="A158:G158"/>
    <mergeCell ref="J158:P158"/>
    <mergeCell ref="A163:I163"/>
    <mergeCell ref="J163:P163"/>
    <mergeCell ref="A164:H164"/>
    <mergeCell ref="J164:P164"/>
    <mergeCell ref="B155:G155"/>
    <mergeCell ref="K155:P155"/>
    <mergeCell ref="B156:G156"/>
    <mergeCell ref="K156:P156"/>
    <mergeCell ref="B157:G157"/>
    <mergeCell ref="K157:P157"/>
    <mergeCell ref="B152:G152"/>
    <mergeCell ref="K152:P152"/>
    <mergeCell ref="B153:G153"/>
    <mergeCell ref="K153:P153"/>
    <mergeCell ref="B154:G154"/>
    <mergeCell ref="K154:P154"/>
    <mergeCell ref="A146:G146"/>
    <mergeCell ref="J146:P146"/>
    <mergeCell ref="A150:I150"/>
    <mergeCell ref="J150:P150"/>
    <mergeCell ref="B151:G151"/>
    <mergeCell ref="K151:P151"/>
    <mergeCell ref="B143:G143"/>
    <mergeCell ref="K143:P143"/>
    <mergeCell ref="B144:G144"/>
    <mergeCell ref="K144:P144"/>
    <mergeCell ref="B145:G145"/>
    <mergeCell ref="K145:P145"/>
    <mergeCell ref="A140:I140"/>
    <mergeCell ref="J140:P140"/>
    <mergeCell ref="B141:G141"/>
    <mergeCell ref="K141:P141"/>
    <mergeCell ref="B142:G142"/>
    <mergeCell ref="K142:P142"/>
    <mergeCell ref="B137:G137"/>
    <mergeCell ref="K137:P137"/>
    <mergeCell ref="A138:H138"/>
    <mergeCell ref="J138:P138"/>
    <mergeCell ref="A139:I139"/>
    <mergeCell ref="J139:P139"/>
    <mergeCell ref="A134:I134"/>
    <mergeCell ref="J134:P134"/>
    <mergeCell ref="B135:G135"/>
    <mergeCell ref="K135:P135"/>
    <mergeCell ref="B136:G136"/>
    <mergeCell ref="K136:P136"/>
    <mergeCell ref="B130:G130"/>
    <mergeCell ref="K130:P130"/>
    <mergeCell ref="B131:G131"/>
    <mergeCell ref="K131:P131"/>
    <mergeCell ref="A132:G132"/>
    <mergeCell ref="J132:P132"/>
    <mergeCell ref="A126:G126"/>
    <mergeCell ref="J126:P126"/>
    <mergeCell ref="B127:G127"/>
    <mergeCell ref="K127:P127"/>
    <mergeCell ref="A128:G128"/>
    <mergeCell ref="J128:P128"/>
    <mergeCell ref="B123:G123"/>
    <mergeCell ref="K123:P123"/>
    <mergeCell ref="B124:G124"/>
    <mergeCell ref="K124:P124"/>
    <mergeCell ref="B125:G125"/>
    <mergeCell ref="K125:P125"/>
    <mergeCell ref="B120:G120"/>
    <mergeCell ref="K120:P120"/>
    <mergeCell ref="B121:G121"/>
    <mergeCell ref="K121:P121"/>
    <mergeCell ref="B122:G122"/>
    <mergeCell ref="K122:P122"/>
    <mergeCell ref="A113:I113"/>
    <mergeCell ref="J113:P113"/>
    <mergeCell ref="A114:I114"/>
    <mergeCell ref="J114:P114"/>
    <mergeCell ref="B119:G119"/>
    <mergeCell ref="K119:P119"/>
    <mergeCell ref="B110:G110"/>
    <mergeCell ref="K110:P110"/>
    <mergeCell ref="B111:G111"/>
    <mergeCell ref="K111:P111"/>
    <mergeCell ref="A112:G112"/>
    <mergeCell ref="J112:P112"/>
    <mergeCell ref="B107:G107"/>
    <mergeCell ref="K107:P107"/>
    <mergeCell ref="B108:G108"/>
    <mergeCell ref="K108:P108"/>
    <mergeCell ref="B109:G109"/>
    <mergeCell ref="K109:P109"/>
    <mergeCell ref="A104:I104"/>
    <mergeCell ref="J104:P104"/>
    <mergeCell ref="B105:G105"/>
    <mergeCell ref="K105:P105"/>
    <mergeCell ref="B106:G106"/>
    <mergeCell ref="K106:P106"/>
    <mergeCell ref="B101:H101"/>
    <mergeCell ref="K101:P101"/>
    <mergeCell ref="A102:H102"/>
    <mergeCell ref="J102:P102"/>
    <mergeCell ref="A103:I103"/>
    <mergeCell ref="J103:P103"/>
    <mergeCell ref="A98:H98"/>
    <mergeCell ref="J98:P98"/>
    <mergeCell ref="B99:H99"/>
    <mergeCell ref="K99:P99"/>
    <mergeCell ref="B100:H100"/>
    <mergeCell ref="K100:P100"/>
    <mergeCell ref="B88:G88"/>
    <mergeCell ref="K88:P88"/>
    <mergeCell ref="B89:G89"/>
    <mergeCell ref="K89:P89"/>
    <mergeCell ref="A90:H90"/>
    <mergeCell ref="J90:P90"/>
    <mergeCell ref="B85:G85"/>
    <mergeCell ref="K85:P85"/>
    <mergeCell ref="B86:G86"/>
    <mergeCell ref="K86:P86"/>
    <mergeCell ref="B87:G87"/>
    <mergeCell ref="K87:P87"/>
    <mergeCell ref="A75:G75"/>
    <mergeCell ref="J75:P75"/>
    <mergeCell ref="B83:G83"/>
    <mergeCell ref="K83:P83"/>
    <mergeCell ref="B84:G84"/>
    <mergeCell ref="K84:P84"/>
    <mergeCell ref="B72:G72"/>
    <mergeCell ref="K72:P72"/>
    <mergeCell ref="B73:G73"/>
    <mergeCell ref="K73:P73"/>
    <mergeCell ref="B74:G74"/>
    <mergeCell ref="K74:P74"/>
    <mergeCell ref="B69:G69"/>
    <mergeCell ref="K69:P69"/>
    <mergeCell ref="B70:G70"/>
    <mergeCell ref="K70:P70"/>
    <mergeCell ref="B71:G71"/>
    <mergeCell ref="K71:P71"/>
    <mergeCell ref="B66:G66"/>
    <mergeCell ref="K66:P66"/>
    <mergeCell ref="B67:G67"/>
    <mergeCell ref="K67:P67"/>
    <mergeCell ref="B68:G68"/>
    <mergeCell ref="K68:P68"/>
    <mergeCell ref="A54:G54"/>
    <mergeCell ref="J54:P54"/>
    <mergeCell ref="B55:G55"/>
    <mergeCell ref="K55:P55"/>
    <mergeCell ref="A56:G56"/>
    <mergeCell ref="J56:P56"/>
    <mergeCell ref="B51:G51"/>
    <mergeCell ref="K51:P51"/>
    <mergeCell ref="B52:G52"/>
    <mergeCell ref="K52:P52"/>
    <mergeCell ref="B53:G53"/>
    <mergeCell ref="K53:P53"/>
    <mergeCell ref="B44:G44"/>
    <mergeCell ref="K44:P44"/>
    <mergeCell ref="A45:H45"/>
    <mergeCell ref="J45:P45"/>
    <mergeCell ref="A50:I50"/>
    <mergeCell ref="J50:P50"/>
    <mergeCell ref="B41:G41"/>
    <mergeCell ref="K41:P41"/>
    <mergeCell ref="B42:G42"/>
    <mergeCell ref="K42:P42"/>
    <mergeCell ref="B43:G43"/>
    <mergeCell ref="K43:P43"/>
    <mergeCell ref="B38:G38"/>
    <mergeCell ref="K38:P38"/>
    <mergeCell ref="B39:G39"/>
    <mergeCell ref="K39:P39"/>
    <mergeCell ref="B40:G40"/>
    <mergeCell ref="K40:P40"/>
    <mergeCell ref="B31:H31"/>
    <mergeCell ref="K31:P31"/>
    <mergeCell ref="B32:H32"/>
    <mergeCell ref="K32:P32"/>
    <mergeCell ref="A37:I37"/>
    <mergeCell ref="J37:P37"/>
    <mergeCell ref="B28:H28"/>
    <mergeCell ref="K28:P28"/>
    <mergeCell ref="B29:H29"/>
    <mergeCell ref="K29:P29"/>
    <mergeCell ref="B30:H30"/>
    <mergeCell ref="K30:P30"/>
    <mergeCell ref="A16:B16"/>
    <mergeCell ref="C16:D16"/>
    <mergeCell ref="E16:H16"/>
    <mergeCell ref="J16:K16"/>
    <mergeCell ref="L16:M16"/>
    <mergeCell ref="A27:I27"/>
    <mergeCell ref="J27:P27"/>
    <mergeCell ref="A14:I14"/>
    <mergeCell ref="J14:P14"/>
    <mergeCell ref="A15:B15"/>
    <mergeCell ref="C15:D15"/>
    <mergeCell ref="E15:I15"/>
    <mergeCell ref="J15:K15"/>
    <mergeCell ref="L15:M15"/>
    <mergeCell ref="N15:P15"/>
    <mergeCell ref="B10:H10"/>
    <mergeCell ref="K10:P10"/>
    <mergeCell ref="B11:H11"/>
    <mergeCell ref="K11:P11"/>
    <mergeCell ref="B12:H12"/>
    <mergeCell ref="K12:P12"/>
    <mergeCell ref="A6:F6"/>
    <mergeCell ref="J6:O6"/>
    <mergeCell ref="A8:I8"/>
    <mergeCell ref="J8:P8"/>
    <mergeCell ref="B9:H9"/>
    <mergeCell ref="K9:P9"/>
    <mergeCell ref="A1:I1"/>
    <mergeCell ref="J1:P1"/>
    <mergeCell ref="A3:F3"/>
    <mergeCell ref="J3:O3"/>
    <mergeCell ref="A4:F4"/>
    <mergeCell ref="J4:O4"/>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B1:S66"/>
  <sheetViews>
    <sheetView topLeftCell="A25" zoomScale="130" zoomScaleNormal="130" workbookViewId="0">
      <selection activeCell="E40" sqref="E40"/>
    </sheetView>
  </sheetViews>
  <sheetFormatPr defaultRowHeight="12.75" customHeight="1" x14ac:dyDescent="0.2"/>
  <cols>
    <col min="2" max="2" width="16.28515625" bestFit="1" customWidth="1"/>
    <col min="3" max="3" width="10.7109375" customWidth="1"/>
    <col min="4" max="4" width="20.7109375" customWidth="1"/>
    <col min="5" max="5" width="15.42578125" customWidth="1"/>
  </cols>
  <sheetData>
    <row r="1" spans="2:7" x14ac:dyDescent="0.2"/>
    <row r="2" spans="2:7" x14ac:dyDescent="0.2">
      <c r="B2" s="431" t="s">
        <v>238</v>
      </c>
      <c r="C2" s="432"/>
      <c r="D2" s="432"/>
      <c r="E2" s="433"/>
    </row>
    <row r="3" spans="2:7" x14ac:dyDescent="0.2">
      <c r="B3" s="57"/>
      <c r="E3" s="58"/>
      <c r="F3" s="43"/>
      <c r="G3" s="43"/>
    </row>
    <row r="4" spans="2:7" x14ac:dyDescent="0.2">
      <c r="B4" s="80" t="s">
        <v>239</v>
      </c>
      <c r="C4" s="51"/>
      <c r="D4" s="51"/>
      <c r="E4" s="116">
        <v>4.9000000000000004</v>
      </c>
    </row>
    <row r="5" spans="2:7" x14ac:dyDescent="0.2">
      <c r="B5" s="80" t="s">
        <v>240</v>
      </c>
      <c r="C5" s="51"/>
      <c r="D5" s="51"/>
      <c r="E5" s="115">
        <v>2</v>
      </c>
    </row>
    <row r="6" spans="2:7" x14ac:dyDescent="0.2">
      <c r="B6" s="80" t="s">
        <v>241</v>
      </c>
      <c r="C6" s="51"/>
      <c r="D6" s="51"/>
      <c r="E6" s="115">
        <v>22</v>
      </c>
    </row>
    <row r="7" spans="2:7" x14ac:dyDescent="0.2">
      <c r="B7" s="80" t="s">
        <v>242</v>
      </c>
      <c r="C7" s="51"/>
      <c r="D7" s="51"/>
      <c r="E7" s="170">
        <v>0.06</v>
      </c>
    </row>
    <row r="8" spans="2:7" x14ac:dyDescent="0.2">
      <c r="B8" s="57"/>
      <c r="E8" s="58"/>
    </row>
    <row r="9" spans="2:7" x14ac:dyDescent="0.2">
      <c r="B9" s="81" t="s">
        <v>243</v>
      </c>
      <c r="C9" s="51"/>
      <c r="D9" s="51"/>
      <c r="E9" s="83">
        <f>(E4*E5*E6)</f>
        <v>215.60000000000002</v>
      </c>
    </row>
    <row r="10" spans="2:7" x14ac:dyDescent="0.2">
      <c r="B10" s="81" t="s">
        <v>244</v>
      </c>
      <c r="C10" s="51"/>
      <c r="D10" s="51"/>
      <c r="E10" s="83">
        <f>'Controle de pragas - Item 9'!I39*E7</f>
        <v>109.467</v>
      </c>
    </row>
    <row r="11" spans="2:7" x14ac:dyDescent="0.2">
      <c r="B11" s="57"/>
      <c r="E11" s="58"/>
    </row>
    <row r="12" spans="2:7" x14ac:dyDescent="0.2">
      <c r="B12" s="65" t="s">
        <v>245</v>
      </c>
      <c r="C12" s="66"/>
      <c r="D12" s="66"/>
      <c r="E12" s="79">
        <f>E9-E10</f>
        <v>106.13300000000002</v>
      </c>
    </row>
    <row r="13" spans="2:7" x14ac:dyDescent="0.2">
      <c r="E13" s="7"/>
    </row>
    <row r="14" spans="2:7" x14ac:dyDescent="0.2">
      <c r="E14" s="7"/>
    </row>
    <row r="15" spans="2:7" x14ac:dyDescent="0.2">
      <c r="B15" s="431" t="s">
        <v>246</v>
      </c>
      <c r="C15" s="432"/>
      <c r="D15" s="432"/>
      <c r="E15" s="433"/>
    </row>
    <row r="16" spans="2:7" x14ac:dyDescent="0.2">
      <c r="B16" s="57"/>
      <c r="E16" s="58"/>
    </row>
    <row r="17" spans="2:5" x14ac:dyDescent="0.2">
      <c r="B17" s="80" t="s">
        <v>247</v>
      </c>
      <c r="C17" s="51"/>
      <c r="D17" s="51"/>
      <c r="E17" s="116">
        <v>22.72</v>
      </c>
    </row>
    <row r="18" spans="2:5" x14ac:dyDescent="0.2">
      <c r="B18" s="80" t="s">
        <v>241</v>
      </c>
      <c r="C18" s="51"/>
      <c r="D18" s="51"/>
      <c r="E18" s="115">
        <v>22</v>
      </c>
    </row>
    <row r="19" spans="2:5" x14ac:dyDescent="0.2">
      <c r="B19" s="80" t="s">
        <v>248</v>
      </c>
      <c r="C19" s="51"/>
      <c r="D19" s="51"/>
      <c r="E19" s="198">
        <v>3.5000000000000003E-2</v>
      </c>
    </row>
    <row r="20" spans="2:5" x14ac:dyDescent="0.2">
      <c r="B20" s="57"/>
      <c r="E20" s="58"/>
    </row>
    <row r="21" spans="2:5" x14ac:dyDescent="0.2">
      <c r="B21" s="81" t="s">
        <v>249</v>
      </c>
      <c r="C21" s="51"/>
      <c r="D21" s="51"/>
      <c r="E21" s="82">
        <f>E17*E18</f>
        <v>499.84</v>
      </c>
    </row>
    <row r="22" spans="2:5" x14ac:dyDescent="0.2">
      <c r="B22" s="81" t="s">
        <v>250</v>
      </c>
      <c r="C22" s="51"/>
      <c r="D22" s="51"/>
      <c r="E22" s="160"/>
    </row>
    <row r="23" spans="2:5" x14ac:dyDescent="0.2">
      <c r="B23" s="81" t="s">
        <v>244</v>
      </c>
      <c r="C23" s="51"/>
      <c r="D23" s="51"/>
      <c r="E23" s="82">
        <f>E21*E19</f>
        <v>17.494400000000002</v>
      </c>
    </row>
    <row r="24" spans="2:5" x14ac:dyDescent="0.2">
      <c r="B24" s="57"/>
      <c r="E24" s="58"/>
    </row>
    <row r="25" spans="2:5" x14ac:dyDescent="0.2">
      <c r="B25" s="65" t="s">
        <v>251</v>
      </c>
      <c r="C25" s="66"/>
      <c r="D25" s="66"/>
      <c r="E25" s="79">
        <f>E21-E23+E22</f>
        <v>482.34559999999999</v>
      </c>
    </row>
    <row r="26" spans="2:5" x14ac:dyDescent="0.2">
      <c r="E26" s="7"/>
    </row>
    <row r="27" spans="2:5" x14ac:dyDescent="0.2">
      <c r="E27" s="7"/>
    </row>
    <row r="28" spans="2:5" x14ac:dyDescent="0.2">
      <c r="B28" s="431" t="s">
        <v>252</v>
      </c>
      <c r="C28" s="432"/>
      <c r="D28" s="432"/>
      <c r="E28" s="433"/>
    </row>
    <row r="29" spans="2:5" x14ac:dyDescent="0.2">
      <c r="B29" s="57"/>
      <c r="E29" s="58"/>
    </row>
    <row r="30" spans="2:5" x14ac:dyDescent="0.2">
      <c r="B30" s="80" t="s">
        <v>253</v>
      </c>
      <c r="C30" s="51"/>
      <c r="D30" s="51"/>
      <c r="E30" s="161"/>
    </row>
    <row r="31" spans="2:5" x14ac:dyDescent="0.2">
      <c r="B31" s="80" t="s">
        <v>254</v>
      </c>
      <c r="C31" s="51"/>
      <c r="D31" s="51"/>
      <c r="E31" s="161"/>
    </row>
    <row r="32" spans="2:5" x14ac:dyDescent="0.2">
      <c r="B32" s="57"/>
      <c r="E32" s="58"/>
    </row>
    <row r="33" spans="2:19" x14ac:dyDescent="0.2">
      <c r="B33" s="65" t="s">
        <v>255</v>
      </c>
      <c r="C33" s="66"/>
      <c r="D33" s="66"/>
      <c r="E33" s="79">
        <f>E30*'Controle de pragas - Item 9'!I45</f>
        <v>0</v>
      </c>
    </row>
    <row r="34" spans="2:19" x14ac:dyDescent="0.2">
      <c r="E34" s="7"/>
    </row>
    <row r="35" spans="2:19" ht="13.5" customHeight="1" x14ac:dyDescent="0.2">
      <c r="E35" s="7"/>
      <c r="K35" s="110"/>
      <c r="L35" s="110"/>
      <c r="M35" s="110"/>
      <c r="N35" s="110"/>
      <c r="O35" s="110"/>
      <c r="P35" s="110"/>
      <c r="Q35" s="110"/>
      <c r="R35" s="110"/>
      <c r="S35" s="110"/>
    </row>
    <row r="36" spans="2:19" x14ac:dyDescent="0.2">
      <c r="B36" s="564" t="s">
        <v>256</v>
      </c>
      <c r="C36" s="432"/>
      <c r="D36" s="432"/>
      <c r="E36" s="433"/>
      <c r="G36" s="561"/>
      <c r="H36" s="561"/>
      <c r="I36" s="561"/>
      <c r="J36" s="561"/>
      <c r="K36" s="561"/>
      <c r="L36" s="561"/>
      <c r="M36" s="561"/>
      <c r="N36" s="110"/>
      <c r="O36" s="110"/>
      <c r="P36" s="110"/>
      <c r="Q36" s="110"/>
      <c r="R36" s="110"/>
      <c r="S36" s="110"/>
    </row>
    <row r="37" spans="2:19" x14ac:dyDescent="0.2">
      <c r="B37" s="85"/>
      <c r="C37" s="86"/>
      <c r="D37" s="86"/>
      <c r="E37" s="87"/>
      <c r="K37" s="110"/>
      <c r="L37" s="110"/>
      <c r="M37" s="110"/>
      <c r="N37" s="110"/>
      <c r="O37" s="110"/>
      <c r="P37" s="110"/>
      <c r="Q37" s="110"/>
      <c r="R37" s="110"/>
      <c r="S37" s="110"/>
    </row>
    <row r="38" spans="2:19" x14ac:dyDescent="0.2">
      <c r="B38" s="80" t="s">
        <v>257</v>
      </c>
      <c r="C38" s="51"/>
      <c r="D38" s="51"/>
      <c r="E38" s="116">
        <v>104.83</v>
      </c>
      <c r="K38" s="110"/>
      <c r="L38" s="110"/>
      <c r="M38" s="110"/>
      <c r="N38" s="110"/>
      <c r="O38" s="110"/>
      <c r="P38" s="110"/>
      <c r="Q38" s="110"/>
      <c r="R38" s="110"/>
      <c r="S38" s="110"/>
    </row>
    <row r="39" spans="2:19" x14ac:dyDescent="0.2">
      <c r="B39" s="80" t="s">
        <v>258</v>
      </c>
      <c r="C39" s="51"/>
      <c r="D39" s="51"/>
      <c r="E39" s="115">
        <v>10.5</v>
      </c>
      <c r="K39" s="110"/>
      <c r="L39" s="110"/>
      <c r="M39" s="110"/>
      <c r="N39" s="110"/>
      <c r="O39" s="110"/>
      <c r="P39" s="110"/>
      <c r="Q39" s="110"/>
      <c r="R39" s="110"/>
      <c r="S39" s="110"/>
    </row>
    <row r="40" spans="2:19" x14ac:dyDescent="0.2">
      <c r="B40" s="80"/>
      <c r="C40" s="51"/>
      <c r="D40" s="84"/>
      <c r="E40" s="118"/>
      <c r="K40" s="110"/>
      <c r="L40" s="110"/>
      <c r="M40" s="110"/>
      <c r="N40" s="110"/>
      <c r="O40" s="110"/>
      <c r="P40" s="110"/>
      <c r="Q40" s="110"/>
      <c r="R40" s="110"/>
      <c r="S40" s="110"/>
    </row>
    <row r="41" spans="2:19" x14ac:dyDescent="0.2">
      <c r="B41" s="88"/>
      <c r="C41" s="89"/>
      <c r="D41" s="89"/>
      <c r="E41" s="90"/>
      <c r="K41" s="110"/>
      <c r="L41" s="110"/>
      <c r="M41" s="110"/>
      <c r="N41" s="110"/>
      <c r="O41" s="110"/>
      <c r="P41" s="110"/>
      <c r="Q41" s="110"/>
      <c r="R41" s="110"/>
      <c r="S41" s="110"/>
    </row>
    <row r="42" spans="2:19" x14ac:dyDescent="0.2">
      <c r="B42" s="65" t="s">
        <v>259</v>
      </c>
      <c r="C42" s="66"/>
      <c r="D42" s="66"/>
      <c r="E42" s="79">
        <f>E38+E39</f>
        <v>115.33</v>
      </c>
    </row>
    <row r="43" spans="2:19" x14ac:dyDescent="0.2">
      <c r="E43" s="7"/>
    </row>
    <row r="44" spans="2:19" ht="14.25" x14ac:dyDescent="0.2">
      <c r="E44" s="7"/>
      <c r="H44" s="109"/>
      <c r="I44" s="109"/>
    </row>
    <row r="45" spans="2:19" x14ac:dyDescent="0.2">
      <c r="B45" s="431" t="s">
        <v>260</v>
      </c>
      <c r="C45" s="432"/>
      <c r="D45" s="432"/>
      <c r="E45" s="433"/>
    </row>
    <row r="46" spans="2:19" x14ac:dyDescent="0.2">
      <c r="B46" s="85"/>
      <c r="C46" s="86"/>
      <c r="D46" s="86"/>
      <c r="E46" s="87"/>
    </row>
    <row r="47" spans="2:19" x14ac:dyDescent="0.2">
      <c r="B47" s="80" t="s">
        <v>261</v>
      </c>
      <c r="C47" s="51"/>
      <c r="D47" s="51"/>
      <c r="E47" s="116"/>
    </row>
    <row r="48" spans="2:19" x14ac:dyDescent="0.2">
      <c r="B48" s="80" t="s">
        <v>262</v>
      </c>
      <c r="C48" s="51"/>
      <c r="D48" s="51"/>
      <c r="E48" s="116"/>
    </row>
    <row r="49" spans="2:12" x14ac:dyDescent="0.2">
      <c r="B49" s="80" t="s">
        <v>263</v>
      </c>
      <c r="C49" s="51"/>
      <c r="D49" s="84"/>
      <c r="E49" s="119"/>
    </row>
    <row r="50" spans="2:12" x14ac:dyDescent="0.2">
      <c r="B50" s="88" t="s">
        <v>264</v>
      </c>
      <c r="C50" s="89"/>
      <c r="D50" s="89"/>
      <c r="E50" s="113">
        <v>1</v>
      </c>
    </row>
    <row r="51" spans="2:12" x14ac:dyDescent="0.2">
      <c r="B51" s="65" t="s">
        <v>265</v>
      </c>
      <c r="C51" s="66"/>
      <c r="D51" s="66"/>
      <c r="E51" s="111">
        <f>((E47*E49)+(E48*E49))/E50</f>
        <v>0</v>
      </c>
    </row>
    <row r="52" spans="2:12" x14ac:dyDescent="0.2">
      <c r="B52" s="72" t="s">
        <v>266</v>
      </c>
      <c r="C52" s="66"/>
      <c r="D52" s="66"/>
      <c r="E52" s="112">
        <f>E51/12</f>
        <v>0</v>
      </c>
    </row>
    <row r="53" spans="2:12" x14ac:dyDescent="0.2"/>
    <row r="54" spans="2:12" x14ac:dyDescent="0.2">
      <c r="B54" s="431"/>
      <c r="C54" s="432"/>
      <c r="D54" s="432"/>
      <c r="E54" s="433"/>
    </row>
    <row r="55" spans="2:12" x14ac:dyDescent="0.2">
      <c r="B55" s="91"/>
      <c r="C55" s="92"/>
      <c r="D55" s="92"/>
      <c r="E55" s="93"/>
    </row>
    <row r="56" spans="2:12" x14ac:dyDescent="0.2">
      <c r="B56" s="95" t="s">
        <v>267</v>
      </c>
      <c r="C56" s="51"/>
      <c r="D56" s="51"/>
      <c r="E56" s="116"/>
    </row>
    <row r="57" spans="2:12" ht="12.75" customHeight="1" x14ac:dyDescent="0.2">
      <c r="B57" s="95" t="s">
        <v>268</v>
      </c>
      <c r="C57" s="51"/>
      <c r="D57" s="51"/>
      <c r="E57" s="115"/>
      <c r="H57" s="560"/>
      <c r="I57" s="560"/>
      <c r="J57" s="560"/>
      <c r="K57" s="560"/>
      <c r="L57" s="560"/>
    </row>
    <row r="58" spans="2:12" ht="13.5" customHeight="1" x14ac:dyDescent="0.2">
      <c r="B58" s="88" t="s">
        <v>269</v>
      </c>
      <c r="C58" s="89"/>
      <c r="D58" s="89"/>
      <c r="E58" s="120">
        <v>2</v>
      </c>
      <c r="H58" s="560"/>
      <c r="I58" s="560"/>
      <c r="J58" s="560"/>
      <c r="K58" s="560"/>
      <c r="L58" s="560"/>
    </row>
    <row r="59" spans="2:12" x14ac:dyDescent="0.2">
      <c r="B59" s="114" t="s">
        <v>265</v>
      </c>
      <c r="C59" s="66"/>
      <c r="D59" s="66"/>
      <c r="E59" s="111">
        <f>E56*E57*E58</f>
        <v>0</v>
      </c>
      <c r="H59" s="560"/>
      <c r="I59" s="560"/>
      <c r="J59" s="560"/>
      <c r="K59" s="560"/>
      <c r="L59" s="560"/>
    </row>
    <row r="60" spans="2:12" x14ac:dyDescent="0.2">
      <c r="B60" s="72" t="s">
        <v>266</v>
      </c>
      <c r="C60" s="66"/>
      <c r="D60" s="66"/>
      <c r="E60" s="112">
        <f>E59/12</f>
        <v>0</v>
      </c>
    </row>
    <row r="63" spans="2:12" x14ac:dyDescent="0.2">
      <c r="B63" s="562" t="s">
        <v>270</v>
      </c>
      <c r="C63" s="563"/>
      <c r="D63" s="563"/>
      <c r="E63" s="563"/>
      <c r="F63" s="563"/>
      <c r="G63" s="563"/>
    </row>
    <row r="64" spans="2:12" x14ac:dyDescent="0.2">
      <c r="B64" s="563"/>
      <c r="C64" s="563"/>
      <c r="D64" s="563"/>
      <c r="E64" s="563"/>
      <c r="F64" s="563"/>
      <c r="G64" s="563"/>
    </row>
    <row r="65" spans="2:7" x14ac:dyDescent="0.2">
      <c r="B65" s="563"/>
      <c r="C65" s="563"/>
      <c r="D65" s="563"/>
      <c r="E65" s="563"/>
      <c r="F65" s="563"/>
      <c r="G65" s="563"/>
    </row>
    <row r="66" spans="2:7" x14ac:dyDescent="0.2">
      <c r="B66" s="563"/>
      <c r="C66" s="563"/>
      <c r="D66" s="563"/>
      <c r="E66" s="563"/>
      <c r="F66" s="563"/>
      <c r="G66" s="563"/>
    </row>
  </sheetData>
  <mergeCells count="10">
    <mergeCell ref="B63:G66"/>
    <mergeCell ref="B36:E36"/>
    <mergeCell ref="B45:E45"/>
    <mergeCell ref="B54:E54"/>
    <mergeCell ref="H57:L57"/>
    <mergeCell ref="H58:L59"/>
    <mergeCell ref="G36:M36"/>
    <mergeCell ref="B2:E2"/>
    <mergeCell ref="B15:E15"/>
    <mergeCell ref="B28:E28"/>
  </mergeCells>
  <pageMargins left="0.511811024" right="0.511811024" top="0.78740157499999996" bottom="0.78740157499999996" header="0.31496062000000002" footer="0.31496062000000002"/>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M42"/>
  <sheetViews>
    <sheetView zoomScale="70" zoomScaleNormal="70" workbookViewId="0">
      <selection activeCell="B18" sqref="B18:J18"/>
    </sheetView>
  </sheetViews>
  <sheetFormatPr defaultRowHeight="12.75" x14ac:dyDescent="0.2"/>
  <cols>
    <col min="1" max="1" width="3.7109375" style="185" bestFit="1" customWidth="1"/>
    <col min="2" max="2" width="53.5703125" customWidth="1"/>
    <col min="3" max="3" width="6.7109375" customWidth="1"/>
    <col min="4" max="4" width="5.5703125" customWidth="1"/>
    <col min="5" max="7" width="10.28515625" bestFit="1" customWidth="1"/>
    <col min="8" max="8" width="9" customWidth="1"/>
    <col min="9" max="9" width="9.140625" customWidth="1"/>
    <col min="10" max="10" width="9.28515625" customWidth="1"/>
    <col min="11" max="11" width="10" customWidth="1"/>
    <col min="12" max="12" width="11" customWidth="1"/>
    <col min="13" max="13" width="42.28515625" customWidth="1"/>
    <col min="220" max="220" width="3.7109375" bestFit="1" customWidth="1"/>
    <col min="221" max="221" width="52.85546875" customWidth="1"/>
    <col min="222" max="222" width="6.7109375" customWidth="1"/>
    <col min="223" max="223" width="5.5703125" customWidth="1"/>
    <col min="225" max="225" width="8.85546875" customWidth="1"/>
    <col min="227" max="227" width="9" customWidth="1"/>
    <col min="229" max="229" width="9.28515625" customWidth="1"/>
    <col min="230" max="230" width="10" customWidth="1"/>
    <col min="231" max="231" width="11" customWidth="1"/>
    <col min="476" max="476" width="3.7109375" bestFit="1" customWidth="1"/>
    <col min="477" max="477" width="52.85546875" customWidth="1"/>
    <col min="478" max="478" width="6.7109375" customWidth="1"/>
    <col min="479" max="479" width="5.5703125" customWidth="1"/>
    <col min="481" max="481" width="8.85546875" customWidth="1"/>
    <col min="483" max="483" width="9" customWidth="1"/>
    <col min="485" max="485" width="9.28515625" customWidth="1"/>
    <col min="486" max="486" width="10" customWidth="1"/>
    <col min="487" max="487" width="11" customWidth="1"/>
    <col min="732" max="732" width="3.7109375" bestFit="1" customWidth="1"/>
    <col min="733" max="733" width="52.85546875" customWidth="1"/>
    <col min="734" max="734" width="6.7109375" customWidth="1"/>
    <col min="735" max="735" width="5.5703125" customWidth="1"/>
    <col min="737" max="737" width="8.85546875" customWidth="1"/>
    <col min="739" max="739" width="9" customWidth="1"/>
    <col min="741" max="741" width="9.28515625" customWidth="1"/>
    <col min="742" max="742" width="10" customWidth="1"/>
    <col min="743" max="743" width="11" customWidth="1"/>
    <col min="988" max="988" width="3.7109375" bestFit="1" customWidth="1"/>
    <col min="989" max="989" width="52.85546875" customWidth="1"/>
    <col min="990" max="990" width="6.7109375" customWidth="1"/>
    <col min="991" max="991" width="5.5703125" customWidth="1"/>
    <col min="993" max="993" width="8.85546875" customWidth="1"/>
    <col min="995" max="995" width="9" customWidth="1"/>
    <col min="997" max="997" width="9.28515625" customWidth="1"/>
    <col min="998" max="998" width="10" customWidth="1"/>
    <col min="999" max="999" width="11" customWidth="1"/>
    <col min="1244" max="1244" width="3.7109375" bestFit="1" customWidth="1"/>
    <col min="1245" max="1245" width="52.85546875" customWidth="1"/>
    <col min="1246" max="1246" width="6.7109375" customWidth="1"/>
    <col min="1247" max="1247" width="5.5703125" customWidth="1"/>
    <col min="1249" max="1249" width="8.85546875" customWidth="1"/>
    <col min="1251" max="1251" width="9" customWidth="1"/>
    <col min="1253" max="1253" width="9.28515625" customWidth="1"/>
    <col min="1254" max="1254" width="10" customWidth="1"/>
    <col min="1255" max="1255" width="11" customWidth="1"/>
    <col min="1500" max="1500" width="3.7109375" bestFit="1" customWidth="1"/>
    <col min="1501" max="1501" width="52.85546875" customWidth="1"/>
    <col min="1502" max="1502" width="6.7109375" customWidth="1"/>
    <col min="1503" max="1503" width="5.5703125" customWidth="1"/>
    <col min="1505" max="1505" width="8.85546875" customWidth="1"/>
    <col min="1507" max="1507" width="9" customWidth="1"/>
    <col min="1509" max="1509" width="9.28515625" customWidth="1"/>
    <col min="1510" max="1510" width="10" customWidth="1"/>
    <col min="1511" max="1511" width="11" customWidth="1"/>
    <col min="1756" max="1756" width="3.7109375" bestFit="1" customWidth="1"/>
    <col min="1757" max="1757" width="52.85546875" customWidth="1"/>
    <col min="1758" max="1758" width="6.7109375" customWidth="1"/>
    <col min="1759" max="1759" width="5.5703125" customWidth="1"/>
    <col min="1761" max="1761" width="8.85546875" customWidth="1"/>
    <col min="1763" max="1763" width="9" customWidth="1"/>
    <col min="1765" max="1765" width="9.28515625" customWidth="1"/>
    <col min="1766" max="1766" width="10" customWidth="1"/>
    <col min="1767" max="1767" width="11" customWidth="1"/>
    <col min="2012" max="2012" width="3.7109375" bestFit="1" customWidth="1"/>
    <col min="2013" max="2013" width="52.85546875" customWidth="1"/>
    <col min="2014" max="2014" width="6.7109375" customWidth="1"/>
    <col min="2015" max="2015" width="5.5703125" customWidth="1"/>
    <col min="2017" max="2017" width="8.85546875" customWidth="1"/>
    <col min="2019" max="2019" width="9" customWidth="1"/>
    <col min="2021" max="2021" width="9.28515625" customWidth="1"/>
    <col min="2022" max="2022" width="10" customWidth="1"/>
    <col min="2023" max="2023" width="11" customWidth="1"/>
    <col min="2268" max="2268" width="3.7109375" bestFit="1" customWidth="1"/>
    <col min="2269" max="2269" width="52.85546875" customWidth="1"/>
    <col min="2270" max="2270" width="6.7109375" customWidth="1"/>
    <col min="2271" max="2271" width="5.5703125" customWidth="1"/>
    <col min="2273" max="2273" width="8.85546875" customWidth="1"/>
    <col min="2275" max="2275" width="9" customWidth="1"/>
    <col min="2277" max="2277" width="9.28515625" customWidth="1"/>
    <col min="2278" max="2278" width="10" customWidth="1"/>
    <col min="2279" max="2279" width="11" customWidth="1"/>
    <col min="2524" max="2524" width="3.7109375" bestFit="1" customWidth="1"/>
    <col min="2525" max="2525" width="52.85546875" customWidth="1"/>
    <col min="2526" max="2526" width="6.7109375" customWidth="1"/>
    <col min="2527" max="2527" width="5.5703125" customWidth="1"/>
    <col min="2529" max="2529" width="8.85546875" customWidth="1"/>
    <col min="2531" max="2531" width="9" customWidth="1"/>
    <col min="2533" max="2533" width="9.28515625" customWidth="1"/>
    <col min="2534" max="2534" width="10" customWidth="1"/>
    <col min="2535" max="2535" width="11" customWidth="1"/>
    <col min="2780" max="2780" width="3.7109375" bestFit="1" customWidth="1"/>
    <col min="2781" max="2781" width="52.85546875" customWidth="1"/>
    <col min="2782" max="2782" width="6.7109375" customWidth="1"/>
    <col min="2783" max="2783" width="5.5703125" customWidth="1"/>
    <col min="2785" max="2785" width="8.85546875" customWidth="1"/>
    <col min="2787" max="2787" width="9" customWidth="1"/>
    <col min="2789" max="2789" width="9.28515625" customWidth="1"/>
    <col min="2790" max="2790" width="10" customWidth="1"/>
    <col min="2791" max="2791" width="11" customWidth="1"/>
    <col min="3036" max="3036" width="3.7109375" bestFit="1" customWidth="1"/>
    <col min="3037" max="3037" width="52.85546875" customWidth="1"/>
    <col min="3038" max="3038" width="6.7109375" customWidth="1"/>
    <col min="3039" max="3039" width="5.5703125" customWidth="1"/>
    <col min="3041" max="3041" width="8.85546875" customWidth="1"/>
    <col min="3043" max="3043" width="9" customWidth="1"/>
    <col min="3045" max="3045" width="9.28515625" customWidth="1"/>
    <col min="3046" max="3046" width="10" customWidth="1"/>
    <col min="3047" max="3047" width="11" customWidth="1"/>
    <col min="3292" max="3292" width="3.7109375" bestFit="1" customWidth="1"/>
    <col min="3293" max="3293" width="52.85546875" customWidth="1"/>
    <col min="3294" max="3294" width="6.7109375" customWidth="1"/>
    <col min="3295" max="3295" width="5.5703125" customWidth="1"/>
    <col min="3297" max="3297" width="8.85546875" customWidth="1"/>
    <col min="3299" max="3299" width="9" customWidth="1"/>
    <col min="3301" max="3301" width="9.28515625" customWidth="1"/>
    <col min="3302" max="3302" width="10" customWidth="1"/>
    <col min="3303" max="3303" width="11" customWidth="1"/>
    <col min="3548" max="3548" width="3.7109375" bestFit="1" customWidth="1"/>
    <col min="3549" max="3549" width="52.85546875" customWidth="1"/>
    <col min="3550" max="3550" width="6.7109375" customWidth="1"/>
    <col min="3551" max="3551" width="5.5703125" customWidth="1"/>
    <col min="3553" max="3553" width="8.85546875" customWidth="1"/>
    <col min="3555" max="3555" width="9" customWidth="1"/>
    <col min="3557" max="3557" width="9.28515625" customWidth="1"/>
    <col min="3558" max="3558" width="10" customWidth="1"/>
    <col min="3559" max="3559" width="11" customWidth="1"/>
    <col min="3804" max="3804" width="3.7109375" bestFit="1" customWidth="1"/>
    <col min="3805" max="3805" width="52.85546875" customWidth="1"/>
    <col min="3806" max="3806" width="6.7109375" customWidth="1"/>
    <col min="3807" max="3807" width="5.5703125" customWidth="1"/>
    <col min="3809" max="3809" width="8.85546875" customWidth="1"/>
    <col min="3811" max="3811" width="9" customWidth="1"/>
    <col min="3813" max="3813" width="9.28515625" customWidth="1"/>
    <col min="3814" max="3814" width="10" customWidth="1"/>
    <col min="3815" max="3815" width="11" customWidth="1"/>
    <col min="4060" max="4060" width="3.7109375" bestFit="1" customWidth="1"/>
    <col min="4061" max="4061" width="52.85546875" customWidth="1"/>
    <col min="4062" max="4062" width="6.7109375" customWidth="1"/>
    <col min="4063" max="4063" width="5.5703125" customWidth="1"/>
    <col min="4065" max="4065" width="8.85546875" customWidth="1"/>
    <col min="4067" max="4067" width="9" customWidth="1"/>
    <col min="4069" max="4069" width="9.28515625" customWidth="1"/>
    <col min="4070" max="4070" width="10" customWidth="1"/>
    <col min="4071" max="4071" width="11" customWidth="1"/>
    <col min="4316" max="4316" width="3.7109375" bestFit="1" customWidth="1"/>
    <col min="4317" max="4317" width="52.85546875" customWidth="1"/>
    <col min="4318" max="4318" width="6.7109375" customWidth="1"/>
    <col min="4319" max="4319" width="5.5703125" customWidth="1"/>
    <col min="4321" max="4321" width="8.85546875" customWidth="1"/>
    <col min="4323" max="4323" width="9" customWidth="1"/>
    <col min="4325" max="4325" width="9.28515625" customWidth="1"/>
    <col min="4326" max="4326" width="10" customWidth="1"/>
    <col min="4327" max="4327" width="11" customWidth="1"/>
    <col min="4572" max="4572" width="3.7109375" bestFit="1" customWidth="1"/>
    <col min="4573" max="4573" width="52.85546875" customWidth="1"/>
    <col min="4574" max="4574" width="6.7109375" customWidth="1"/>
    <col min="4575" max="4575" width="5.5703125" customWidth="1"/>
    <col min="4577" max="4577" width="8.85546875" customWidth="1"/>
    <col min="4579" max="4579" width="9" customWidth="1"/>
    <col min="4581" max="4581" width="9.28515625" customWidth="1"/>
    <col min="4582" max="4582" width="10" customWidth="1"/>
    <col min="4583" max="4583" width="11" customWidth="1"/>
    <col min="4828" max="4828" width="3.7109375" bestFit="1" customWidth="1"/>
    <col min="4829" max="4829" width="52.85546875" customWidth="1"/>
    <col min="4830" max="4830" width="6.7109375" customWidth="1"/>
    <col min="4831" max="4831" width="5.5703125" customWidth="1"/>
    <col min="4833" max="4833" width="8.85546875" customWidth="1"/>
    <col min="4835" max="4835" width="9" customWidth="1"/>
    <col min="4837" max="4837" width="9.28515625" customWidth="1"/>
    <col min="4838" max="4838" width="10" customWidth="1"/>
    <col min="4839" max="4839" width="11" customWidth="1"/>
    <col min="5084" max="5084" width="3.7109375" bestFit="1" customWidth="1"/>
    <col min="5085" max="5085" width="52.85546875" customWidth="1"/>
    <col min="5086" max="5086" width="6.7109375" customWidth="1"/>
    <col min="5087" max="5087" width="5.5703125" customWidth="1"/>
    <col min="5089" max="5089" width="8.85546875" customWidth="1"/>
    <col min="5091" max="5091" width="9" customWidth="1"/>
    <col min="5093" max="5093" width="9.28515625" customWidth="1"/>
    <col min="5094" max="5094" width="10" customWidth="1"/>
    <col min="5095" max="5095" width="11" customWidth="1"/>
    <col min="5340" max="5340" width="3.7109375" bestFit="1" customWidth="1"/>
    <col min="5341" max="5341" width="52.85546875" customWidth="1"/>
    <col min="5342" max="5342" width="6.7109375" customWidth="1"/>
    <col min="5343" max="5343" width="5.5703125" customWidth="1"/>
    <col min="5345" max="5345" width="8.85546875" customWidth="1"/>
    <col min="5347" max="5347" width="9" customWidth="1"/>
    <col min="5349" max="5349" width="9.28515625" customWidth="1"/>
    <col min="5350" max="5350" width="10" customWidth="1"/>
    <col min="5351" max="5351" width="11" customWidth="1"/>
    <col min="5596" max="5596" width="3.7109375" bestFit="1" customWidth="1"/>
    <col min="5597" max="5597" width="52.85546875" customWidth="1"/>
    <col min="5598" max="5598" width="6.7109375" customWidth="1"/>
    <col min="5599" max="5599" width="5.5703125" customWidth="1"/>
    <col min="5601" max="5601" width="8.85546875" customWidth="1"/>
    <col min="5603" max="5603" width="9" customWidth="1"/>
    <col min="5605" max="5605" width="9.28515625" customWidth="1"/>
    <col min="5606" max="5606" width="10" customWidth="1"/>
    <col min="5607" max="5607" width="11" customWidth="1"/>
    <col min="5852" max="5852" width="3.7109375" bestFit="1" customWidth="1"/>
    <col min="5853" max="5853" width="52.85546875" customWidth="1"/>
    <col min="5854" max="5854" width="6.7109375" customWidth="1"/>
    <col min="5855" max="5855" width="5.5703125" customWidth="1"/>
    <col min="5857" max="5857" width="8.85546875" customWidth="1"/>
    <col min="5859" max="5859" width="9" customWidth="1"/>
    <col min="5861" max="5861" width="9.28515625" customWidth="1"/>
    <col min="5862" max="5862" width="10" customWidth="1"/>
    <col min="5863" max="5863" width="11" customWidth="1"/>
    <col min="6108" max="6108" width="3.7109375" bestFit="1" customWidth="1"/>
    <col min="6109" max="6109" width="52.85546875" customWidth="1"/>
    <col min="6110" max="6110" width="6.7109375" customWidth="1"/>
    <col min="6111" max="6111" width="5.5703125" customWidth="1"/>
    <col min="6113" max="6113" width="8.85546875" customWidth="1"/>
    <col min="6115" max="6115" width="9" customWidth="1"/>
    <col min="6117" max="6117" width="9.28515625" customWidth="1"/>
    <col min="6118" max="6118" width="10" customWidth="1"/>
    <col min="6119" max="6119" width="11" customWidth="1"/>
    <col min="6364" max="6364" width="3.7109375" bestFit="1" customWidth="1"/>
    <col min="6365" max="6365" width="52.85546875" customWidth="1"/>
    <col min="6366" max="6366" width="6.7109375" customWidth="1"/>
    <col min="6367" max="6367" width="5.5703125" customWidth="1"/>
    <col min="6369" max="6369" width="8.85546875" customWidth="1"/>
    <col min="6371" max="6371" width="9" customWidth="1"/>
    <col min="6373" max="6373" width="9.28515625" customWidth="1"/>
    <col min="6374" max="6374" width="10" customWidth="1"/>
    <col min="6375" max="6375" width="11" customWidth="1"/>
    <col min="6620" max="6620" width="3.7109375" bestFit="1" customWidth="1"/>
    <col min="6621" max="6621" width="52.85546875" customWidth="1"/>
    <col min="6622" max="6622" width="6.7109375" customWidth="1"/>
    <col min="6623" max="6623" width="5.5703125" customWidth="1"/>
    <col min="6625" max="6625" width="8.85546875" customWidth="1"/>
    <col min="6627" max="6627" width="9" customWidth="1"/>
    <col min="6629" max="6629" width="9.28515625" customWidth="1"/>
    <col min="6630" max="6630" width="10" customWidth="1"/>
    <col min="6631" max="6631" width="11" customWidth="1"/>
    <col min="6876" max="6876" width="3.7109375" bestFit="1" customWidth="1"/>
    <col min="6877" max="6877" width="52.85546875" customWidth="1"/>
    <col min="6878" max="6878" width="6.7109375" customWidth="1"/>
    <col min="6879" max="6879" width="5.5703125" customWidth="1"/>
    <col min="6881" max="6881" width="8.85546875" customWidth="1"/>
    <col min="6883" max="6883" width="9" customWidth="1"/>
    <col min="6885" max="6885" width="9.28515625" customWidth="1"/>
    <col min="6886" max="6886" width="10" customWidth="1"/>
    <col min="6887" max="6887" width="11" customWidth="1"/>
    <col min="7132" max="7132" width="3.7109375" bestFit="1" customWidth="1"/>
    <col min="7133" max="7133" width="52.85546875" customWidth="1"/>
    <col min="7134" max="7134" width="6.7109375" customWidth="1"/>
    <col min="7135" max="7135" width="5.5703125" customWidth="1"/>
    <col min="7137" max="7137" width="8.85546875" customWidth="1"/>
    <col min="7139" max="7139" width="9" customWidth="1"/>
    <col min="7141" max="7141" width="9.28515625" customWidth="1"/>
    <col min="7142" max="7142" width="10" customWidth="1"/>
    <col min="7143" max="7143" width="11" customWidth="1"/>
    <col min="7388" max="7388" width="3.7109375" bestFit="1" customWidth="1"/>
    <col min="7389" max="7389" width="52.85546875" customWidth="1"/>
    <col min="7390" max="7390" width="6.7109375" customWidth="1"/>
    <col min="7391" max="7391" width="5.5703125" customWidth="1"/>
    <col min="7393" max="7393" width="8.85546875" customWidth="1"/>
    <col min="7395" max="7395" width="9" customWidth="1"/>
    <col min="7397" max="7397" width="9.28515625" customWidth="1"/>
    <col min="7398" max="7398" width="10" customWidth="1"/>
    <col min="7399" max="7399" width="11" customWidth="1"/>
    <col min="7644" max="7644" width="3.7109375" bestFit="1" customWidth="1"/>
    <col min="7645" max="7645" width="52.85546875" customWidth="1"/>
    <col min="7646" max="7646" width="6.7109375" customWidth="1"/>
    <col min="7647" max="7647" width="5.5703125" customWidth="1"/>
    <col min="7649" max="7649" width="8.85546875" customWidth="1"/>
    <col min="7651" max="7651" width="9" customWidth="1"/>
    <col min="7653" max="7653" width="9.28515625" customWidth="1"/>
    <col min="7654" max="7654" width="10" customWidth="1"/>
    <col min="7655" max="7655" width="11" customWidth="1"/>
    <col min="7900" max="7900" width="3.7109375" bestFit="1" customWidth="1"/>
    <col min="7901" max="7901" width="52.85546875" customWidth="1"/>
    <col min="7902" max="7902" width="6.7109375" customWidth="1"/>
    <col min="7903" max="7903" width="5.5703125" customWidth="1"/>
    <col min="7905" max="7905" width="8.85546875" customWidth="1"/>
    <col min="7907" max="7907" width="9" customWidth="1"/>
    <col min="7909" max="7909" width="9.28515625" customWidth="1"/>
    <col min="7910" max="7910" width="10" customWidth="1"/>
    <col min="7911" max="7911" width="11" customWidth="1"/>
    <col min="8156" max="8156" width="3.7109375" bestFit="1" customWidth="1"/>
    <col min="8157" max="8157" width="52.85546875" customWidth="1"/>
    <col min="8158" max="8158" width="6.7109375" customWidth="1"/>
    <col min="8159" max="8159" width="5.5703125" customWidth="1"/>
    <col min="8161" max="8161" width="8.85546875" customWidth="1"/>
    <col min="8163" max="8163" width="9" customWidth="1"/>
    <col min="8165" max="8165" width="9.28515625" customWidth="1"/>
    <col min="8166" max="8166" width="10" customWidth="1"/>
    <col min="8167" max="8167" width="11" customWidth="1"/>
    <col min="8412" max="8412" width="3.7109375" bestFit="1" customWidth="1"/>
    <col min="8413" max="8413" width="52.85546875" customWidth="1"/>
    <col min="8414" max="8414" width="6.7109375" customWidth="1"/>
    <col min="8415" max="8415" width="5.5703125" customWidth="1"/>
    <col min="8417" max="8417" width="8.85546875" customWidth="1"/>
    <col min="8419" max="8419" width="9" customWidth="1"/>
    <col min="8421" max="8421" width="9.28515625" customWidth="1"/>
    <col min="8422" max="8422" width="10" customWidth="1"/>
    <col min="8423" max="8423" width="11" customWidth="1"/>
    <col min="8668" max="8668" width="3.7109375" bestFit="1" customWidth="1"/>
    <col min="8669" max="8669" width="52.85546875" customWidth="1"/>
    <col min="8670" max="8670" width="6.7109375" customWidth="1"/>
    <col min="8671" max="8671" width="5.5703125" customWidth="1"/>
    <col min="8673" max="8673" width="8.85546875" customWidth="1"/>
    <col min="8675" max="8675" width="9" customWidth="1"/>
    <col min="8677" max="8677" width="9.28515625" customWidth="1"/>
    <col min="8678" max="8678" width="10" customWidth="1"/>
    <col min="8679" max="8679" width="11" customWidth="1"/>
    <col min="8924" max="8924" width="3.7109375" bestFit="1" customWidth="1"/>
    <col min="8925" max="8925" width="52.85546875" customWidth="1"/>
    <col min="8926" max="8926" width="6.7109375" customWidth="1"/>
    <col min="8927" max="8927" width="5.5703125" customWidth="1"/>
    <col min="8929" max="8929" width="8.85546875" customWidth="1"/>
    <col min="8931" max="8931" width="9" customWidth="1"/>
    <col min="8933" max="8933" width="9.28515625" customWidth="1"/>
    <col min="8934" max="8934" width="10" customWidth="1"/>
    <col min="8935" max="8935" width="11" customWidth="1"/>
    <col min="9180" max="9180" width="3.7109375" bestFit="1" customWidth="1"/>
    <col min="9181" max="9181" width="52.85546875" customWidth="1"/>
    <col min="9182" max="9182" width="6.7109375" customWidth="1"/>
    <col min="9183" max="9183" width="5.5703125" customWidth="1"/>
    <col min="9185" max="9185" width="8.85546875" customWidth="1"/>
    <col min="9187" max="9187" width="9" customWidth="1"/>
    <col min="9189" max="9189" width="9.28515625" customWidth="1"/>
    <col min="9190" max="9190" width="10" customWidth="1"/>
    <col min="9191" max="9191" width="11" customWidth="1"/>
    <col min="9436" max="9436" width="3.7109375" bestFit="1" customWidth="1"/>
    <col min="9437" max="9437" width="52.85546875" customWidth="1"/>
    <col min="9438" max="9438" width="6.7109375" customWidth="1"/>
    <col min="9439" max="9439" width="5.5703125" customWidth="1"/>
    <col min="9441" max="9441" width="8.85546875" customWidth="1"/>
    <col min="9443" max="9443" width="9" customWidth="1"/>
    <col min="9445" max="9445" width="9.28515625" customWidth="1"/>
    <col min="9446" max="9446" width="10" customWidth="1"/>
    <col min="9447" max="9447" width="11" customWidth="1"/>
    <col min="9692" max="9692" width="3.7109375" bestFit="1" customWidth="1"/>
    <col min="9693" max="9693" width="52.85546875" customWidth="1"/>
    <col min="9694" max="9694" width="6.7109375" customWidth="1"/>
    <col min="9695" max="9695" width="5.5703125" customWidth="1"/>
    <col min="9697" max="9697" width="8.85546875" customWidth="1"/>
    <col min="9699" max="9699" width="9" customWidth="1"/>
    <col min="9701" max="9701" width="9.28515625" customWidth="1"/>
    <col min="9702" max="9702" width="10" customWidth="1"/>
    <col min="9703" max="9703" width="11" customWidth="1"/>
    <col min="9948" max="9948" width="3.7109375" bestFit="1" customWidth="1"/>
    <col min="9949" max="9949" width="52.85546875" customWidth="1"/>
    <col min="9950" max="9950" width="6.7109375" customWidth="1"/>
    <col min="9951" max="9951" width="5.5703125" customWidth="1"/>
    <col min="9953" max="9953" width="8.85546875" customWidth="1"/>
    <col min="9955" max="9955" width="9" customWidth="1"/>
    <col min="9957" max="9957" width="9.28515625" customWidth="1"/>
    <col min="9958" max="9958" width="10" customWidth="1"/>
    <col min="9959" max="9959" width="11" customWidth="1"/>
    <col min="10204" max="10204" width="3.7109375" bestFit="1" customWidth="1"/>
    <col min="10205" max="10205" width="52.85546875" customWidth="1"/>
    <col min="10206" max="10206" width="6.7109375" customWidth="1"/>
    <col min="10207" max="10207" width="5.5703125" customWidth="1"/>
    <col min="10209" max="10209" width="8.85546875" customWidth="1"/>
    <col min="10211" max="10211" width="9" customWidth="1"/>
    <col min="10213" max="10213" width="9.28515625" customWidth="1"/>
    <col min="10214" max="10214" width="10" customWidth="1"/>
    <col min="10215" max="10215" width="11" customWidth="1"/>
    <col min="10460" max="10460" width="3.7109375" bestFit="1" customWidth="1"/>
    <col min="10461" max="10461" width="52.85546875" customWidth="1"/>
    <col min="10462" max="10462" width="6.7109375" customWidth="1"/>
    <col min="10463" max="10463" width="5.5703125" customWidth="1"/>
    <col min="10465" max="10465" width="8.85546875" customWidth="1"/>
    <col min="10467" max="10467" width="9" customWidth="1"/>
    <col min="10469" max="10469" width="9.28515625" customWidth="1"/>
    <col min="10470" max="10470" width="10" customWidth="1"/>
    <col min="10471" max="10471" width="11" customWidth="1"/>
    <col min="10716" max="10716" width="3.7109375" bestFit="1" customWidth="1"/>
    <col min="10717" max="10717" width="52.85546875" customWidth="1"/>
    <col min="10718" max="10718" width="6.7109375" customWidth="1"/>
    <col min="10719" max="10719" width="5.5703125" customWidth="1"/>
    <col min="10721" max="10721" width="8.85546875" customWidth="1"/>
    <col min="10723" max="10723" width="9" customWidth="1"/>
    <col min="10725" max="10725" width="9.28515625" customWidth="1"/>
    <col min="10726" max="10726" width="10" customWidth="1"/>
    <col min="10727" max="10727" width="11" customWidth="1"/>
    <col min="10972" max="10972" width="3.7109375" bestFit="1" customWidth="1"/>
    <col min="10973" max="10973" width="52.85546875" customWidth="1"/>
    <col min="10974" max="10974" width="6.7109375" customWidth="1"/>
    <col min="10975" max="10975" width="5.5703125" customWidth="1"/>
    <col min="10977" max="10977" width="8.85546875" customWidth="1"/>
    <col min="10979" max="10979" width="9" customWidth="1"/>
    <col min="10981" max="10981" width="9.28515625" customWidth="1"/>
    <col min="10982" max="10982" width="10" customWidth="1"/>
    <col min="10983" max="10983" width="11" customWidth="1"/>
    <col min="11228" max="11228" width="3.7109375" bestFit="1" customWidth="1"/>
    <col min="11229" max="11229" width="52.85546875" customWidth="1"/>
    <col min="11230" max="11230" width="6.7109375" customWidth="1"/>
    <col min="11231" max="11231" width="5.5703125" customWidth="1"/>
    <col min="11233" max="11233" width="8.85546875" customWidth="1"/>
    <col min="11235" max="11235" width="9" customWidth="1"/>
    <col min="11237" max="11237" width="9.28515625" customWidth="1"/>
    <col min="11238" max="11238" width="10" customWidth="1"/>
    <col min="11239" max="11239" width="11" customWidth="1"/>
    <col min="11484" max="11484" width="3.7109375" bestFit="1" customWidth="1"/>
    <col min="11485" max="11485" width="52.85546875" customWidth="1"/>
    <col min="11486" max="11486" width="6.7109375" customWidth="1"/>
    <col min="11487" max="11487" width="5.5703125" customWidth="1"/>
    <col min="11489" max="11489" width="8.85546875" customWidth="1"/>
    <col min="11491" max="11491" width="9" customWidth="1"/>
    <col min="11493" max="11493" width="9.28515625" customWidth="1"/>
    <col min="11494" max="11494" width="10" customWidth="1"/>
    <col min="11495" max="11495" width="11" customWidth="1"/>
    <col min="11740" max="11740" width="3.7109375" bestFit="1" customWidth="1"/>
    <col min="11741" max="11741" width="52.85546875" customWidth="1"/>
    <col min="11742" max="11742" width="6.7109375" customWidth="1"/>
    <col min="11743" max="11743" width="5.5703125" customWidth="1"/>
    <col min="11745" max="11745" width="8.85546875" customWidth="1"/>
    <col min="11747" max="11747" width="9" customWidth="1"/>
    <col min="11749" max="11749" width="9.28515625" customWidth="1"/>
    <col min="11750" max="11750" width="10" customWidth="1"/>
    <col min="11751" max="11751" width="11" customWidth="1"/>
    <col min="11996" max="11996" width="3.7109375" bestFit="1" customWidth="1"/>
    <col min="11997" max="11997" width="52.85546875" customWidth="1"/>
    <col min="11998" max="11998" width="6.7109375" customWidth="1"/>
    <col min="11999" max="11999" width="5.5703125" customWidth="1"/>
    <col min="12001" max="12001" width="8.85546875" customWidth="1"/>
    <col min="12003" max="12003" width="9" customWidth="1"/>
    <col min="12005" max="12005" width="9.28515625" customWidth="1"/>
    <col min="12006" max="12006" width="10" customWidth="1"/>
    <col min="12007" max="12007" width="11" customWidth="1"/>
    <col min="12252" max="12252" width="3.7109375" bestFit="1" customWidth="1"/>
    <col min="12253" max="12253" width="52.85546875" customWidth="1"/>
    <col min="12254" max="12254" width="6.7109375" customWidth="1"/>
    <col min="12255" max="12255" width="5.5703125" customWidth="1"/>
    <col min="12257" max="12257" width="8.85546875" customWidth="1"/>
    <col min="12259" max="12259" width="9" customWidth="1"/>
    <col min="12261" max="12261" width="9.28515625" customWidth="1"/>
    <col min="12262" max="12262" width="10" customWidth="1"/>
    <col min="12263" max="12263" width="11" customWidth="1"/>
    <col min="12508" max="12508" width="3.7109375" bestFit="1" customWidth="1"/>
    <col min="12509" max="12509" width="52.85546875" customWidth="1"/>
    <col min="12510" max="12510" width="6.7109375" customWidth="1"/>
    <col min="12511" max="12511" width="5.5703125" customWidth="1"/>
    <col min="12513" max="12513" width="8.85546875" customWidth="1"/>
    <col min="12515" max="12515" width="9" customWidth="1"/>
    <col min="12517" max="12517" width="9.28515625" customWidth="1"/>
    <col min="12518" max="12518" width="10" customWidth="1"/>
    <col min="12519" max="12519" width="11" customWidth="1"/>
    <col min="12764" max="12764" width="3.7109375" bestFit="1" customWidth="1"/>
    <col min="12765" max="12765" width="52.85546875" customWidth="1"/>
    <col min="12766" max="12766" width="6.7109375" customWidth="1"/>
    <col min="12767" max="12767" width="5.5703125" customWidth="1"/>
    <col min="12769" max="12769" width="8.85546875" customWidth="1"/>
    <col min="12771" max="12771" width="9" customWidth="1"/>
    <col min="12773" max="12773" width="9.28515625" customWidth="1"/>
    <col min="12774" max="12774" width="10" customWidth="1"/>
    <col min="12775" max="12775" width="11" customWidth="1"/>
    <col min="13020" max="13020" width="3.7109375" bestFit="1" customWidth="1"/>
    <col min="13021" max="13021" width="52.85546875" customWidth="1"/>
    <col min="13022" max="13022" width="6.7109375" customWidth="1"/>
    <col min="13023" max="13023" width="5.5703125" customWidth="1"/>
    <col min="13025" max="13025" width="8.85546875" customWidth="1"/>
    <col min="13027" max="13027" width="9" customWidth="1"/>
    <col min="13029" max="13029" width="9.28515625" customWidth="1"/>
    <col min="13030" max="13030" width="10" customWidth="1"/>
    <col min="13031" max="13031" width="11" customWidth="1"/>
    <col min="13276" max="13276" width="3.7109375" bestFit="1" customWidth="1"/>
    <col min="13277" max="13277" width="52.85546875" customWidth="1"/>
    <col min="13278" max="13278" width="6.7109375" customWidth="1"/>
    <col min="13279" max="13279" width="5.5703125" customWidth="1"/>
    <col min="13281" max="13281" width="8.85546875" customWidth="1"/>
    <col min="13283" max="13283" width="9" customWidth="1"/>
    <col min="13285" max="13285" width="9.28515625" customWidth="1"/>
    <col min="13286" max="13286" width="10" customWidth="1"/>
    <col min="13287" max="13287" width="11" customWidth="1"/>
    <col min="13532" max="13532" width="3.7109375" bestFit="1" customWidth="1"/>
    <col min="13533" max="13533" width="52.85546875" customWidth="1"/>
    <col min="13534" max="13534" width="6.7109375" customWidth="1"/>
    <col min="13535" max="13535" width="5.5703125" customWidth="1"/>
    <col min="13537" max="13537" width="8.85546875" customWidth="1"/>
    <col min="13539" max="13539" width="9" customWidth="1"/>
    <col min="13541" max="13541" width="9.28515625" customWidth="1"/>
    <col min="13542" max="13542" width="10" customWidth="1"/>
    <col min="13543" max="13543" width="11" customWidth="1"/>
    <col min="13788" max="13788" width="3.7109375" bestFit="1" customWidth="1"/>
    <col min="13789" max="13789" width="52.85546875" customWidth="1"/>
    <col min="13790" max="13790" width="6.7109375" customWidth="1"/>
    <col min="13791" max="13791" width="5.5703125" customWidth="1"/>
    <col min="13793" max="13793" width="8.85546875" customWidth="1"/>
    <col min="13795" max="13795" width="9" customWidth="1"/>
    <col min="13797" max="13797" width="9.28515625" customWidth="1"/>
    <col min="13798" max="13798" width="10" customWidth="1"/>
    <col min="13799" max="13799" width="11" customWidth="1"/>
    <col min="14044" max="14044" width="3.7109375" bestFit="1" customWidth="1"/>
    <col min="14045" max="14045" width="52.85546875" customWidth="1"/>
    <col min="14046" max="14046" width="6.7109375" customWidth="1"/>
    <col min="14047" max="14047" width="5.5703125" customWidth="1"/>
    <col min="14049" max="14049" width="8.85546875" customWidth="1"/>
    <col min="14051" max="14051" width="9" customWidth="1"/>
    <col min="14053" max="14053" width="9.28515625" customWidth="1"/>
    <col min="14054" max="14054" width="10" customWidth="1"/>
    <col min="14055" max="14055" width="11" customWidth="1"/>
    <col min="14300" max="14300" width="3.7109375" bestFit="1" customWidth="1"/>
    <col min="14301" max="14301" width="52.85546875" customWidth="1"/>
    <col min="14302" max="14302" width="6.7109375" customWidth="1"/>
    <col min="14303" max="14303" width="5.5703125" customWidth="1"/>
    <col min="14305" max="14305" width="8.85546875" customWidth="1"/>
    <col min="14307" max="14307" width="9" customWidth="1"/>
    <col min="14309" max="14309" width="9.28515625" customWidth="1"/>
    <col min="14310" max="14310" width="10" customWidth="1"/>
    <col min="14311" max="14311" width="11" customWidth="1"/>
    <col min="14556" max="14556" width="3.7109375" bestFit="1" customWidth="1"/>
    <col min="14557" max="14557" width="52.85546875" customWidth="1"/>
    <col min="14558" max="14558" width="6.7109375" customWidth="1"/>
    <col min="14559" max="14559" width="5.5703125" customWidth="1"/>
    <col min="14561" max="14561" width="8.85546875" customWidth="1"/>
    <col min="14563" max="14563" width="9" customWidth="1"/>
    <col min="14565" max="14565" width="9.28515625" customWidth="1"/>
    <col min="14566" max="14566" width="10" customWidth="1"/>
    <col min="14567" max="14567" width="11" customWidth="1"/>
    <col min="14812" max="14812" width="3.7109375" bestFit="1" customWidth="1"/>
    <col min="14813" max="14813" width="52.85546875" customWidth="1"/>
    <col min="14814" max="14814" width="6.7109375" customWidth="1"/>
    <col min="14815" max="14815" width="5.5703125" customWidth="1"/>
    <col min="14817" max="14817" width="8.85546875" customWidth="1"/>
    <col min="14819" max="14819" width="9" customWidth="1"/>
    <col min="14821" max="14821" width="9.28515625" customWidth="1"/>
    <col min="14822" max="14822" width="10" customWidth="1"/>
    <col min="14823" max="14823" width="11" customWidth="1"/>
    <col min="15068" max="15068" width="3.7109375" bestFit="1" customWidth="1"/>
    <col min="15069" max="15069" width="52.85546875" customWidth="1"/>
    <col min="15070" max="15070" width="6.7109375" customWidth="1"/>
    <col min="15071" max="15071" width="5.5703125" customWidth="1"/>
    <col min="15073" max="15073" width="8.85546875" customWidth="1"/>
    <col min="15075" max="15075" width="9" customWidth="1"/>
    <col min="15077" max="15077" width="9.28515625" customWidth="1"/>
    <col min="15078" max="15078" width="10" customWidth="1"/>
    <col min="15079" max="15079" width="11" customWidth="1"/>
    <col min="15324" max="15324" width="3.7109375" bestFit="1" customWidth="1"/>
    <col min="15325" max="15325" width="52.85546875" customWidth="1"/>
    <col min="15326" max="15326" width="6.7109375" customWidth="1"/>
    <col min="15327" max="15327" width="5.5703125" customWidth="1"/>
    <col min="15329" max="15329" width="8.85546875" customWidth="1"/>
    <col min="15331" max="15331" width="9" customWidth="1"/>
    <col min="15333" max="15333" width="9.28515625" customWidth="1"/>
    <col min="15334" max="15334" width="10" customWidth="1"/>
    <col min="15335" max="15335" width="11" customWidth="1"/>
    <col min="15580" max="15580" width="3.7109375" bestFit="1" customWidth="1"/>
    <col min="15581" max="15581" width="52.85546875" customWidth="1"/>
    <col min="15582" max="15582" width="6.7109375" customWidth="1"/>
    <col min="15583" max="15583" width="5.5703125" customWidth="1"/>
    <col min="15585" max="15585" width="8.85546875" customWidth="1"/>
    <col min="15587" max="15587" width="9" customWidth="1"/>
    <col min="15589" max="15589" width="9.28515625" customWidth="1"/>
    <col min="15590" max="15590" width="10" customWidth="1"/>
    <col min="15591" max="15591" width="11" customWidth="1"/>
    <col min="15836" max="15836" width="3.7109375" bestFit="1" customWidth="1"/>
    <col min="15837" max="15837" width="52.85546875" customWidth="1"/>
    <col min="15838" max="15838" width="6.7109375" customWidth="1"/>
    <col min="15839" max="15839" width="5.5703125" customWidth="1"/>
    <col min="15841" max="15841" width="8.85546875" customWidth="1"/>
    <col min="15843" max="15843" width="9" customWidth="1"/>
    <col min="15845" max="15845" width="9.28515625" customWidth="1"/>
    <col min="15846" max="15846" width="10" customWidth="1"/>
    <col min="15847" max="15847" width="11" customWidth="1"/>
    <col min="16092" max="16092" width="3.7109375" bestFit="1" customWidth="1"/>
    <col min="16093" max="16093" width="52.85546875" customWidth="1"/>
    <col min="16094" max="16094" width="6.7109375" customWidth="1"/>
    <col min="16095" max="16095" width="5.5703125" customWidth="1"/>
    <col min="16097" max="16097" width="8.85546875" customWidth="1"/>
    <col min="16099" max="16099" width="9" customWidth="1"/>
    <col min="16101" max="16101" width="9.28515625" customWidth="1"/>
    <col min="16102" max="16102" width="10" customWidth="1"/>
    <col min="16103" max="16103" width="11" customWidth="1"/>
  </cols>
  <sheetData>
    <row r="1" spans="1:13" ht="12.95" customHeight="1" thickBot="1" x14ac:dyDescent="0.25">
      <c r="A1" s="576" t="s">
        <v>271</v>
      </c>
      <c r="B1" s="577"/>
      <c r="C1" s="577"/>
      <c r="D1" s="577"/>
      <c r="E1" s="577"/>
      <c r="F1" s="577"/>
      <c r="G1" s="577"/>
      <c r="H1" s="577"/>
      <c r="I1" s="577"/>
      <c r="J1" s="577"/>
      <c r="K1" s="577"/>
      <c r="L1" s="578"/>
    </row>
    <row r="2" spans="1:13" ht="12.95" customHeight="1" x14ac:dyDescent="0.2">
      <c r="A2" s="216" t="s">
        <v>38</v>
      </c>
      <c r="B2" s="589" t="s">
        <v>272</v>
      </c>
      <c r="C2" s="589"/>
      <c r="D2" s="589"/>
      <c r="E2" s="240" t="s">
        <v>273</v>
      </c>
      <c r="F2" s="590"/>
      <c r="G2" s="579"/>
      <c r="H2" s="579"/>
      <c r="I2" s="579"/>
      <c r="J2" s="240" t="s">
        <v>274</v>
      </c>
      <c r="K2" s="579"/>
      <c r="L2" s="580"/>
    </row>
    <row r="3" spans="1:13" ht="12.95" customHeight="1" x14ac:dyDescent="0.2">
      <c r="A3" s="218" t="s">
        <v>40</v>
      </c>
      <c r="B3" s="585" t="s">
        <v>275</v>
      </c>
      <c r="C3" s="585"/>
      <c r="D3" s="585"/>
      <c r="E3" s="171" t="s">
        <v>273</v>
      </c>
      <c r="F3" s="587"/>
      <c r="G3" s="591"/>
      <c r="H3" s="591"/>
      <c r="I3" s="591"/>
      <c r="J3" s="171" t="s">
        <v>274</v>
      </c>
      <c r="K3" s="581" t="s">
        <v>276</v>
      </c>
      <c r="L3" s="582"/>
    </row>
    <row r="4" spans="1:13" ht="12.95" customHeight="1" x14ac:dyDescent="0.2">
      <c r="A4" s="220" t="s">
        <v>43</v>
      </c>
      <c r="B4" s="583" t="s">
        <v>277</v>
      </c>
      <c r="C4" s="583"/>
      <c r="D4" s="583"/>
      <c r="E4" s="172" t="s">
        <v>273</v>
      </c>
      <c r="F4" s="588"/>
      <c r="G4" s="583"/>
      <c r="H4" s="583"/>
      <c r="I4" s="583"/>
      <c r="J4" s="172" t="s">
        <v>274</v>
      </c>
      <c r="K4" s="583"/>
      <c r="L4" s="584"/>
    </row>
    <row r="5" spans="1:13" ht="12.95" customHeight="1" x14ac:dyDescent="0.2">
      <c r="A5" s="218" t="s">
        <v>46</v>
      </c>
      <c r="B5" s="585" t="s">
        <v>278</v>
      </c>
      <c r="C5" s="585"/>
      <c r="D5" s="585"/>
      <c r="E5" s="171" t="s">
        <v>273</v>
      </c>
      <c r="F5" s="587"/>
      <c r="G5" s="581"/>
      <c r="H5" s="581"/>
      <c r="I5" s="581"/>
      <c r="J5" s="171" t="s">
        <v>274</v>
      </c>
      <c r="K5" s="585"/>
      <c r="L5" s="586"/>
    </row>
    <row r="6" spans="1:13" x14ac:dyDescent="0.2">
      <c r="A6" s="222" t="s">
        <v>80</v>
      </c>
      <c r="B6" s="620"/>
      <c r="C6" s="620"/>
      <c r="D6" s="620"/>
      <c r="E6" s="223"/>
      <c r="F6" s="621"/>
      <c r="G6" s="622"/>
      <c r="H6" s="622"/>
      <c r="I6" s="622"/>
      <c r="J6" s="223"/>
      <c r="K6" s="592"/>
      <c r="L6" s="593"/>
    </row>
    <row r="7" spans="1:13" ht="13.5" thickBot="1" x14ac:dyDescent="0.25">
      <c r="A7" s="224" t="s">
        <v>82</v>
      </c>
      <c r="B7" s="617"/>
      <c r="C7" s="617"/>
      <c r="D7" s="617"/>
      <c r="E7" s="225"/>
      <c r="F7" s="618"/>
      <c r="G7" s="619"/>
      <c r="H7" s="619"/>
      <c r="I7" s="619"/>
      <c r="J7" s="226"/>
      <c r="K7" s="594"/>
      <c r="L7" s="595"/>
    </row>
    <row r="8" spans="1:13" x14ac:dyDescent="0.2">
      <c r="A8" s="596" t="s">
        <v>279</v>
      </c>
      <c r="B8" s="599" t="s">
        <v>280</v>
      </c>
      <c r="C8" s="602" t="s">
        <v>281</v>
      </c>
      <c r="D8" s="605" t="s">
        <v>282</v>
      </c>
      <c r="E8" s="608" t="s">
        <v>283</v>
      </c>
      <c r="F8" s="609"/>
      <c r="G8" s="609"/>
      <c r="H8" s="609"/>
      <c r="I8" s="609"/>
      <c r="J8" s="610"/>
      <c r="K8" s="611" t="s">
        <v>284</v>
      </c>
      <c r="L8" s="612"/>
    </row>
    <row r="9" spans="1:13" ht="13.5" x14ac:dyDescent="0.2">
      <c r="A9" s="597"/>
      <c r="B9" s="600"/>
      <c r="C9" s="603"/>
      <c r="D9" s="606"/>
      <c r="E9" s="175" t="s">
        <v>38</v>
      </c>
      <c r="F9" s="176" t="s">
        <v>40</v>
      </c>
      <c r="G9" s="176" t="s">
        <v>43</v>
      </c>
      <c r="H9" s="176" t="s">
        <v>46</v>
      </c>
      <c r="I9" s="176" t="s">
        <v>80</v>
      </c>
      <c r="J9" s="177" t="s">
        <v>82</v>
      </c>
      <c r="K9" s="613" t="s">
        <v>285</v>
      </c>
      <c r="L9" s="615" t="s">
        <v>286</v>
      </c>
    </row>
    <row r="10" spans="1:13" ht="24" customHeight="1" thickBot="1" x14ac:dyDescent="0.25">
      <c r="A10" s="598"/>
      <c r="B10" s="601"/>
      <c r="C10" s="604"/>
      <c r="D10" s="607"/>
      <c r="E10" s="194" t="s">
        <v>287</v>
      </c>
      <c r="F10" s="195" t="s">
        <v>287</v>
      </c>
      <c r="G10" s="195" t="s">
        <v>287</v>
      </c>
      <c r="H10" s="195" t="s">
        <v>287</v>
      </c>
      <c r="I10" s="195" t="s">
        <v>287</v>
      </c>
      <c r="J10" s="196" t="s">
        <v>287</v>
      </c>
      <c r="K10" s="614"/>
      <c r="L10" s="616"/>
    </row>
    <row r="11" spans="1:13" ht="38.25" x14ac:dyDescent="0.2">
      <c r="A11" s="178">
        <v>1</v>
      </c>
      <c r="B11" s="378" t="s">
        <v>288</v>
      </c>
      <c r="C11" s="345" t="s">
        <v>289</v>
      </c>
      <c r="D11" s="346">
        <v>9</v>
      </c>
      <c r="E11" s="404">
        <v>74.900000000000006</v>
      </c>
      <c r="F11" s="404">
        <v>79.900000000000006</v>
      </c>
      <c r="G11" s="404">
        <v>78.989999999999995</v>
      </c>
      <c r="H11" s="256"/>
      <c r="I11" s="256"/>
      <c r="J11" s="256"/>
      <c r="K11" s="265">
        <f t="shared" ref="K11:K18" si="0">AVERAGE(E11:J11)</f>
        <v>77.930000000000007</v>
      </c>
      <c r="L11" s="266">
        <f t="shared" ref="L11:L18" si="1">K11*D11</f>
        <v>701.37000000000012</v>
      </c>
    </row>
    <row r="12" spans="1:13" ht="38.25" x14ac:dyDescent="0.2">
      <c r="A12" s="180">
        <v>2</v>
      </c>
      <c r="B12" s="379" t="s">
        <v>290</v>
      </c>
      <c r="C12" s="242" t="s">
        <v>289</v>
      </c>
      <c r="D12" s="347">
        <v>9</v>
      </c>
      <c r="E12" s="403">
        <v>75</v>
      </c>
      <c r="F12" s="403">
        <v>62.9</v>
      </c>
      <c r="G12" s="403">
        <v>52.5</v>
      </c>
      <c r="H12" s="403">
        <v>49.9</v>
      </c>
      <c r="I12" s="256"/>
      <c r="J12" s="256"/>
      <c r="K12" s="267">
        <f t="shared" si="0"/>
        <v>60.075000000000003</v>
      </c>
      <c r="L12" s="268">
        <f t="shared" si="1"/>
        <v>540.67500000000007</v>
      </c>
      <c r="M12" s="207"/>
    </row>
    <row r="13" spans="1:13" ht="25.5" x14ac:dyDescent="0.2">
      <c r="A13" s="180">
        <v>3</v>
      </c>
      <c r="B13" s="361" t="s">
        <v>291</v>
      </c>
      <c r="C13" s="181" t="s">
        <v>292</v>
      </c>
      <c r="D13" s="348">
        <v>3</v>
      </c>
      <c r="E13" s="402">
        <v>69.900000000000006</v>
      </c>
      <c r="F13" s="402">
        <v>69.989999999999995</v>
      </c>
      <c r="G13" s="402">
        <v>68.989999999999995</v>
      </c>
      <c r="H13" s="402">
        <v>58.71</v>
      </c>
      <c r="I13" s="402">
        <v>49.9</v>
      </c>
      <c r="J13" s="402">
        <v>76</v>
      </c>
      <c r="K13" s="267">
        <f t="shared" si="0"/>
        <v>65.581666666666663</v>
      </c>
      <c r="L13" s="268">
        <f t="shared" si="1"/>
        <v>196.745</v>
      </c>
    </row>
    <row r="14" spans="1:13" ht="25.5" x14ac:dyDescent="0.2">
      <c r="A14" s="180">
        <v>4</v>
      </c>
      <c r="B14" s="380" t="s">
        <v>293</v>
      </c>
      <c r="C14" s="349" t="s">
        <v>292</v>
      </c>
      <c r="D14" s="350">
        <v>12</v>
      </c>
      <c r="E14" s="398">
        <v>14</v>
      </c>
      <c r="F14" s="398">
        <v>24</v>
      </c>
      <c r="G14" s="398">
        <v>17</v>
      </c>
      <c r="H14" s="398">
        <v>12.1</v>
      </c>
      <c r="I14" s="398">
        <v>14.99</v>
      </c>
      <c r="J14" s="398">
        <v>15.9</v>
      </c>
      <c r="K14" s="267">
        <f t="shared" si="0"/>
        <v>16.331666666666667</v>
      </c>
      <c r="L14" s="268">
        <f t="shared" si="1"/>
        <v>195.98000000000002</v>
      </c>
    </row>
    <row r="15" spans="1:13" ht="18" x14ac:dyDescent="0.35">
      <c r="A15" s="180">
        <v>5</v>
      </c>
      <c r="B15" s="361" t="s">
        <v>294</v>
      </c>
      <c r="C15" s="181" t="s">
        <v>281</v>
      </c>
      <c r="D15" s="348">
        <v>3</v>
      </c>
      <c r="E15" s="396">
        <v>7</v>
      </c>
      <c r="F15" s="396">
        <v>8</v>
      </c>
      <c r="G15" s="396">
        <v>9</v>
      </c>
      <c r="H15" s="396">
        <v>7</v>
      </c>
      <c r="I15" s="396">
        <v>8</v>
      </c>
      <c r="J15" s="396">
        <v>4.62</v>
      </c>
      <c r="K15" s="267">
        <f t="shared" si="0"/>
        <v>7.27</v>
      </c>
      <c r="L15" s="268">
        <f t="shared" si="1"/>
        <v>21.81</v>
      </c>
      <c r="M15" s="208"/>
    </row>
    <row r="16" spans="1:13" x14ac:dyDescent="0.2">
      <c r="A16" s="180">
        <v>6</v>
      </c>
      <c r="B16" s="361" t="s">
        <v>295</v>
      </c>
      <c r="C16" s="199" t="s">
        <v>281</v>
      </c>
      <c r="D16" s="340">
        <v>3</v>
      </c>
      <c r="E16" s="396">
        <v>14</v>
      </c>
      <c r="F16" s="396">
        <v>12</v>
      </c>
      <c r="G16" s="396">
        <v>13.72</v>
      </c>
      <c r="H16" s="396">
        <v>12.05</v>
      </c>
      <c r="I16" s="396">
        <v>11.16</v>
      </c>
      <c r="J16" s="396">
        <v>12.73</v>
      </c>
      <c r="K16" s="267">
        <f t="shared" si="0"/>
        <v>12.61</v>
      </c>
      <c r="L16" s="268">
        <f t="shared" si="1"/>
        <v>37.83</v>
      </c>
    </row>
    <row r="17" spans="1:12" x14ac:dyDescent="0.2">
      <c r="A17" s="180">
        <v>7</v>
      </c>
      <c r="B17" s="361" t="s">
        <v>296</v>
      </c>
      <c r="C17" s="199" t="s">
        <v>292</v>
      </c>
      <c r="D17" s="340">
        <v>3</v>
      </c>
      <c r="E17" s="396">
        <v>42.55</v>
      </c>
      <c r="F17" s="396">
        <v>57.42</v>
      </c>
      <c r="G17" s="396">
        <v>56.09</v>
      </c>
      <c r="H17" s="396">
        <v>54.4</v>
      </c>
      <c r="I17" s="396">
        <v>47.9</v>
      </c>
      <c r="J17" s="396">
        <v>53</v>
      </c>
      <c r="K17" s="267">
        <f t="shared" si="0"/>
        <v>51.893333333333338</v>
      </c>
      <c r="L17" s="268">
        <f t="shared" si="1"/>
        <v>155.68</v>
      </c>
    </row>
    <row r="18" spans="1:12" ht="90" thickBot="1" x14ac:dyDescent="0.25">
      <c r="A18" s="180">
        <v>8</v>
      </c>
      <c r="B18" s="420" t="s">
        <v>297</v>
      </c>
      <c r="C18" s="242" t="s">
        <v>289</v>
      </c>
      <c r="D18" s="347">
        <v>48</v>
      </c>
      <c r="E18" s="351">
        <v>18.7</v>
      </c>
      <c r="F18" s="351">
        <v>28.04</v>
      </c>
      <c r="G18" s="351">
        <v>19.760000000000002</v>
      </c>
      <c r="H18" s="351">
        <v>24.68</v>
      </c>
      <c r="I18" s="421"/>
      <c r="J18" s="421"/>
      <c r="K18" s="267">
        <f t="shared" si="0"/>
        <v>22.795000000000002</v>
      </c>
      <c r="L18" s="268">
        <f t="shared" si="1"/>
        <v>1094.1600000000001</v>
      </c>
    </row>
    <row r="19" spans="1:12" ht="13.5" thickBot="1" x14ac:dyDescent="0.25">
      <c r="A19" s="565" t="s">
        <v>298</v>
      </c>
      <c r="B19" s="566"/>
      <c r="C19" s="566"/>
      <c r="D19" s="567"/>
      <c r="E19" s="182"/>
      <c r="F19" s="183"/>
      <c r="G19" s="183"/>
      <c r="H19" s="183"/>
      <c r="I19" s="183"/>
      <c r="J19" s="184"/>
      <c r="K19" s="568">
        <f>SUM(L11:L18)</f>
        <v>2944.25</v>
      </c>
      <c r="L19" s="569"/>
    </row>
    <row r="20" spans="1:12" ht="13.5" thickBot="1" x14ac:dyDescent="0.25">
      <c r="K20" s="209"/>
      <c r="L20" s="209"/>
    </row>
    <row r="21" spans="1:12" ht="13.5" thickBot="1" x14ac:dyDescent="0.25">
      <c r="A21" s="565" t="s">
        <v>299</v>
      </c>
      <c r="B21" s="566"/>
      <c r="C21" s="566"/>
      <c r="D21" s="566"/>
      <c r="E21" s="566"/>
      <c r="F21" s="566"/>
      <c r="G21" s="566"/>
      <c r="H21" s="566"/>
      <c r="I21" s="566"/>
      <c r="J21" s="567"/>
      <c r="K21" s="570">
        <f>K19/12</f>
        <v>245.35416666666666</v>
      </c>
      <c r="L21" s="571"/>
    </row>
    <row r="22" spans="1:12" x14ac:dyDescent="0.2">
      <c r="K22" s="209"/>
      <c r="L22" s="209"/>
    </row>
    <row r="23" spans="1:12" ht="13.5" thickBot="1" x14ac:dyDescent="0.25">
      <c r="A23" s="57"/>
      <c r="K23" s="209"/>
      <c r="L23" s="210"/>
    </row>
    <row r="24" spans="1:12" ht="15.75" thickBot="1" x14ac:dyDescent="0.25">
      <c r="A24" s="572" t="s">
        <v>300</v>
      </c>
      <c r="B24" s="573"/>
      <c r="C24" s="573"/>
      <c r="D24" s="573"/>
      <c r="E24" s="573"/>
      <c r="F24" s="573"/>
      <c r="G24" s="573"/>
      <c r="H24" s="573"/>
      <c r="I24" s="573"/>
      <c r="J24" s="573"/>
      <c r="K24" s="574">
        <f>K21</f>
        <v>245.35416666666666</v>
      </c>
      <c r="L24" s="575"/>
    </row>
    <row r="26" spans="1:12" ht="13.5" thickBot="1" x14ac:dyDescent="0.25"/>
    <row r="27" spans="1:12" x14ac:dyDescent="0.2">
      <c r="A27" s="623"/>
      <c r="B27" s="624"/>
      <c r="C27" s="629" t="s">
        <v>301</v>
      </c>
      <c r="D27" s="632"/>
      <c r="E27" s="633"/>
      <c r="F27" s="633"/>
      <c r="G27" s="633"/>
      <c r="H27" s="633"/>
      <c r="I27" s="633"/>
      <c r="J27" s="633"/>
      <c r="K27" s="633"/>
      <c r="L27" s="634"/>
    </row>
    <row r="28" spans="1:12" x14ac:dyDescent="0.2">
      <c r="A28" s="625"/>
      <c r="B28" s="626"/>
      <c r="C28" s="630"/>
      <c r="D28" s="635"/>
      <c r="E28" s="636"/>
      <c r="F28" s="636"/>
      <c r="G28" s="636"/>
      <c r="H28" s="636"/>
      <c r="I28" s="636"/>
      <c r="J28" s="636"/>
      <c r="K28" s="636"/>
      <c r="L28" s="637"/>
    </row>
    <row r="29" spans="1:12" x14ac:dyDescent="0.2">
      <c r="A29" s="625"/>
      <c r="B29" s="626"/>
      <c r="C29" s="630"/>
      <c r="D29" s="635"/>
      <c r="E29" s="636"/>
      <c r="F29" s="636"/>
      <c r="G29" s="636"/>
      <c r="H29" s="636"/>
      <c r="I29" s="636"/>
      <c r="J29" s="636"/>
      <c r="K29" s="636"/>
      <c r="L29" s="637"/>
    </row>
    <row r="30" spans="1:12" ht="13.5" thickBot="1" x14ac:dyDescent="0.25">
      <c r="A30" s="627"/>
      <c r="B30" s="628"/>
      <c r="C30" s="631"/>
      <c r="D30" s="638"/>
      <c r="E30" s="639"/>
      <c r="F30" s="639"/>
      <c r="G30" s="639"/>
      <c r="H30" s="639"/>
      <c r="I30" s="639"/>
      <c r="J30" s="639"/>
      <c r="K30" s="639"/>
      <c r="L30" s="640"/>
    </row>
    <row r="32" spans="1:12" ht="13.5" thickBot="1" x14ac:dyDescent="0.25"/>
    <row r="33" spans="1:12" x14ac:dyDescent="0.2">
      <c r="A33" s="641" t="s">
        <v>302</v>
      </c>
      <c r="B33" s="642"/>
      <c r="C33" s="642"/>
      <c r="D33" s="642"/>
      <c r="E33" s="642"/>
      <c r="F33" s="642"/>
      <c r="G33" s="642"/>
      <c r="H33" s="642"/>
      <c r="I33" s="642"/>
      <c r="J33" s="642"/>
      <c r="K33" s="642"/>
      <c r="L33" s="643"/>
    </row>
    <row r="34" spans="1:12" x14ac:dyDescent="0.2">
      <c r="A34" s="644"/>
      <c r="B34" s="560"/>
      <c r="C34" s="560"/>
      <c r="D34" s="560"/>
      <c r="E34" s="560"/>
      <c r="F34" s="560"/>
      <c r="G34" s="560"/>
      <c r="H34" s="560"/>
      <c r="I34" s="560"/>
      <c r="J34" s="560"/>
      <c r="K34" s="560"/>
      <c r="L34" s="645"/>
    </row>
    <row r="35" spans="1:12" x14ac:dyDescent="0.2">
      <c r="A35" s="644"/>
      <c r="B35" s="560"/>
      <c r="C35" s="560"/>
      <c r="D35" s="560"/>
      <c r="E35" s="560"/>
      <c r="F35" s="560"/>
      <c r="G35" s="560"/>
      <c r="H35" s="560"/>
      <c r="I35" s="560"/>
      <c r="J35" s="560"/>
      <c r="K35" s="560"/>
      <c r="L35" s="645"/>
    </row>
    <row r="36" spans="1:12" x14ac:dyDescent="0.2">
      <c r="A36" s="644"/>
      <c r="B36" s="560"/>
      <c r="C36" s="560"/>
      <c r="D36" s="560"/>
      <c r="E36" s="560"/>
      <c r="F36" s="560"/>
      <c r="G36" s="560"/>
      <c r="H36" s="560"/>
      <c r="I36" s="560"/>
      <c r="J36" s="560"/>
      <c r="K36" s="560"/>
      <c r="L36" s="645"/>
    </row>
    <row r="37" spans="1:12" ht="13.5" thickBot="1" x14ac:dyDescent="0.25">
      <c r="A37" s="646"/>
      <c r="B37" s="647"/>
      <c r="C37" s="647"/>
      <c r="D37" s="647"/>
      <c r="E37" s="647"/>
      <c r="F37" s="647"/>
      <c r="G37" s="647"/>
      <c r="H37" s="647"/>
      <c r="I37" s="647"/>
      <c r="J37" s="647"/>
      <c r="K37" s="647"/>
      <c r="L37" s="648"/>
    </row>
    <row r="38" spans="1:12" ht="13.5" thickBot="1" x14ac:dyDescent="0.25"/>
    <row r="39" spans="1:12" x14ac:dyDescent="0.2">
      <c r="A39" s="649" t="s">
        <v>303</v>
      </c>
      <c r="B39" s="650"/>
      <c r="C39" s="650"/>
      <c r="D39" s="650"/>
      <c r="E39" s="650"/>
      <c r="F39" s="650"/>
      <c r="G39" s="650"/>
      <c r="H39" s="651"/>
    </row>
    <row r="40" spans="1:12" x14ac:dyDescent="0.2">
      <c r="A40" s="652"/>
      <c r="B40" s="653"/>
      <c r="C40" s="653"/>
      <c r="D40" s="653"/>
      <c r="E40" s="653"/>
      <c r="F40" s="653"/>
      <c r="G40" s="653"/>
      <c r="H40" s="654"/>
    </row>
    <row r="41" spans="1:12" x14ac:dyDescent="0.2">
      <c r="A41" s="652"/>
      <c r="B41" s="653"/>
      <c r="C41" s="653"/>
      <c r="D41" s="653"/>
      <c r="E41" s="653"/>
      <c r="F41" s="653"/>
      <c r="G41" s="653"/>
      <c r="H41" s="654"/>
    </row>
    <row r="42" spans="1:12" ht="13.5" thickBot="1" x14ac:dyDescent="0.25">
      <c r="A42" s="655"/>
      <c r="B42" s="656"/>
      <c r="C42" s="656"/>
      <c r="D42" s="656"/>
      <c r="E42" s="656"/>
      <c r="F42" s="656"/>
      <c r="G42" s="656"/>
      <c r="H42" s="657"/>
    </row>
  </sheetData>
  <mergeCells count="38">
    <mergeCell ref="A27:B30"/>
    <mergeCell ref="C27:C30"/>
    <mergeCell ref="D27:L30"/>
    <mergeCell ref="A33:L37"/>
    <mergeCell ref="A39:H42"/>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19:D19"/>
    <mergeCell ref="K19:L19"/>
    <mergeCell ref="A21:J21"/>
    <mergeCell ref="K21:L21"/>
    <mergeCell ref="A24:J24"/>
    <mergeCell ref="K24:L24"/>
  </mergeCells>
  <pageMargins left="0.511811024" right="0.511811024" top="0.78740157499999996" bottom="0.78740157499999996" header="0.31496062000000002" footer="0.31496062000000002"/>
  <pageSetup paperSize="9" orientation="landscape"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64"/>
  <sheetViews>
    <sheetView topLeftCell="A19" zoomScale="85" zoomScaleNormal="85" workbookViewId="0">
      <selection activeCell="H21" sqref="H21:J22"/>
    </sheetView>
  </sheetViews>
  <sheetFormatPr defaultRowHeight="12.75" x14ac:dyDescent="0.2"/>
  <cols>
    <col min="1" max="1" width="3.7109375" style="185" bestFit="1" customWidth="1"/>
    <col min="2" max="2" width="47.7109375" customWidth="1"/>
    <col min="3" max="3" width="9" customWidth="1"/>
    <col min="4" max="4" width="9.140625" customWidth="1"/>
    <col min="5" max="5" width="9.5703125" bestFit="1" customWidth="1"/>
    <col min="6" max="6" width="10.85546875" customWidth="1"/>
    <col min="7" max="7" width="9.5703125" bestFit="1" customWidth="1"/>
    <col min="8" max="8" width="10.42578125" bestFit="1" customWidth="1"/>
    <col min="9" max="9" width="9.140625" customWidth="1"/>
    <col min="10" max="10" width="9.28515625" customWidth="1"/>
    <col min="11" max="11" width="10" customWidth="1"/>
    <col min="12" max="12" width="11" customWidth="1"/>
    <col min="13" max="13" width="40.28515625" customWidth="1"/>
    <col min="208" max="208" width="3.7109375" bestFit="1" customWidth="1"/>
    <col min="209" max="209" width="52.85546875" customWidth="1"/>
    <col min="210" max="210" width="6.7109375" customWidth="1"/>
    <col min="211" max="211" width="5.5703125" customWidth="1"/>
    <col min="212" max="212" width="9.140625" customWidth="1"/>
    <col min="213" max="213" width="8.85546875" customWidth="1"/>
    <col min="214" max="214" width="8.7109375" customWidth="1"/>
    <col min="215" max="215" width="9" customWidth="1"/>
    <col min="216" max="216" width="9.140625" customWidth="1"/>
    <col min="217" max="217" width="9.28515625" customWidth="1"/>
    <col min="218" max="218" width="10" customWidth="1"/>
    <col min="219" max="219" width="11" customWidth="1"/>
    <col min="464" max="464" width="3.7109375" bestFit="1" customWidth="1"/>
    <col min="465" max="465" width="52.85546875" customWidth="1"/>
    <col min="466" max="466" width="6.7109375" customWidth="1"/>
    <col min="467" max="467" width="5.5703125" customWidth="1"/>
    <col min="468" max="468" width="9.140625" customWidth="1"/>
    <col min="469" max="469" width="8.85546875" customWidth="1"/>
    <col min="470" max="470" width="8.7109375" customWidth="1"/>
    <col min="471" max="471" width="9" customWidth="1"/>
    <col min="472" max="472" width="9.140625" customWidth="1"/>
    <col min="473" max="473" width="9.28515625" customWidth="1"/>
    <col min="474" max="474" width="10" customWidth="1"/>
    <col min="475" max="475" width="11" customWidth="1"/>
    <col min="720" max="720" width="3.7109375" bestFit="1" customWidth="1"/>
    <col min="721" max="721" width="52.85546875" customWidth="1"/>
    <col min="722" max="722" width="6.7109375" customWidth="1"/>
    <col min="723" max="723" width="5.5703125" customWidth="1"/>
    <col min="724" max="724" width="9.140625" customWidth="1"/>
    <col min="725" max="725" width="8.85546875" customWidth="1"/>
    <col min="726" max="726" width="8.7109375" customWidth="1"/>
    <col min="727" max="727" width="9" customWidth="1"/>
    <col min="728" max="728" width="9.140625" customWidth="1"/>
    <col min="729" max="729" width="9.28515625" customWidth="1"/>
    <col min="730" max="730" width="10" customWidth="1"/>
    <col min="731" max="731" width="11" customWidth="1"/>
    <col min="976" max="976" width="3.7109375" bestFit="1" customWidth="1"/>
    <col min="977" max="977" width="52.85546875" customWidth="1"/>
    <col min="978" max="978" width="6.7109375" customWidth="1"/>
    <col min="979" max="979" width="5.5703125" customWidth="1"/>
    <col min="980" max="980" width="9.140625" customWidth="1"/>
    <col min="981" max="981" width="8.85546875" customWidth="1"/>
    <col min="982" max="982" width="8.7109375" customWidth="1"/>
    <col min="983" max="983" width="9" customWidth="1"/>
    <col min="984" max="984" width="9.140625" customWidth="1"/>
    <col min="985" max="985" width="9.28515625" customWidth="1"/>
    <col min="986" max="986" width="10" customWidth="1"/>
    <col min="987" max="987" width="11" customWidth="1"/>
    <col min="1232" max="1232" width="3.7109375" bestFit="1" customWidth="1"/>
    <col min="1233" max="1233" width="52.85546875" customWidth="1"/>
    <col min="1234" max="1234" width="6.7109375" customWidth="1"/>
    <col min="1235" max="1235" width="5.5703125" customWidth="1"/>
    <col min="1236" max="1236" width="9.140625" customWidth="1"/>
    <col min="1237" max="1237" width="8.85546875" customWidth="1"/>
    <col min="1238" max="1238" width="8.7109375" customWidth="1"/>
    <col min="1239" max="1239" width="9" customWidth="1"/>
    <col min="1240" max="1240" width="9.140625" customWidth="1"/>
    <col min="1241" max="1241" width="9.28515625" customWidth="1"/>
    <col min="1242" max="1242" width="10" customWidth="1"/>
    <col min="1243" max="1243" width="11" customWidth="1"/>
    <col min="1488" max="1488" width="3.7109375" bestFit="1" customWidth="1"/>
    <col min="1489" max="1489" width="52.85546875" customWidth="1"/>
    <col min="1490" max="1490" width="6.7109375" customWidth="1"/>
    <col min="1491" max="1491" width="5.5703125" customWidth="1"/>
    <col min="1492" max="1492" width="9.140625" customWidth="1"/>
    <col min="1493" max="1493" width="8.85546875" customWidth="1"/>
    <col min="1494" max="1494" width="8.7109375" customWidth="1"/>
    <col min="1495" max="1495" width="9" customWidth="1"/>
    <col min="1496" max="1496" width="9.140625" customWidth="1"/>
    <col min="1497" max="1497" width="9.28515625" customWidth="1"/>
    <col min="1498" max="1498" width="10" customWidth="1"/>
    <col min="1499" max="1499" width="11" customWidth="1"/>
    <col min="1744" max="1744" width="3.7109375" bestFit="1" customWidth="1"/>
    <col min="1745" max="1745" width="52.85546875" customWidth="1"/>
    <col min="1746" max="1746" width="6.7109375" customWidth="1"/>
    <col min="1747" max="1747" width="5.5703125" customWidth="1"/>
    <col min="1748" max="1748" width="9.140625" customWidth="1"/>
    <col min="1749" max="1749" width="8.85546875" customWidth="1"/>
    <col min="1750" max="1750" width="8.7109375" customWidth="1"/>
    <col min="1751" max="1751" width="9" customWidth="1"/>
    <col min="1752" max="1752" width="9.140625" customWidth="1"/>
    <col min="1753" max="1753" width="9.28515625" customWidth="1"/>
    <col min="1754" max="1754" width="10" customWidth="1"/>
    <col min="1755" max="1755" width="11" customWidth="1"/>
    <col min="2000" max="2000" width="3.7109375" bestFit="1" customWidth="1"/>
    <col min="2001" max="2001" width="52.85546875" customWidth="1"/>
    <col min="2002" max="2002" width="6.7109375" customWidth="1"/>
    <col min="2003" max="2003" width="5.5703125" customWidth="1"/>
    <col min="2004" max="2004" width="9.140625" customWidth="1"/>
    <col min="2005" max="2005" width="8.85546875" customWidth="1"/>
    <col min="2006" max="2006" width="8.7109375" customWidth="1"/>
    <col min="2007" max="2007" width="9" customWidth="1"/>
    <col min="2008" max="2008" width="9.140625" customWidth="1"/>
    <col min="2009" max="2009" width="9.28515625" customWidth="1"/>
    <col min="2010" max="2010" width="10" customWidth="1"/>
    <col min="2011" max="2011" width="11" customWidth="1"/>
    <col min="2256" max="2256" width="3.7109375" bestFit="1" customWidth="1"/>
    <col min="2257" max="2257" width="52.85546875" customWidth="1"/>
    <col min="2258" max="2258" width="6.7109375" customWidth="1"/>
    <col min="2259" max="2259" width="5.5703125" customWidth="1"/>
    <col min="2260" max="2260" width="9.140625" customWidth="1"/>
    <col min="2261" max="2261" width="8.85546875" customWidth="1"/>
    <col min="2262" max="2262" width="8.7109375" customWidth="1"/>
    <col min="2263" max="2263" width="9" customWidth="1"/>
    <col min="2264" max="2264" width="9.140625" customWidth="1"/>
    <col min="2265" max="2265" width="9.28515625" customWidth="1"/>
    <col min="2266" max="2266" width="10" customWidth="1"/>
    <col min="2267" max="2267" width="11" customWidth="1"/>
    <col min="2512" max="2512" width="3.7109375" bestFit="1" customWidth="1"/>
    <col min="2513" max="2513" width="52.85546875" customWidth="1"/>
    <col min="2514" max="2514" width="6.7109375" customWidth="1"/>
    <col min="2515" max="2515" width="5.5703125" customWidth="1"/>
    <col min="2516" max="2516" width="9.140625" customWidth="1"/>
    <col min="2517" max="2517" width="8.85546875" customWidth="1"/>
    <col min="2518" max="2518" width="8.7109375" customWidth="1"/>
    <col min="2519" max="2519" width="9" customWidth="1"/>
    <col min="2520" max="2520" width="9.140625" customWidth="1"/>
    <col min="2521" max="2521" width="9.28515625" customWidth="1"/>
    <col min="2522" max="2522" width="10" customWidth="1"/>
    <col min="2523" max="2523" width="11" customWidth="1"/>
    <col min="2768" max="2768" width="3.7109375" bestFit="1" customWidth="1"/>
    <col min="2769" max="2769" width="52.85546875" customWidth="1"/>
    <col min="2770" max="2770" width="6.7109375" customWidth="1"/>
    <col min="2771" max="2771" width="5.5703125" customWidth="1"/>
    <col min="2772" max="2772" width="9.140625" customWidth="1"/>
    <col min="2773" max="2773" width="8.85546875" customWidth="1"/>
    <col min="2774" max="2774" width="8.7109375" customWidth="1"/>
    <col min="2775" max="2775" width="9" customWidth="1"/>
    <col min="2776" max="2776" width="9.140625" customWidth="1"/>
    <col min="2777" max="2777" width="9.28515625" customWidth="1"/>
    <col min="2778" max="2778" width="10" customWidth="1"/>
    <col min="2779" max="2779" width="11" customWidth="1"/>
    <col min="3024" max="3024" width="3.7109375" bestFit="1" customWidth="1"/>
    <col min="3025" max="3025" width="52.85546875" customWidth="1"/>
    <col min="3026" max="3026" width="6.7109375" customWidth="1"/>
    <col min="3027" max="3027" width="5.5703125" customWidth="1"/>
    <col min="3028" max="3028" width="9.140625" customWidth="1"/>
    <col min="3029" max="3029" width="8.85546875" customWidth="1"/>
    <col min="3030" max="3030" width="8.7109375" customWidth="1"/>
    <col min="3031" max="3031" width="9" customWidth="1"/>
    <col min="3032" max="3032" width="9.140625" customWidth="1"/>
    <col min="3033" max="3033" width="9.28515625" customWidth="1"/>
    <col min="3034" max="3034" width="10" customWidth="1"/>
    <col min="3035" max="3035" width="11" customWidth="1"/>
    <col min="3280" max="3280" width="3.7109375" bestFit="1" customWidth="1"/>
    <col min="3281" max="3281" width="52.85546875" customWidth="1"/>
    <col min="3282" max="3282" width="6.7109375" customWidth="1"/>
    <col min="3283" max="3283" width="5.5703125" customWidth="1"/>
    <col min="3284" max="3284" width="9.140625" customWidth="1"/>
    <col min="3285" max="3285" width="8.85546875" customWidth="1"/>
    <col min="3286" max="3286" width="8.7109375" customWidth="1"/>
    <col min="3287" max="3287" width="9" customWidth="1"/>
    <col min="3288" max="3288" width="9.140625" customWidth="1"/>
    <col min="3289" max="3289" width="9.28515625" customWidth="1"/>
    <col min="3290" max="3290" width="10" customWidth="1"/>
    <col min="3291" max="3291" width="11" customWidth="1"/>
    <col min="3536" max="3536" width="3.7109375" bestFit="1" customWidth="1"/>
    <col min="3537" max="3537" width="52.85546875" customWidth="1"/>
    <col min="3538" max="3538" width="6.7109375" customWidth="1"/>
    <col min="3539" max="3539" width="5.5703125" customWidth="1"/>
    <col min="3540" max="3540" width="9.140625" customWidth="1"/>
    <col min="3541" max="3541" width="8.85546875" customWidth="1"/>
    <col min="3542" max="3542" width="8.7109375" customWidth="1"/>
    <col min="3543" max="3543" width="9" customWidth="1"/>
    <col min="3544" max="3544" width="9.140625" customWidth="1"/>
    <col min="3545" max="3545" width="9.28515625" customWidth="1"/>
    <col min="3546" max="3546" width="10" customWidth="1"/>
    <col min="3547" max="3547" width="11" customWidth="1"/>
    <col min="3792" max="3792" width="3.7109375" bestFit="1" customWidth="1"/>
    <col min="3793" max="3793" width="52.85546875" customWidth="1"/>
    <col min="3794" max="3794" width="6.7109375" customWidth="1"/>
    <col min="3795" max="3795" width="5.5703125" customWidth="1"/>
    <col min="3796" max="3796" width="9.140625" customWidth="1"/>
    <col min="3797" max="3797" width="8.85546875" customWidth="1"/>
    <col min="3798" max="3798" width="8.7109375" customWidth="1"/>
    <col min="3799" max="3799" width="9" customWidth="1"/>
    <col min="3800" max="3800" width="9.140625" customWidth="1"/>
    <col min="3801" max="3801" width="9.28515625" customWidth="1"/>
    <col min="3802" max="3802" width="10" customWidth="1"/>
    <col min="3803" max="3803" width="11" customWidth="1"/>
    <col min="4048" max="4048" width="3.7109375" bestFit="1" customWidth="1"/>
    <col min="4049" max="4049" width="52.85546875" customWidth="1"/>
    <col min="4050" max="4050" width="6.7109375" customWidth="1"/>
    <col min="4051" max="4051" width="5.5703125" customWidth="1"/>
    <col min="4052" max="4052" width="9.140625" customWidth="1"/>
    <col min="4053" max="4053" width="8.85546875" customWidth="1"/>
    <col min="4054" max="4054" width="8.7109375" customWidth="1"/>
    <col min="4055" max="4055" width="9" customWidth="1"/>
    <col min="4056" max="4056" width="9.140625" customWidth="1"/>
    <col min="4057" max="4057" width="9.28515625" customWidth="1"/>
    <col min="4058" max="4058" width="10" customWidth="1"/>
    <col min="4059" max="4059" width="11" customWidth="1"/>
    <col min="4304" max="4304" width="3.7109375" bestFit="1" customWidth="1"/>
    <col min="4305" max="4305" width="52.85546875" customWidth="1"/>
    <col min="4306" max="4306" width="6.7109375" customWidth="1"/>
    <col min="4307" max="4307" width="5.5703125" customWidth="1"/>
    <col min="4308" max="4308" width="9.140625" customWidth="1"/>
    <col min="4309" max="4309" width="8.85546875" customWidth="1"/>
    <col min="4310" max="4310" width="8.7109375" customWidth="1"/>
    <col min="4311" max="4311" width="9" customWidth="1"/>
    <col min="4312" max="4312" width="9.140625" customWidth="1"/>
    <col min="4313" max="4313" width="9.28515625" customWidth="1"/>
    <col min="4314" max="4314" width="10" customWidth="1"/>
    <col min="4315" max="4315" width="11" customWidth="1"/>
    <col min="4560" max="4560" width="3.7109375" bestFit="1" customWidth="1"/>
    <col min="4561" max="4561" width="52.85546875" customWidth="1"/>
    <col min="4562" max="4562" width="6.7109375" customWidth="1"/>
    <col min="4563" max="4563" width="5.5703125" customWidth="1"/>
    <col min="4564" max="4564" width="9.140625" customWidth="1"/>
    <col min="4565" max="4565" width="8.85546875" customWidth="1"/>
    <col min="4566" max="4566" width="8.7109375" customWidth="1"/>
    <col min="4567" max="4567" width="9" customWidth="1"/>
    <col min="4568" max="4568" width="9.140625" customWidth="1"/>
    <col min="4569" max="4569" width="9.28515625" customWidth="1"/>
    <col min="4570" max="4570" width="10" customWidth="1"/>
    <col min="4571" max="4571" width="11" customWidth="1"/>
    <col min="4816" max="4816" width="3.7109375" bestFit="1" customWidth="1"/>
    <col min="4817" max="4817" width="52.85546875" customWidth="1"/>
    <col min="4818" max="4818" width="6.7109375" customWidth="1"/>
    <col min="4819" max="4819" width="5.5703125" customWidth="1"/>
    <col min="4820" max="4820" width="9.140625" customWidth="1"/>
    <col min="4821" max="4821" width="8.85546875" customWidth="1"/>
    <col min="4822" max="4822" width="8.7109375" customWidth="1"/>
    <col min="4823" max="4823" width="9" customWidth="1"/>
    <col min="4824" max="4824" width="9.140625" customWidth="1"/>
    <col min="4825" max="4825" width="9.28515625" customWidth="1"/>
    <col min="4826" max="4826" width="10" customWidth="1"/>
    <col min="4827" max="4827" width="11" customWidth="1"/>
    <col min="5072" max="5072" width="3.7109375" bestFit="1" customWidth="1"/>
    <col min="5073" max="5073" width="52.85546875" customWidth="1"/>
    <col min="5074" max="5074" width="6.7109375" customWidth="1"/>
    <col min="5075" max="5075" width="5.5703125" customWidth="1"/>
    <col min="5076" max="5076" width="9.140625" customWidth="1"/>
    <col min="5077" max="5077" width="8.85546875" customWidth="1"/>
    <col min="5078" max="5078" width="8.7109375" customWidth="1"/>
    <col min="5079" max="5079" width="9" customWidth="1"/>
    <col min="5080" max="5080" width="9.140625" customWidth="1"/>
    <col min="5081" max="5081" width="9.28515625" customWidth="1"/>
    <col min="5082" max="5082" width="10" customWidth="1"/>
    <col min="5083" max="5083" width="11" customWidth="1"/>
    <col min="5328" max="5328" width="3.7109375" bestFit="1" customWidth="1"/>
    <col min="5329" max="5329" width="52.85546875" customWidth="1"/>
    <col min="5330" max="5330" width="6.7109375" customWidth="1"/>
    <col min="5331" max="5331" width="5.5703125" customWidth="1"/>
    <col min="5332" max="5332" width="9.140625" customWidth="1"/>
    <col min="5333" max="5333" width="8.85546875" customWidth="1"/>
    <col min="5334" max="5334" width="8.7109375" customWidth="1"/>
    <col min="5335" max="5335" width="9" customWidth="1"/>
    <col min="5336" max="5336" width="9.140625" customWidth="1"/>
    <col min="5337" max="5337" width="9.28515625" customWidth="1"/>
    <col min="5338" max="5338" width="10" customWidth="1"/>
    <col min="5339" max="5339" width="11" customWidth="1"/>
    <col min="5584" max="5584" width="3.7109375" bestFit="1" customWidth="1"/>
    <col min="5585" max="5585" width="52.85546875" customWidth="1"/>
    <col min="5586" max="5586" width="6.7109375" customWidth="1"/>
    <col min="5587" max="5587" width="5.5703125" customWidth="1"/>
    <col min="5588" max="5588" width="9.140625" customWidth="1"/>
    <col min="5589" max="5589" width="8.85546875" customWidth="1"/>
    <col min="5590" max="5590" width="8.7109375" customWidth="1"/>
    <col min="5591" max="5591" width="9" customWidth="1"/>
    <col min="5592" max="5592" width="9.140625" customWidth="1"/>
    <col min="5593" max="5593" width="9.28515625" customWidth="1"/>
    <col min="5594" max="5594" width="10" customWidth="1"/>
    <col min="5595" max="5595" width="11" customWidth="1"/>
    <col min="5840" max="5840" width="3.7109375" bestFit="1" customWidth="1"/>
    <col min="5841" max="5841" width="52.85546875" customWidth="1"/>
    <col min="5842" max="5842" width="6.7109375" customWidth="1"/>
    <col min="5843" max="5843" width="5.5703125" customWidth="1"/>
    <col min="5844" max="5844" width="9.140625" customWidth="1"/>
    <col min="5845" max="5845" width="8.85546875" customWidth="1"/>
    <col min="5846" max="5846" width="8.7109375" customWidth="1"/>
    <col min="5847" max="5847" width="9" customWidth="1"/>
    <col min="5848" max="5848" width="9.140625" customWidth="1"/>
    <col min="5849" max="5849" width="9.28515625" customWidth="1"/>
    <col min="5850" max="5850" width="10" customWidth="1"/>
    <col min="5851" max="5851" width="11" customWidth="1"/>
    <col min="6096" max="6096" width="3.7109375" bestFit="1" customWidth="1"/>
    <col min="6097" max="6097" width="52.85546875" customWidth="1"/>
    <col min="6098" max="6098" width="6.7109375" customWidth="1"/>
    <col min="6099" max="6099" width="5.5703125" customWidth="1"/>
    <col min="6100" max="6100" width="9.140625" customWidth="1"/>
    <col min="6101" max="6101" width="8.85546875" customWidth="1"/>
    <col min="6102" max="6102" width="8.7109375" customWidth="1"/>
    <col min="6103" max="6103" width="9" customWidth="1"/>
    <col min="6104" max="6104" width="9.140625" customWidth="1"/>
    <col min="6105" max="6105" width="9.28515625" customWidth="1"/>
    <col min="6106" max="6106" width="10" customWidth="1"/>
    <col min="6107" max="6107" width="11" customWidth="1"/>
    <col min="6352" max="6352" width="3.7109375" bestFit="1" customWidth="1"/>
    <col min="6353" max="6353" width="52.85546875" customWidth="1"/>
    <col min="6354" max="6354" width="6.7109375" customWidth="1"/>
    <col min="6355" max="6355" width="5.5703125" customWidth="1"/>
    <col min="6356" max="6356" width="9.140625" customWidth="1"/>
    <col min="6357" max="6357" width="8.85546875" customWidth="1"/>
    <col min="6358" max="6358" width="8.7109375" customWidth="1"/>
    <col min="6359" max="6359" width="9" customWidth="1"/>
    <col min="6360" max="6360" width="9.140625" customWidth="1"/>
    <col min="6361" max="6361" width="9.28515625" customWidth="1"/>
    <col min="6362" max="6362" width="10" customWidth="1"/>
    <col min="6363" max="6363" width="11" customWidth="1"/>
    <col min="6608" max="6608" width="3.7109375" bestFit="1" customWidth="1"/>
    <col min="6609" max="6609" width="52.85546875" customWidth="1"/>
    <col min="6610" max="6610" width="6.7109375" customWidth="1"/>
    <col min="6611" max="6611" width="5.5703125" customWidth="1"/>
    <col min="6612" max="6612" width="9.140625" customWidth="1"/>
    <col min="6613" max="6613" width="8.85546875" customWidth="1"/>
    <col min="6614" max="6614" width="8.7109375" customWidth="1"/>
    <col min="6615" max="6615" width="9" customWidth="1"/>
    <col min="6616" max="6616" width="9.140625" customWidth="1"/>
    <col min="6617" max="6617" width="9.28515625" customWidth="1"/>
    <col min="6618" max="6618" width="10" customWidth="1"/>
    <col min="6619" max="6619" width="11" customWidth="1"/>
    <col min="6864" max="6864" width="3.7109375" bestFit="1" customWidth="1"/>
    <col min="6865" max="6865" width="52.85546875" customWidth="1"/>
    <col min="6866" max="6866" width="6.7109375" customWidth="1"/>
    <col min="6867" max="6867" width="5.5703125" customWidth="1"/>
    <col min="6868" max="6868" width="9.140625" customWidth="1"/>
    <col min="6869" max="6869" width="8.85546875" customWidth="1"/>
    <col min="6870" max="6870" width="8.7109375" customWidth="1"/>
    <col min="6871" max="6871" width="9" customWidth="1"/>
    <col min="6872" max="6872" width="9.140625" customWidth="1"/>
    <col min="6873" max="6873" width="9.28515625" customWidth="1"/>
    <col min="6874" max="6874" width="10" customWidth="1"/>
    <col min="6875" max="6875" width="11" customWidth="1"/>
    <col min="7120" max="7120" width="3.7109375" bestFit="1" customWidth="1"/>
    <col min="7121" max="7121" width="52.85546875" customWidth="1"/>
    <col min="7122" max="7122" width="6.7109375" customWidth="1"/>
    <col min="7123" max="7123" width="5.5703125" customWidth="1"/>
    <col min="7124" max="7124" width="9.140625" customWidth="1"/>
    <col min="7125" max="7125" width="8.85546875" customWidth="1"/>
    <col min="7126" max="7126" width="8.7109375" customWidth="1"/>
    <col min="7127" max="7127" width="9" customWidth="1"/>
    <col min="7128" max="7128" width="9.140625" customWidth="1"/>
    <col min="7129" max="7129" width="9.28515625" customWidth="1"/>
    <col min="7130" max="7130" width="10" customWidth="1"/>
    <col min="7131" max="7131" width="11" customWidth="1"/>
    <col min="7376" max="7376" width="3.7109375" bestFit="1" customWidth="1"/>
    <col min="7377" max="7377" width="52.85546875" customWidth="1"/>
    <col min="7378" max="7378" width="6.7109375" customWidth="1"/>
    <col min="7379" max="7379" width="5.5703125" customWidth="1"/>
    <col min="7380" max="7380" width="9.140625" customWidth="1"/>
    <col min="7381" max="7381" width="8.85546875" customWidth="1"/>
    <col min="7382" max="7382" width="8.7109375" customWidth="1"/>
    <col min="7383" max="7383" width="9" customWidth="1"/>
    <col min="7384" max="7384" width="9.140625" customWidth="1"/>
    <col min="7385" max="7385" width="9.28515625" customWidth="1"/>
    <col min="7386" max="7386" width="10" customWidth="1"/>
    <col min="7387" max="7387" width="11" customWidth="1"/>
    <col min="7632" max="7632" width="3.7109375" bestFit="1" customWidth="1"/>
    <col min="7633" max="7633" width="52.85546875" customWidth="1"/>
    <col min="7634" max="7634" width="6.7109375" customWidth="1"/>
    <col min="7635" max="7635" width="5.5703125" customWidth="1"/>
    <col min="7636" max="7636" width="9.140625" customWidth="1"/>
    <col min="7637" max="7637" width="8.85546875" customWidth="1"/>
    <col min="7638" max="7638" width="8.7109375" customWidth="1"/>
    <col min="7639" max="7639" width="9" customWidth="1"/>
    <col min="7640" max="7640" width="9.140625" customWidth="1"/>
    <col min="7641" max="7641" width="9.28515625" customWidth="1"/>
    <col min="7642" max="7642" width="10" customWidth="1"/>
    <col min="7643" max="7643" width="11" customWidth="1"/>
    <col min="7888" max="7888" width="3.7109375" bestFit="1" customWidth="1"/>
    <col min="7889" max="7889" width="52.85546875" customWidth="1"/>
    <col min="7890" max="7890" width="6.7109375" customWidth="1"/>
    <col min="7891" max="7891" width="5.5703125" customWidth="1"/>
    <col min="7892" max="7892" width="9.140625" customWidth="1"/>
    <col min="7893" max="7893" width="8.85546875" customWidth="1"/>
    <col min="7894" max="7894" width="8.7109375" customWidth="1"/>
    <col min="7895" max="7895" width="9" customWidth="1"/>
    <col min="7896" max="7896" width="9.140625" customWidth="1"/>
    <col min="7897" max="7897" width="9.28515625" customWidth="1"/>
    <col min="7898" max="7898" width="10" customWidth="1"/>
    <col min="7899" max="7899" width="11" customWidth="1"/>
    <col min="8144" max="8144" width="3.7109375" bestFit="1" customWidth="1"/>
    <col min="8145" max="8145" width="52.85546875" customWidth="1"/>
    <col min="8146" max="8146" width="6.7109375" customWidth="1"/>
    <col min="8147" max="8147" width="5.5703125" customWidth="1"/>
    <col min="8148" max="8148" width="9.140625" customWidth="1"/>
    <col min="8149" max="8149" width="8.85546875" customWidth="1"/>
    <col min="8150" max="8150" width="8.7109375" customWidth="1"/>
    <col min="8151" max="8151" width="9" customWidth="1"/>
    <col min="8152" max="8152" width="9.140625" customWidth="1"/>
    <col min="8153" max="8153" width="9.28515625" customWidth="1"/>
    <col min="8154" max="8154" width="10" customWidth="1"/>
    <col min="8155" max="8155" width="11" customWidth="1"/>
    <col min="8400" max="8400" width="3.7109375" bestFit="1" customWidth="1"/>
    <col min="8401" max="8401" width="52.85546875" customWidth="1"/>
    <col min="8402" max="8402" width="6.7109375" customWidth="1"/>
    <col min="8403" max="8403" width="5.5703125" customWidth="1"/>
    <col min="8404" max="8404" width="9.140625" customWidth="1"/>
    <col min="8405" max="8405" width="8.85546875" customWidth="1"/>
    <col min="8406" max="8406" width="8.7109375" customWidth="1"/>
    <col min="8407" max="8407" width="9" customWidth="1"/>
    <col min="8408" max="8408" width="9.140625" customWidth="1"/>
    <col min="8409" max="8409" width="9.28515625" customWidth="1"/>
    <col min="8410" max="8410" width="10" customWidth="1"/>
    <col min="8411" max="8411" width="11" customWidth="1"/>
    <col min="8656" max="8656" width="3.7109375" bestFit="1" customWidth="1"/>
    <col min="8657" max="8657" width="52.85546875" customWidth="1"/>
    <col min="8658" max="8658" width="6.7109375" customWidth="1"/>
    <col min="8659" max="8659" width="5.5703125" customWidth="1"/>
    <col min="8660" max="8660" width="9.140625" customWidth="1"/>
    <col min="8661" max="8661" width="8.85546875" customWidth="1"/>
    <col min="8662" max="8662" width="8.7109375" customWidth="1"/>
    <col min="8663" max="8663" width="9" customWidth="1"/>
    <col min="8664" max="8664" width="9.140625" customWidth="1"/>
    <col min="8665" max="8665" width="9.28515625" customWidth="1"/>
    <col min="8666" max="8666" width="10" customWidth="1"/>
    <col min="8667" max="8667" width="11" customWidth="1"/>
    <col min="8912" max="8912" width="3.7109375" bestFit="1" customWidth="1"/>
    <col min="8913" max="8913" width="52.85546875" customWidth="1"/>
    <col min="8914" max="8914" width="6.7109375" customWidth="1"/>
    <col min="8915" max="8915" width="5.5703125" customWidth="1"/>
    <col min="8916" max="8916" width="9.140625" customWidth="1"/>
    <col min="8917" max="8917" width="8.85546875" customWidth="1"/>
    <col min="8918" max="8918" width="8.7109375" customWidth="1"/>
    <col min="8919" max="8919" width="9" customWidth="1"/>
    <col min="8920" max="8920" width="9.140625" customWidth="1"/>
    <col min="8921" max="8921" width="9.28515625" customWidth="1"/>
    <col min="8922" max="8922" width="10" customWidth="1"/>
    <col min="8923" max="8923" width="11" customWidth="1"/>
    <col min="9168" max="9168" width="3.7109375" bestFit="1" customWidth="1"/>
    <col min="9169" max="9169" width="52.85546875" customWidth="1"/>
    <col min="9170" max="9170" width="6.7109375" customWidth="1"/>
    <col min="9171" max="9171" width="5.5703125" customWidth="1"/>
    <col min="9172" max="9172" width="9.140625" customWidth="1"/>
    <col min="9173" max="9173" width="8.85546875" customWidth="1"/>
    <col min="9174" max="9174" width="8.7109375" customWidth="1"/>
    <col min="9175" max="9175" width="9" customWidth="1"/>
    <col min="9176" max="9176" width="9.140625" customWidth="1"/>
    <col min="9177" max="9177" width="9.28515625" customWidth="1"/>
    <col min="9178" max="9178" width="10" customWidth="1"/>
    <col min="9179" max="9179" width="11" customWidth="1"/>
    <col min="9424" max="9424" width="3.7109375" bestFit="1" customWidth="1"/>
    <col min="9425" max="9425" width="52.85546875" customWidth="1"/>
    <col min="9426" max="9426" width="6.7109375" customWidth="1"/>
    <col min="9427" max="9427" width="5.5703125" customWidth="1"/>
    <col min="9428" max="9428" width="9.140625" customWidth="1"/>
    <col min="9429" max="9429" width="8.85546875" customWidth="1"/>
    <col min="9430" max="9430" width="8.7109375" customWidth="1"/>
    <col min="9431" max="9431" width="9" customWidth="1"/>
    <col min="9432" max="9432" width="9.140625" customWidth="1"/>
    <col min="9433" max="9433" width="9.28515625" customWidth="1"/>
    <col min="9434" max="9434" width="10" customWidth="1"/>
    <col min="9435" max="9435" width="11" customWidth="1"/>
    <col min="9680" max="9680" width="3.7109375" bestFit="1" customWidth="1"/>
    <col min="9681" max="9681" width="52.85546875" customWidth="1"/>
    <col min="9682" max="9682" width="6.7109375" customWidth="1"/>
    <col min="9683" max="9683" width="5.5703125" customWidth="1"/>
    <col min="9684" max="9684" width="9.140625" customWidth="1"/>
    <col min="9685" max="9685" width="8.85546875" customWidth="1"/>
    <col min="9686" max="9686" width="8.7109375" customWidth="1"/>
    <col min="9687" max="9687" width="9" customWidth="1"/>
    <col min="9688" max="9688" width="9.140625" customWidth="1"/>
    <col min="9689" max="9689" width="9.28515625" customWidth="1"/>
    <col min="9690" max="9690" width="10" customWidth="1"/>
    <col min="9691" max="9691" width="11" customWidth="1"/>
    <col min="9936" max="9936" width="3.7109375" bestFit="1" customWidth="1"/>
    <col min="9937" max="9937" width="52.85546875" customWidth="1"/>
    <col min="9938" max="9938" width="6.7109375" customWidth="1"/>
    <col min="9939" max="9939" width="5.5703125" customWidth="1"/>
    <col min="9940" max="9940" width="9.140625" customWidth="1"/>
    <col min="9941" max="9941" width="8.85546875" customWidth="1"/>
    <col min="9942" max="9942" width="8.7109375" customWidth="1"/>
    <col min="9943" max="9943" width="9" customWidth="1"/>
    <col min="9944" max="9944" width="9.140625" customWidth="1"/>
    <col min="9945" max="9945" width="9.28515625" customWidth="1"/>
    <col min="9946" max="9946" width="10" customWidth="1"/>
    <col min="9947" max="9947" width="11" customWidth="1"/>
    <col min="10192" max="10192" width="3.7109375" bestFit="1" customWidth="1"/>
    <col min="10193" max="10193" width="52.85546875" customWidth="1"/>
    <col min="10194" max="10194" width="6.7109375" customWidth="1"/>
    <col min="10195" max="10195" width="5.5703125" customWidth="1"/>
    <col min="10196" max="10196" width="9.140625" customWidth="1"/>
    <col min="10197" max="10197" width="8.85546875" customWidth="1"/>
    <col min="10198" max="10198" width="8.7109375" customWidth="1"/>
    <col min="10199" max="10199" width="9" customWidth="1"/>
    <col min="10200" max="10200" width="9.140625" customWidth="1"/>
    <col min="10201" max="10201" width="9.28515625" customWidth="1"/>
    <col min="10202" max="10202" width="10" customWidth="1"/>
    <col min="10203" max="10203" width="11" customWidth="1"/>
    <col min="10448" max="10448" width="3.7109375" bestFit="1" customWidth="1"/>
    <col min="10449" max="10449" width="52.85546875" customWidth="1"/>
    <col min="10450" max="10450" width="6.7109375" customWidth="1"/>
    <col min="10451" max="10451" width="5.5703125" customWidth="1"/>
    <col min="10452" max="10452" width="9.140625" customWidth="1"/>
    <col min="10453" max="10453" width="8.85546875" customWidth="1"/>
    <col min="10454" max="10454" width="8.7109375" customWidth="1"/>
    <col min="10455" max="10455" width="9" customWidth="1"/>
    <col min="10456" max="10456" width="9.140625" customWidth="1"/>
    <col min="10457" max="10457" width="9.28515625" customWidth="1"/>
    <col min="10458" max="10458" width="10" customWidth="1"/>
    <col min="10459" max="10459" width="11" customWidth="1"/>
    <col min="10704" max="10704" width="3.7109375" bestFit="1" customWidth="1"/>
    <col min="10705" max="10705" width="52.85546875" customWidth="1"/>
    <col min="10706" max="10706" width="6.7109375" customWidth="1"/>
    <col min="10707" max="10707" width="5.5703125" customWidth="1"/>
    <col min="10708" max="10708" width="9.140625" customWidth="1"/>
    <col min="10709" max="10709" width="8.85546875" customWidth="1"/>
    <col min="10710" max="10710" width="8.7109375" customWidth="1"/>
    <col min="10711" max="10711" width="9" customWidth="1"/>
    <col min="10712" max="10712" width="9.140625" customWidth="1"/>
    <col min="10713" max="10713" width="9.28515625" customWidth="1"/>
    <col min="10714" max="10714" width="10" customWidth="1"/>
    <col min="10715" max="10715" width="11" customWidth="1"/>
    <col min="10960" max="10960" width="3.7109375" bestFit="1" customWidth="1"/>
    <col min="10961" max="10961" width="52.85546875" customWidth="1"/>
    <col min="10962" max="10962" width="6.7109375" customWidth="1"/>
    <col min="10963" max="10963" width="5.5703125" customWidth="1"/>
    <col min="10964" max="10964" width="9.140625" customWidth="1"/>
    <col min="10965" max="10965" width="8.85546875" customWidth="1"/>
    <col min="10966" max="10966" width="8.7109375" customWidth="1"/>
    <col min="10967" max="10967" width="9" customWidth="1"/>
    <col min="10968" max="10968" width="9.140625" customWidth="1"/>
    <col min="10969" max="10969" width="9.28515625" customWidth="1"/>
    <col min="10970" max="10970" width="10" customWidth="1"/>
    <col min="10971" max="10971" width="11" customWidth="1"/>
    <col min="11216" max="11216" width="3.7109375" bestFit="1" customWidth="1"/>
    <col min="11217" max="11217" width="52.85546875" customWidth="1"/>
    <col min="11218" max="11218" width="6.7109375" customWidth="1"/>
    <col min="11219" max="11219" width="5.5703125" customWidth="1"/>
    <col min="11220" max="11220" width="9.140625" customWidth="1"/>
    <col min="11221" max="11221" width="8.85546875" customWidth="1"/>
    <col min="11222" max="11222" width="8.7109375" customWidth="1"/>
    <col min="11223" max="11223" width="9" customWidth="1"/>
    <col min="11224" max="11224" width="9.140625" customWidth="1"/>
    <col min="11225" max="11225" width="9.28515625" customWidth="1"/>
    <col min="11226" max="11226" width="10" customWidth="1"/>
    <col min="11227" max="11227" width="11" customWidth="1"/>
    <col min="11472" max="11472" width="3.7109375" bestFit="1" customWidth="1"/>
    <col min="11473" max="11473" width="52.85546875" customWidth="1"/>
    <col min="11474" max="11474" width="6.7109375" customWidth="1"/>
    <col min="11475" max="11475" width="5.5703125" customWidth="1"/>
    <col min="11476" max="11476" width="9.140625" customWidth="1"/>
    <col min="11477" max="11477" width="8.85546875" customWidth="1"/>
    <col min="11478" max="11478" width="8.7109375" customWidth="1"/>
    <col min="11479" max="11479" width="9" customWidth="1"/>
    <col min="11480" max="11480" width="9.140625" customWidth="1"/>
    <col min="11481" max="11481" width="9.28515625" customWidth="1"/>
    <col min="11482" max="11482" width="10" customWidth="1"/>
    <col min="11483" max="11483" width="11" customWidth="1"/>
    <col min="11728" max="11728" width="3.7109375" bestFit="1" customWidth="1"/>
    <col min="11729" max="11729" width="52.85546875" customWidth="1"/>
    <col min="11730" max="11730" width="6.7109375" customWidth="1"/>
    <col min="11731" max="11731" width="5.5703125" customWidth="1"/>
    <col min="11732" max="11732" width="9.140625" customWidth="1"/>
    <col min="11733" max="11733" width="8.85546875" customWidth="1"/>
    <col min="11734" max="11734" width="8.7109375" customWidth="1"/>
    <col min="11735" max="11735" width="9" customWidth="1"/>
    <col min="11736" max="11736" width="9.140625" customWidth="1"/>
    <col min="11737" max="11737" width="9.28515625" customWidth="1"/>
    <col min="11738" max="11738" width="10" customWidth="1"/>
    <col min="11739" max="11739" width="11" customWidth="1"/>
    <col min="11984" max="11984" width="3.7109375" bestFit="1" customWidth="1"/>
    <col min="11985" max="11985" width="52.85546875" customWidth="1"/>
    <col min="11986" max="11986" width="6.7109375" customWidth="1"/>
    <col min="11987" max="11987" width="5.5703125" customWidth="1"/>
    <col min="11988" max="11988" width="9.140625" customWidth="1"/>
    <col min="11989" max="11989" width="8.85546875" customWidth="1"/>
    <col min="11990" max="11990" width="8.7109375" customWidth="1"/>
    <col min="11991" max="11991" width="9" customWidth="1"/>
    <col min="11992" max="11992" width="9.140625" customWidth="1"/>
    <col min="11993" max="11993" width="9.28515625" customWidth="1"/>
    <col min="11994" max="11994" width="10" customWidth="1"/>
    <col min="11995" max="11995" width="11" customWidth="1"/>
    <col min="12240" max="12240" width="3.7109375" bestFit="1" customWidth="1"/>
    <col min="12241" max="12241" width="52.85546875" customWidth="1"/>
    <col min="12242" max="12242" width="6.7109375" customWidth="1"/>
    <col min="12243" max="12243" width="5.5703125" customWidth="1"/>
    <col min="12244" max="12244" width="9.140625" customWidth="1"/>
    <col min="12245" max="12245" width="8.85546875" customWidth="1"/>
    <col min="12246" max="12246" width="8.7109375" customWidth="1"/>
    <col min="12247" max="12247" width="9" customWidth="1"/>
    <col min="12248" max="12248" width="9.140625" customWidth="1"/>
    <col min="12249" max="12249" width="9.28515625" customWidth="1"/>
    <col min="12250" max="12250" width="10" customWidth="1"/>
    <col min="12251" max="12251" width="11" customWidth="1"/>
    <col min="12496" max="12496" width="3.7109375" bestFit="1" customWidth="1"/>
    <col min="12497" max="12497" width="52.85546875" customWidth="1"/>
    <col min="12498" max="12498" width="6.7109375" customWidth="1"/>
    <col min="12499" max="12499" width="5.5703125" customWidth="1"/>
    <col min="12500" max="12500" width="9.140625" customWidth="1"/>
    <col min="12501" max="12501" width="8.85546875" customWidth="1"/>
    <col min="12502" max="12502" width="8.7109375" customWidth="1"/>
    <col min="12503" max="12503" width="9" customWidth="1"/>
    <col min="12504" max="12504" width="9.140625" customWidth="1"/>
    <col min="12505" max="12505" width="9.28515625" customWidth="1"/>
    <col min="12506" max="12506" width="10" customWidth="1"/>
    <col min="12507" max="12507" width="11" customWidth="1"/>
    <col min="12752" max="12752" width="3.7109375" bestFit="1" customWidth="1"/>
    <col min="12753" max="12753" width="52.85546875" customWidth="1"/>
    <col min="12754" max="12754" width="6.7109375" customWidth="1"/>
    <col min="12755" max="12755" width="5.5703125" customWidth="1"/>
    <col min="12756" max="12756" width="9.140625" customWidth="1"/>
    <col min="12757" max="12757" width="8.85546875" customWidth="1"/>
    <col min="12758" max="12758" width="8.7109375" customWidth="1"/>
    <col min="12759" max="12759" width="9" customWidth="1"/>
    <col min="12760" max="12760" width="9.140625" customWidth="1"/>
    <col min="12761" max="12761" width="9.28515625" customWidth="1"/>
    <col min="12762" max="12762" width="10" customWidth="1"/>
    <col min="12763" max="12763" width="11" customWidth="1"/>
    <col min="13008" max="13008" width="3.7109375" bestFit="1" customWidth="1"/>
    <col min="13009" max="13009" width="52.85546875" customWidth="1"/>
    <col min="13010" max="13010" width="6.7109375" customWidth="1"/>
    <col min="13011" max="13011" width="5.5703125" customWidth="1"/>
    <col min="13012" max="13012" width="9.140625" customWidth="1"/>
    <col min="13013" max="13013" width="8.85546875" customWidth="1"/>
    <col min="13014" max="13014" width="8.7109375" customWidth="1"/>
    <col min="13015" max="13015" width="9" customWidth="1"/>
    <col min="13016" max="13016" width="9.140625" customWidth="1"/>
    <col min="13017" max="13017" width="9.28515625" customWidth="1"/>
    <col min="13018" max="13018" width="10" customWidth="1"/>
    <col min="13019" max="13019" width="11" customWidth="1"/>
    <col min="13264" max="13264" width="3.7109375" bestFit="1" customWidth="1"/>
    <col min="13265" max="13265" width="52.85546875" customWidth="1"/>
    <col min="13266" max="13266" width="6.7109375" customWidth="1"/>
    <col min="13267" max="13267" width="5.5703125" customWidth="1"/>
    <col min="13268" max="13268" width="9.140625" customWidth="1"/>
    <col min="13269" max="13269" width="8.85546875" customWidth="1"/>
    <col min="13270" max="13270" width="8.7109375" customWidth="1"/>
    <col min="13271" max="13271" width="9" customWidth="1"/>
    <col min="13272" max="13272" width="9.140625" customWidth="1"/>
    <col min="13273" max="13273" width="9.28515625" customWidth="1"/>
    <col min="13274" max="13274" width="10" customWidth="1"/>
    <col min="13275" max="13275" width="11" customWidth="1"/>
    <col min="13520" max="13520" width="3.7109375" bestFit="1" customWidth="1"/>
    <col min="13521" max="13521" width="52.85546875" customWidth="1"/>
    <col min="13522" max="13522" width="6.7109375" customWidth="1"/>
    <col min="13523" max="13523" width="5.5703125" customWidth="1"/>
    <col min="13524" max="13524" width="9.140625" customWidth="1"/>
    <col min="13525" max="13525" width="8.85546875" customWidth="1"/>
    <col min="13526" max="13526" width="8.7109375" customWidth="1"/>
    <col min="13527" max="13527" width="9" customWidth="1"/>
    <col min="13528" max="13528" width="9.140625" customWidth="1"/>
    <col min="13529" max="13529" width="9.28515625" customWidth="1"/>
    <col min="13530" max="13530" width="10" customWidth="1"/>
    <col min="13531" max="13531" width="11" customWidth="1"/>
    <col min="13776" max="13776" width="3.7109375" bestFit="1" customWidth="1"/>
    <col min="13777" max="13777" width="52.85546875" customWidth="1"/>
    <col min="13778" max="13778" width="6.7109375" customWidth="1"/>
    <col min="13779" max="13779" width="5.5703125" customWidth="1"/>
    <col min="13780" max="13780" width="9.140625" customWidth="1"/>
    <col min="13781" max="13781" width="8.85546875" customWidth="1"/>
    <col min="13782" max="13782" width="8.7109375" customWidth="1"/>
    <col min="13783" max="13783" width="9" customWidth="1"/>
    <col min="13784" max="13784" width="9.140625" customWidth="1"/>
    <col min="13785" max="13785" width="9.28515625" customWidth="1"/>
    <col min="13786" max="13786" width="10" customWidth="1"/>
    <col min="13787" max="13787" width="11" customWidth="1"/>
    <col min="14032" max="14032" width="3.7109375" bestFit="1" customWidth="1"/>
    <col min="14033" max="14033" width="52.85546875" customWidth="1"/>
    <col min="14034" max="14034" width="6.7109375" customWidth="1"/>
    <col min="14035" max="14035" width="5.5703125" customWidth="1"/>
    <col min="14036" max="14036" width="9.140625" customWidth="1"/>
    <col min="14037" max="14037" width="8.85546875" customWidth="1"/>
    <col min="14038" max="14038" width="8.7109375" customWidth="1"/>
    <col min="14039" max="14039" width="9" customWidth="1"/>
    <col min="14040" max="14040" width="9.140625" customWidth="1"/>
    <col min="14041" max="14041" width="9.28515625" customWidth="1"/>
    <col min="14042" max="14042" width="10" customWidth="1"/>
    <col min="14043" max="14043" width="11" customWidth="1"/>
    <col min="14288" max="14288" width="3.7109375" bestFit="1" customWidth="1"/>
    <col min="14289" max="14289" width="52.85546875" customWidth="1"/>
    <col min="14290" max="14290" width="6.7109375" customWidth="1"/>
    <col min="14291" max="14291" width="5.5703125" customWidth="1"/>
    <col min="14292" max="14292" width="9.140625" customWidth="1"/>
    <col min="14293" max="14293" width="8.85546875" customWidth="1"/>
    <col min="14294" max="14294" width="8.7109375" customWidth="1"/>
    <col min="14295" max="14295" width="9" customWidth="1"/>
    <col min="14296" max="14296" width="9.140625" customWidth="1"/>
    <col min="14297" max="14297" width="9.28515625" customWidth="1"/>
    <col min="14298" max="14298" width="10" customWidth="1"/>
    <col min="14299" max="14299" width="11" customWidth="1"/>
    <col min="14544" max="14544" width="3.7109375" bestFit="1" customWidth="1"/>
    <col min="14545" max="14545" width="52.85546875" customWidth="1"/>
    <col min="14546" max="14546" width="6.7109375" customWidth="1"/>
    <col min="14547" max="14547" width="5.5703125" customWidth="1"/>
    <col min="14548" max="14548" width="9.140625" customWidth="1"/>
    <col min="14549" max="14549" width="8.85546875" customWidth="1"/>
    <col min="14550" max="14550" width="8.7109375" customWidth="1"/>
    <col min="14551" max="14551" width="9" customWidth="1"/>
    <col min="14552" max="14552" width="9.140625" customWidth="1"/>
    <col min="14553" max="14553" width="9.28515625" customWidth="1"/>
    <col min="14554" max="14554" width="10" customWidth="1"/>
    <col min="14555" max="14555" width="11" customWidth="1"/>
    <col min="14800" max="14800" width="3.7109375" bestFit="1" customWidth="1"/>
    <col min="14801" max="14801" width="52.85546875" customWidth="1"/>
    <col min="14802" max="14802" width="6.7109375" customWidth="1"/>
    <col min="14803" max="14803" width="5.5703125" customWidth="1"/>
    <col min="14804" max="14804" width="9.140625" customWidth="1"/>
    <col min="14805" max="14805" width="8.85546875" customWidth="1"/>
    <col min="14806" max="14806" width="8.7109375" customWidth="1"/>
    <col min="14807" max="14807" width="9" customWidth="1"/>
    <col min="14808" max="14808" width="9.140625" customWidth="1"/>
    <col min="14809" max="14809" width="9.28515625" customWidth="1"/>
    <col min="14810" max="14810" width="10" customWidth="1"/>
    <col min="14811" max="14811" width="11" customWidth="1"/>
    <col min="15056" max="15056" width="3.7109375" bestFit="1" customWidth="1"/>
    <col min="15057" max="15057" width="52.85546875" customWidth="1"/>
    <col min="15058" max="15058" width="6.7109375" customWidth="1"/>
    <col min="15059" max="15059" width="5.5703125" customWidth="1"/>
    <col min="15060" max="15060" width="9.140625" customWidth="1"/>
    <col min="15061" max="15061" width="8.85546875" customWidth="1"/>
    <col min="15062" max="15062" width="8.7109375" customWidth="1"/>
    <col min="15063" max="15063" width="9" customWidth="1"/>
    <col min="15064" max="15064" width="9.140625" customWidth="1"/>
    <col min="15065" max="15065" width="9.28515625" customWidth="1"/>
    <col min="15066" max="15066" width="10" customWidth="1"/>
    <col min="15067" max="15067" width="11" customWidth="1"/>
    <col min="15312" max="15312" width="3.7109375" bestFit="1" customWidth="1"/>
    <col min="15313" max="15313" width="52.85546875" customWidth="1"/>
    <col min="15314" max="15314" width="6.7109375" customWidth="1"/>
    <col min="15315" max="15315" width="5.5703125" customWidth="1"/>
    <col min="15316" max="15316" width="9.140625" customWidth="1"/>
    <col min="15317" max="15317" width="8.85546875" customWidth="1"/>
    <col min="15318" max="15318" width="8.7109375" customWidth="1"/>
    <col min="15319" max="15319" width="9" customWidth="1"/>
    <col min="15320" max="15320" width="9.140625" customWidth="1"/>
    <col min="15321" max="15321" width="9.28515625" customWidth="1"/>
    <col min="15322" max="15322" width="10" customWidth="1"/>
    <col min="15323" max="15323" width="11" customWidth="1"/>
    <col min="15568" max="15568" width="3.7109375" bestFit="1" customWidth="1"/>
    <col min="15569" max="15569" width="52.85546875" customWidth="1"/>
    <col min="15570" max="15570" width="6.7109375" customWidth="1"/>
    <col min="15571" max="15571" width="5.5703125" customWidth="1"/>
    <col min="15572" max="15572" width="9.140625" customWidth="1"/>
    <col min="15573" max="15573" width="8.85546875" customWidth="1"/>
    <col min="15574" max="15574" width="8.7109375" customWidth="1"/>
    <col min="15575" max="15575" width="9" customWidth="1"/>
    <col min="15576" max="15576" width="9.140625" customWidth="1"/>
    <col min="15577" max="15577" width="9.28515625" customWidth="1"/>
    <col min="15578" max="15578" width="10" customWidth="1"/>
    <col min="15579" max="15579" width="11" customWidth="1"/>
    <col min="15824" max="15824" width="3.7109375" bestFit="1" customWidth="1"/>
    <col min="15825" max="15825" width="52.85546875" customWidth="1"/>
    <col min="15826" max="15826" width="6.7109375" customWidth="1"/>
    <col min="15827" max="15827" width="5.5703125" customWidth="1"/>
    <col min="15828" max="15828" width="9.140625" customWidth="1"/>
    <col min="15829" max="15829" width="8.85546875" customWidth="1"/>
    <col min="15830" max="15830" width="8.7109375" customWidth="1"/>
    <col min="15831" max="15831" width="9" customWidth="1"/>
    <col min="15832" max="15832" width="9.140625" customWidth="1"/>
    <col min="15833" max="15833" width="9.28515625" customWidth="1"/>
    <col min="15834" max="15834" width="10" customWidth="1"/>
    <col min="15835" max="15835" width="11" customWidth="1"/>
    <col min="16080" max="16080" width="3.7109375" bestFit="1" customWidth="1"/>
    <col min="16081" max="16081" width="52.85546875" customWidth="1"/>
    <col min="16082" max="16082" width="6.7109375" customWidth="1"/>
    <col min="16083" max="16083" width="5.5703125" customWidth="1"/>
    <col min="16084" max="16084" width="9.140625" customWidth="1"/>
    <col min="16085" max="16085" width="8.85546875" customWidth="1"/>
    <col min="16086" max="16086" width="8.7109375" customWidth="1"/>
    <col min="16087" max="16087" width="9" customWidth="1"/>
    <col min="16088" max="16088" width="9.140625" customWidth="1"/>
    <col min="16089" max="16089" width="9.28515625" customWidth="1"/>
    <col min="16090" max="16090" width="10" customWidth="1"/>
    <col min="16091" max="16091" width="11" customWidth="1"/>
  </cols>
  <sheetData>
    <row r="1" spans="1:12" ht="21" customHeight="1" thickBot="1" x14ac:dyDescent="0.25">
      <c r="A1" s="576" t="s">
        <v>304</v>
      </c>
      <c r="B1" s="577"/>
      <c r="C1" s="577"/>
      <c r="D1" s="577"/>
      <c r="E1" s="577"/>
      <c r="F1" s="577"/>
      <c r="G1" s="577"/>
      <c r="H1" s="577"/>
      <c r="I1" s="577"/>
      <c r="J1" s="577"/>
      <c r="K1" s="577"/>
      <c r="L1" s="578"/>
    </row>
    <row r="2" spans="1:12" ht="12.95" customHeight="1" x14ac:dyDescent="0.2">
      <c r="A2" s="230" t="s">
        <v>38</v>
      </c>
      <c r="B2" s="674" t="s">
        <v>305</v>
      </c>
      <c r="C2" s="579"/>
      <c r="D2" s="579"/>
      <c r="E2" s="240" t="s">
        <v>273</v>
      </c>
      <c r="F2" s="675"/>
      <c r="G2" s="676"/>
      <c r="H2" s="676"/>
      <c r="I2" s="676"/>
      <c r="J2" s="240" t="s">
        <v>274</v>
      </c>
      <c r="K2" s="579" t="s">
        <v>306</v>
      </c>
      <c r="L2" s="580"/>
    </row>
    <row r="3" spans="1:12" ht="12.95" customHeight="1" x14ac:dyDescent="0.2">
      <c r="A3" s="231" t="s">
        <v>40</v>
      </c>
      <c r="B3" s="673" t="s">
        <v>307</v>
      </c>
      <c r="C3" s="585"/>
      <c r="D3" s="585"/>
      <c r="E3" s="171" t="s">
        <v>273</v>
      </c>
      <c r="F3" s="587"/>
      <c r="G3" s="591"/>
      <c r="H3" s="591"/>
      <c r="I3" s="591"/>
      <c r="J3" s="171" t="s">
        <v>274</v>
      </c>
      <c r="K3" s="585" t="s">
        <v>308</v>
      </c>
      <c r="L3" s="586"/>
    </row>
    <row r="4" spans="1:12" ht="12.95" customHeight="1" x14ac:dyDescent="0.2">
      <c r="A4" s="232" t="s">
        <v>43</v>
      </c>
      <c r="B4" s="665" t="s">
        <v>309</v>
      </c>
      <c r="C4" s="583"/>
      <c r="D4" s="583"/>
      <c r="E4" s="172" t="s">
        <v>273</v>
      </c>
      <c r="F4" s="588"/>
      <c r="G4" s="672"/>
      <c r="H4" s="672"/>
      <c r="I4" s="672"/>
      <c r="J4" s="172" t="s">
        <v>274</v>
      </c>
      <c r="K4" s="583" t="s">
        <v>310</v>
      </c>
      <c r="L4" s="584"/>
    </row>
    <row r="5" spans="1:12" x14ac:dyDescent="0.2">
      <c r="A5" s="186" t="s">
        <v>46</v>
      </c>
      <c r="B5" s="673"/>
      <c r="C5" s="585"/>
      <c r="D5" s="585"/>
      <c r="E5" s="171" t="s">
        <v>273</v>
      </c>
      <c r="F5" s="587"/>
      <c r="G5" s="581"/>
      <c r="H5" s="581"/>
      <c r="I5" s="581"/>
      <c r="J5" s="171" t="s">
        <v>274</v>
      </c>
      <c r="K5" s="585"/>
      <c r="L5" s="586"/>
    </row>
    <row r="6" spans="1:12" x14ac:dyDescent="0.2">
      <c r="A6" s="187" t="s">
        <v>80</v>
      </c>
      <c r="B6" s="665"/>
      <c r="C6" s="583"/>
      <c r="D6" s="583"/>
      <c r="E6" s="172" t="s">
        <v>273</v>
      </c>
      <c r="F6" s="588"/>
      <c r="G6" s="583"/>
      <c r="H6" s="583"/>
      <c r="I6" s="583"/>
      <c r="J6" s="172" t="s">
        <v>274</v>
      </c>
      <c r="K6" s="583"/>
      <c r="L6" s="584"/>
    </row>
    <row r="7" spans="1:12" ht="13.5" thickBot="1" x14ac:dyDescent="0.25">
      <c r="A7" s="188" t="s">
        <v>82</v>
      </c>
      <c r="B7" s="666"/>
      <c r="C7" s="667"/>
      <c r="D7" s="667"/>
      <c r="E7" s="173" t="s">
        <v>273</v>
      </c>
      <c r="F7" s="668"/>
      <c r="G7" s="669"/>
      <c r="H7" s="669"/>
      <c r="I7" s="670"/>
      <c r="J7" s="174" t="s">
        <v>274</v>
      </c>
      <c r="K7" s="667"/>
      <c r="L7" s="671"/>
    </row>
    <row r="8" spans="1:12" x14ac:dyDescent="0.2">
      <c r="A8" s="596" t="s">
        <v>279</v>
      </c>
      <c r="B8" s="599" t="s">
        <v>311</v>
      </c>
      <c r="C8" s="602" t="s">
        <v>281</v>
      </c>
      <c r="D8" s="605" t="s">
        <v>282</v>
      </c>
      <c r="E8" s="608" t="s">
        <v>283</v>
      </c>
      <c r="F8" s="609"/>
      <c r="G8" s="609"/>
      <c r="H8" s="609"/>
      <c r="I8" s="609"/>
      <c r="J8" s="610"/>
      <c r="K8" s="611" t="s">
        <v>284</v>
      </c>
      <c r="L8" s="612"/>
    </row>
    <row r="9" spans="1:12" ht="13.5" x14ac:dyDescent="0.2">
      <c r="A9" s="597"/>
      <c r="B9" s="661"/>
      <c r="C9" s="603"/>
      <c r="D9" s="606"/>
      <c r="E9" s="175" t="s">
        <v>38</v>
      </c>
      <c r="F9" s="176" t="s">
        <v>40</v>
      </c>
      <c r="G9" s="176" t="s">
        <v>43</v>
      </c>
      <c r="H9" s="176" t="s">
        <v>46</v>
      </c>
      <c r="I9" s="176" t="s">
        <v>80</v>
      </c>
      <c r="J9" s="177" t="s">
        <v>82</v>
      </c>
      <c r="K9" s="613" t="s">
        <v>285</v>
      </c>
      <c r="L9" s="615" t="s">
        <v>286</v>
      </c>
    </row>
    <row r="10" spans="1:12" ht="20.25" customHeight="1" thickBot="1" x14ac:dyDescent="0.25">
      <c r="A10" s="660"/>
      <c r="B10" s="662"/>
      <c r="C10" s="663"/>
      <c r="D10" s="664"/>
      <c r="E10" s="194" t="s">
        <v>287</v>
      </c>
      <c r="F10" s="195" t="s">
        <v>287</v>
      </c>
      <c r="G10" s="195" t="s">
        <v>287</v>
      </c>
      <c r="H10" s="195" t="s">
        <v>287</v>
      </c>
      <c r="I10" s="195" t="s">
        <v>287</v>
      </c>
      <c r="J10" s="196" t="s">
        <v>287</v>
      </c>
      <c r="K10" s="658"/>
      <c r="L10" s="659"/>
    </row>
    <row r="11" spans="1:12" s="179" customFormat="1" ht="13.5" thickBot="1" x14ac:dyDescent="0.25">
      <c r="A11" s="255">
        <v>1</v>
      </c>
      <c r="B11" s="384" t="s">
        <v>312</v>
      </c>
      <c r="C11" s="363" t="s">
        <v>313</v>
      </c>
      <c r="D11" s="364">
        <v>12</v>
      </c>
      <c r="E11" s="393">
        <v>8.09</v>
      </c>
      <c r="F11" s="393">
        <v>7.55</v>
      </c>
      <c r="G11" s="394">
        <v>8.14</v>
      </c>
      <c r="H11" s="394">
        <v>6.9</v>
      </c>
      <c r="I11" s="394">
        <v>8.73</v>
      </c>
      <c r="J11" s="394">
        <v>8.4</v>
      </c>
      <c r="K11" s="259">
        <f>AVERAGE(E11:J11)</f>
        <v>7.9683333333333328</v>
      </c>
      <c r="L11" s="260">
        <f>K11*D11</f>
        <v>95.61999999999999</v>
      </c>
    </row>
    <row r="12" spans="1:12" s="179" customFormat="1" ht="63.75" x14ac:dyDescent="0.2">
      <c r="A12" s="254">
        <v>2</v>
      </c>
      <c r="B12" s="385" t="s">
        <v>314</v>
      </c>
      <c r="C12" s="362" t="s">
        <v>315</v>
      </c>
      <c r="D12" s="365">
        <v>3</v>
      </c>
      <c r="E12" s="396">
        <v>15</v>
      </c>
      <c r="F12" s="396">
        <v>17</v>
      </c>
      <c r="G12" s="398">
        <v>18.25</v>
      </c>
      <c r="H12" s="398">
        <v>18.809999999999999</v>
      </c>
      <c r="I12" s="398">
        <v>24.12</v>
      </c>
      <c r="J12" s="398">
        <v>21.58</v>
      </c>
      <c r="K12" s="259">
        <f>AVERAGE(E12:J12)</f>
        <v>19.126666666666669</v>
      </c>
      <c r="L12" s="261">
        <f>K12*D12</f>
        <v>57.38000000000001</v>
      </c>
    </row>
    <row r="13" spans="1:12" s="179" customFormat="1" ht="51" x14ac:dyDescent="0.2">
      <c r="A13" s="254">
        <v>3</v>
      </c>
      <c r="B13" s="386" t="s">
        <v>316</v>
      </c>
      <c r="C13" s="362" t="s">
        <v>315</v>
      </c>
      <c r="D13" s="365">
        <v>3</v>
      </c>
      <c r="E13" s="396">
        <v>13.15</v>
      </c>
      <c r="F13" s="396">
        <v>12.65</v>
      </c>
      <c r="G13" s="398">
        <v>13.11</v>
      </c>
      <c r="H13" s="398">
        <v>25.93</v>
      </c>
      <c r="I13" s="398">
        <v>17.96</v>
      </c>
      <c r="J13" s="398">
        <v>25.38</v>
      </c>
      <c r="K13" s="262">
        <f>AVERAGE(E13:J13)</f>
        <v>18.03</v>
      </c>
      <c r="L13" s="261">
        <f>K13*D13</f>
        <v>54.09</v>
      </c>
    </row>
    <row r="14" spans="1:12" s="179" customFormat="1" ht="61.5" customHeight="1" x14ac:dyDescent="0.2">
      <c r="A14" s="254">
        <v>4</v>
      </c>
      <c r="B14" s="386" t="s">
        <v>317</v>
      </c>
      <c r="C14" s="362" t="s">
        <v>315</v>
      </c>
      <c r="D14" s="365">
        <v>3</v>
      </c>
      <c r="E14" s="396">
        <v>20</v>
      </c>
      <c r="F14" s="396">
        <v>28.9</v>
      </c>
      <c r="G14" s="398">
        <v>29</v>
      </c>
      <c r="H14" s="398">
        <v>27.2</v>
      </c>
      <c r="I14" s="398">
        <v>35.9</v>
      </c>
      <c r="J14" s="398">
        <v>34.53</v>
      </c>
      <c r="K14" s="262">
        <f t="shared" ref="K14:K30" si="0">AVERAGE(E14:J14)</f>
        <v>29.254999999999999</v>
      </c>
      <c r="L14" s="261">
        <f>K14*D14</f>
        <v>87.765000000000001</v>
      </c>
    </row>
    <row r="15" spans="1:12" s="179" customFormat="1" ht="48" customHeight="1" x14ac:dyDescent="0.2">
      <c r="A15" s="254">
        <v>5</v>
      </c>
      <c r="B15" s="386" t="s">
        <v>318</v>
      </c>
      <c r="C15" s="414" t="s">
        <v>319</v>
      </c>
      <c r="D15" s="365">
        <v>1</v>
      </c>
      <c r="E15" s="396">
        <v>2</v>
      </c>
      <c r="F15" s="396">
        <v>2.85</v>
      </c>
      <c r="G15" s="398">
        <v>2.2999999999999998</v>
      </c>
      <c r="H15" s="398">
        <v>2.31</v>
      </c>
      <c r="I15" s="398">
        <v>1.89</v>
      </c>
      <c r="J15" s="398">
        <v>2.99</v>
      </c>
      <c r="K15" s="262">
        <f t="shared" si="0"/>
        <v>2.39</v>
      </c>
      <c r="L15" s="261">
        <f t="shared" ref="L15:L30" si="1">K15*D15</f>
        <v>2.39</v>
      </c>
    </row>
    <row r="16" spans="1:12" s="179" customFormat="1" ht="63.75" x14ac:dyDescent="0.2">
      <c r="A16" s="255">
        <v>6</v>
      </c>
      <c r="B16" s="386" t="s">
        <v>320</v>
      </c>
      <c r="C16" s="362" t="s">
        <v>53</v>
      </c>
      <c r="D16" s="365">
        <v>16</v>
      </c>
      <c r="E16" s="396">
        <v>10</v>
      </c>
      <c r="F16" s="396">
        <v>8.4</v>
      </c>
      <c r="G16" s="398">
        <v>8.9</v>
      </c>
      <c r="H16" s="398">
        <v>16.489999999999998</v>
      </c>
      <c r="I16" s="398">
        <v>14.76</v>
      </c>
      <c r="J16" s="398">
        <v>15</v>
      </c>
      <c r="K16" s="262">
        <f>AVERAGE(E16:J16)</f>
        <v>12.258333333333331</v>
      </c>
      <c r="L16" s="261">
        <f>K16*D16</f>
        <v>196.1333333333333</v>
      </c>
    </row>
    <row r="17" spans="1:13" s="179" customFormat="1" ht="75.75" customHeight="1" x14ac:dyDescent="0.2">
      <c r="A17" s="254">
        <v>7</v>
      </c>
      <c r="B17" s="386" t="s">
        <v>321</v>
      </c>
      <c r="C17" s="362" t="s">
        <v>53</v>
      </c>
      <c r="D17" s="365">
        <v>6</v>
      </c>
      <c r="E17" s="396">
        <v>3.9</v>
      </c>
      <c r="F17" s="396">
        <v>3.95</v>
      </c>
      <c r="G17" s="398">
        <v>2.99</v>
      </c>
      <c r="H17" s="398">
        <v>2.99</v>
      </c>
      <c r="I17" s="398">
        <v>3.8</v>
      </c>
      <c r="J17" s="398">
        <v>3.85</v>
      </c>
      <c r="K17" s="262">
        <f t="shared" si="0"/>
        <v>3.58</v>
      </c>
      <c r="L17" s="261">
        <f t="shared" si="1"/>
        <v>21.48</v>
      </c>
    </row>
    <row r="18" spans="1:13" s="179" customFormat="1" ht="51" x14ac:dyDescent="0.2">
      <c r="A18" s="254">
        <v>8</v>
      </c>
      <c r="B18" s="386" t="s">
        <v>322</v>
      </c>
      <c r="C18" s="362" t="s">
        <v>53</v>
      </c>
      <c r="D18" s="365">
        <v>2</v>
      </c>
      <c r="E18" s="396">
        <v>10.93</v>
      </c>
      <c r="F18" s="396">
        <v>7.97</v>
      </c>
      <c r="G18" s="398">
        <v>8.9499999999999993</v>
      </c>
      <c r="H18" s="398">
        <v>8.83</v>
      </c>
      <c r="I18" s="398">
        <v>9.99</v>
      </c>
      <c r="J18" s="398">
        <v>8.84</v>
      </c>
      <c r="K18" s="262">
        <f t="shared" si="0"/>
        <v>9.2516666666666669</v>
      </c>
      <c r="L18" s="261">
        <f t="shared" si="1"/>
        <v>18.503333333333334</v>
      </c>
    </row>
    <row r="19" spans="1:13" s="179" customFormat="1" ht="63.75" customHeight="1" x14ac:dyDescent="0.2">
      <c r="A19" s="254">
        <v>9</v>
      </c>
      <c r="B19" s="386" t="s">
        <v>323</v>
      </c>
      <c r="C19" s="362" t="s">
        <v>53</v>
      </c>
      <c r="D19" s="365">
        <v>12</v>
      </c>
      <c r="E19" s="396">
        <v>12</v>
      </c>
      <c r="F19" s="396">
        <v>13.94</v>
      </c>
      <c r="G19" s="398">
        <v>15.56</v>
      </c>
      <c r="H19" s="398">
        <v>16.190000000000001</v>
      </c>
      <c r="I19" s="398">
        <v>13.85</v>
      </c>
      <c r="J19" s="398">
        <v>12.9</v>
      </c>
      <c r="K19" s="262">
        <f>AVERAGE(E19:J19)</f>
        <v>14.073333333333332</v>
      </c>
      <c r="L19" s="261">
        <f>K19*D19</f>
        <v>168.88</v>
      </c>
    </row>
    <row r="20" spans="1:13" s="179" customFormat="1" ht="35.25" customHeight="1" thickBot="1" x14ac:dyDescent="0.25">
      <c r="A20" s="254">
        <v>10</v>
      </c>
      <c r="B20" s="386" t="s">
        <v>324</v>
      </c>
      <c r="C20" s="362" t="s">
        <v>53</v>
      </c>
      <c r="D20" s="365">
        <v>6</v>
      </c>
      <c r="E20" s="396">
        <v>8.9499999999999993</v>
      </c>
      <c r="F20" s="396">
        <v>13.9</v>
      </c>
      <c r="G20" s="398">
        <v>11.25</v>
      </c>
      <c r="H20" s="398">
        <v>10.9</v>
      </c>
      <c r="I20" s="398">
        <v>8.02</v>
      </c>
      <c r="J20" s="398">
        <v>6.49</v>
      </c>
      <c r="K20" s="262">
        <f t="shared" si="0"/>
        <v>9.918333333333333</v>
      </c>
      <c r="L20" s="261">
        <f>K20*D20</f>
        <v>59.51</v>
      </c>
    </row>
    <row r="21" spans="1:13" s="179" customFormat="1" ht="60" customHeight="1" x14ac:dyDescent="0.2">
      <c r="A21" s="255">
        <v>11</v>
      </c>
      <c r="B21" s="269" t="s">
        <v>325</v>
      </c>
      <c r="C21" s="415" t="s">
        <v>326</v>
      </c>
      <c r="D21" s="418">
        <v>3</v>
      </c>
      <c r="E21" s="351">
        <v>156.6</v>
      </c>
      <c r="F21" s="351">
        <v>154.62</v>
      </c>
      <c r="G21" s="351">
        <v>162.02000000000001</v>
      </c>
      <c r="H21" s="416"/>
      <c r="I21" s="416"/>
      <c r="J21" s="416"/>
      <c r="K21" s="262">
        <f t="shared" si="0"/>
        <v>157.74666666666667</v>
      </c>
      <c r="L21" s="261">
        <f t="shared" si="1"/>
        <v>473.24</v>
      </c>
    </row>
    <row r="22" spans="1:13" s="179" customFormat="1" ht="84" customHeight="1" x14ac:dyDescent="0.2">
      <c r="A22" s="254">
        <v>12</v>
      </c>
      <c r="B22" s="269" t="s">
        <v>327</v>
      </c>
      <c r="C22" s="415" t="s">
        <v>328</v>
      </c>
      <c r="D22" s="418">
        <v>4</v>
      </c>
      <c r="E22" s="351">
        <v>165</v>
      </c>
      <c r="F22" s="351">
        <v>133.9</v>
      </c>
      <c r="G22" s="351">
        <v>139.9</v>
      </c>
      <c r="H22" s="417"/>
      <c r="I22" s="417"/>
      <c r="J22" s="417"/>
      <c r="K22" s="262">
        <f t="shared" si="0"/>
        <v>146.26666666666665</v>
      </c>
      <c r="L22" s="261">
        <f t="shared" si="1"/>
        <v>585.06666666666661</v>
      </c>
      <c r="M22" s="29"/>
    </row>
    <row r="23" spans="1:13" s="179" customFormat="1" ht="63" customHeight="1" x14ac:dyDescent="0.2">
      <c r="A23" s="254">
        <v>13</v>
      </c>
      <c r="B23" s="386" t="s">
        <v>329</v>
      </c>
      <c r="C23" s="362" t="s">
        <v>53</v>
      </c>
      <c r="D23" s="365">
        <v>3</v>
      </c>
      <c r="E23" s="396">
        <v>12.4</v>
      </c>
      <c r="F23" s="396">
        <v>12.71</v>
      </c>
      <c r="G23" s="398">
        <v>14.2</v>
      </c>
      <c r="H23" s="398">
        <v>11.75</v>
      </c>
      <c r="I23" s="398">
        <v>11.5</v>
      </c>
      <c r="J23" s="398">
        <v>11.15</v>
      </c>
      <c r="K23" s="262">
        <f t="shared" si="0"/>
        <v>12.285000000000002</v>
      </c>
      <c r="L23" s="261">
        <f t="shared" si="1"/>
        <v>36.855000000000004</v>
      </c>
    </row>
    <row r="24" spans="1:13" s="179" customFormat="1" ht="63.75" x14ac:dyDescent="0.2">
      <c r="A24" s="254">
        <v>14</v>
      </c>
      <c r="B24" s="386" t="s">
        <v>330</v>
      </c>
      <c r="C24" s="362" t="s">
        <v>315</v>
      </c>
      <c r="D24" s="365">
        <v>3</v>
      </c>
      <c r="E24" s="396">
        <v>29.88</v>
      </c>
      <c r="F24" s="396">
        <v>24.9</v>
      </c>
      <c r="G24" s="398">
        <v>25.99</v>
      </c>
      <c r="H24" s="398">
        <v>25.52</v>
      </c>
      <c r="I24" s="398">
        <v>28.9</v>
      </c>
      <c r="J24" s="398">
        <v>21.1</v>
      </c>
      <c r="K24" s="262">
        <f t="shared" si="0"/>
        <v>26.048333333333332</v>
      </c>
      <c r="L24" s="261">
        <f t="shared" si="1"/>
        <v>78.144999999999996</v>
      </c>
    </row>
    <row r="25" spans="1:13" s="179" customFormat="1" ht="13.5" thickBot="1" x14ac:dyDescent="0.25">
      <c r="A25" s="254">
        <v>15</v>
      </c>
      <c r="B25" s="386" t="s">
        <v>331</v>
      </c>
      <c r="C25" s="362" t="s">
        <v>332</v>
      </c>
      <c r="D25" s="365">
        <v>3</v>
      </c>
      <c r="E25" s="396">
        <v>69.73</v>
      </c>
      <c r="F25" s="396">
        <v>62.9</v>
      </c>
      <c r="G25" s="396">
        <v>62.9</v>
      </c>
      <c r="H25" s="398">
        <v>72</v>
      </c>
      <c r="I25" s="399">
        <v>57.3</v>
      </c>
      <c r="J25" s="398">
        <v>63.62</v>
      </c>
      <c r="K25" s="262">
        <f t="shared" si="0"/>
        <v>64.74166666666666</v>
      </c>
      <c r="L25" s="261">
        <f t="shared" si="1"/>
        <v>194.22499999999997</v>
      </c>
    </row>
    <row r="26" spans="1:13" s="179" customFormat="1" x14ac:dyDescent="0.2">
      <c r="A26" s="255">
        <v>16</v>
      </c>
      <c r="B26" s="386" t="s">
        <v>333</v>
      </c>
      <c r="C26" s="362" t="s">
        <v>332</v>
      </c>
      <c r="D26" s="365">
        <v>3</v>
      </c>
      <c r="E26" s="396">
        <v>21.38</v>
      </c>
      <c r="F26" s="396">
        <v>22</v>
      </c>
      <c r="G26" s="398">
        <v>28</v>
      </c>
      <c r="H26" s="398">
        <v>29.02</v>
      </c>
      <c r="I26" s="398">
        <v>29.5</v>
      </c>
      <c r="J26" s="398">
        <v>27.25</v>
      </c>
      <c r="K26" s="262">
        <f>AVERAGE(E26:J26)</f>
        <v>26.191666666666663</v>
      </c>
      <c r="L26" s="261">
        <f t="shared" si="1"/>
        <v>78.574999999999989</v>
      </c>
    </row>
    <row r="27" spans="1:13" s="179" customFormat="1" ht="59.25" customHeight="1" x14ac:dyDescent="0.2">
      <c r="A27" s="254">
        <v>17</v>
      </c>
      <c r="B27" s="386" t="s">
        <v>334</v>
      </c>
      <c r="C27" s="362" t="s">
        <v>53</v>
      </c>
      <c r="D27" s="365">
        <v>3</v>
      </c>
      <c r="E27" s="396">
        <v>13.3</v>
      </c>
      <c r="F27" s="396">
        <v>8.9499999999999993</v>
      </c>
      <c r="G27" s="398">
        <v>8.3000000000000007</v>
      </c>
      <c r="H27" s="243"/>
      <c r="I27" s="243"/>
      <c r="J27" s="243"/>
      <c r="K27" s="262">
        <f t="shared" si="0"/>
        <v>10.183333333333334</v>
      </c>
      <c r="L27" s="261">
        <f t="shared" si="1"/>
        <v>30.55</v>
      </c>
    </row>
    <row r="28" spans="1:13" s="179" customFormat="1" ht="25.5" x14ac:dyDescent="0.2">
      <c r="A28" s="254">
        <v>18</v>
      </c>
      <c r="B28" s="387" t="s">
        <v>335</v>
      </c>
      <c r="C28" s="362" t="s">
        <v>53</v>
      </c>
      <c r="D28" s="365">
        <v>12</v>
      </c>
      <c r="E28" s="396">
        <v>26.59</v>
      </c>
      <c r="F28" s="396">
        <v>39.99</v>
      </c>
      <c r="G28" s="398">
        <v>33.82</v>
      </c>
      <c r="H28" s="243"/>
      <c r="I28" s="243"/>
      <c r="J28" s="243"/>
      <c r="K28" s="262">
        <f t="shared" si="0"/>
        <v>33.466666666666669</v>
      </c>
      <c r="L28" s="261">
        <f t="shared" si="1"/>
        <v>401.6</v>
      </c>
    </row>
    <row r="29" spans="1:13" s="179" customFormat="1" ht="38.25" x14ac:dyDescent="0.2">
      <c r="A29" s="254"/>
      <c r="B29" s="409" t="s">
        <v>336</v>
      </c>
      <c r="C29" s="410" t="s">
        <v>313</v>
      </c>
      <c r="D29" s="408">
        <f>0.008/20/6*Resumo!G5</f>
        <v>0.16653333333333334</v>
      </c>
      <c r="E29" s="398">
        <v>263.89999999999998</v>
      </c>
      <c r="F29" s="411">
        <v>255.19</v>
      </c>
      <c r="G29" s="411">
        <v>229</v>
      </c>
      <c r="H29" s="243"/>
      <c r="I29" s="243"/>
      <c r="J29" s="243"/>
      <c r="K29" s="262">
        <f t="shared" ref="K29" si="2">AVERAGE(E29:J29)</f>
        <v>249.36333333333332</v>
      </c>
      <c r="L29" s="261">
        <f t="shared" ref="L29" si="3">K29*D29</f>
        <v>41.527307111111107</v>
      </c>
    </row>
    <row r="30" spans="1:13" s="179" customFormat="1" x14ac:dyDescent="0.2">
      <c r="A30" s="254">
        <v>19</v>
      </c>
      <c r="B30" s="387" t="s">
        <v>337</v>
      </c>
      <c r="C30" s="362" t="s">
        <v>53</v>
      </c>
      <c r="D30" s="365">
        <v>20</v>
      </c>
      <c r="E30" s="396">
        <v>11.9</v>
      </c>
      <c r="F30" s="396">
        <v>12.05</v>
      </c>
      <c r="G30" s="398">
        <v>12.28</v>
      </c>
      <c r="H30" s="243"/>
      <c r="I30" s="243"/>
      <c r="J30" s="243"/>
      <c r="K30" s="262">
        <f t="shared" si="0"/>
        <v>12.076666666666668</v>
      </c>
      <c r="L30" s="261">
        <f t="shared" si="1"/>
        <v>241.53333333333336</v>
      </c>
    </row>
    <row r="31" spans="1:13" ht="13.5" thickBot="1" x14ac:dyDescent="0.25">
      <c r="A31" s="677" t="s">
        <v>338</v>
      </c>
      <c r="B31" s="678"/>
      <c r="C31" s="678"/>
      <c r="D31" s="678"/>
      <c r="E31" s="678"/>
      <c r="F31" s="678"/>
      <c r="G31" s="678"/>
      <c r="H31" s="678"/>
      <c r="I31" s="678"/>
      <c r="J31" s="679"/>
      <c r="K31" s="680">
        <f>SUM(L11:L30)</f>
        <v>2923.0689737777775</v>
      </c>
      <c r="L31" s="681"/>
    </row>
    <row r="32" spans="1:13" ht="13.5" thickBot="1" x14ac:dyDescent="0.25"/>
    <row r="33" spans="1:12" ht="13.5" thickBot="1" x14ac:dyDescent="0.25">
      <c r="A33" s="565" t="s">
        <v>339</v>
      </c>
      <c r="B33" s="566"/>
      <c r="C33" s="566"/>
      <c r="D33" s="566"/>
      <c r="E33" s="566"/>
      <c r="F33" s="566"/>
      <c r="G33" s="566"/>
      <c r="H33" s="566"/>
      <c r="I33" s="566"/>
      <c r="J33" s="567"/>
      <c r="K33" s="682">
        <f>K31/'Limpeza - Item 8'!H174</f>
        <v>974.3563245925925</v>
      </c>
      <c r="L33" s="683"/>
    </row>
    <row r="34" spans="1:12" x14ac:dyDescent="0.2">
      <c r="A34" s="200"/>
      <c r="B34" s="200"/>
      <c r="C34" s="200"/>
      <c r="D34" s="200"/>
      <c r="E34" s="200"/>
      <c r="F34" s="200"/>
      <c r="G34" s="200"/>
      <c r="H34" s="200"/>
      <c r="I34" s="200"/>
      <c r="J34" s="200"/>
      <c r="K34" s="201"/>
      <c r="L34" s="201"/>
    </row>
    <row r="36" spans="1:12" ht="13.5" thickBot="1" x14ac:dyDescent="0.25"/>
    <row r="37" spans="1:12" x14ac:dyDescent="0.2">
      <c r="A37" s="596" t="s">
        <v>279</v>
      </c>
      <c r="B37" s="599" t="s">
        <v>340</v>
      </c>
      <c r="C37" s="602" t="s">
        <v>281</v>
      </c>
      <c r="D37" s="605" t="s">
        <v>282</v>
      </c>
      <c r="E37" s="608" t="s">
        <v>283</v>
      </c>
      <c r="F37" s="609"/>
      <c r="G37" s="609"/>
      <c r="H37" s="609"/>
      <c r="I37" s="609"/>
      <c r="J37" s="610"/>
      <c r="K37" s="611" t="s">
        <v>284</v>
      </c>
      <c r="L37" s="612"/>
    </row>
    <row r="38" spans="1:12" ht="13.5" x14ac:dyDescent="0.2">
      <c r="A38" s="597"/>
      <c r="B38" s="661"/>
      <c r="C38" s="603"/>
      <c r="D38" s="606"/>
      <c r="E38" s="175" t="s">
        <v>38</v>
      </c>
      <c r="F38" s="176" t="s">
        <v>40</v>
      </c>
      <c r="G38" s="176" t="s">
        <v>43</v>
      </c>
      <c r="H38" s="176" t="s">
        <v>46</v>
      </c>
      <c r="I38" s="176" t="s">
        <v>80</v>
      </c>
      <c r="J38" s="177" t="s">
        <v>82</v>
      </c>
      <c r="K38" s="613" t="s">
        <v>285</v>
      </c>
      <c r="L38" s="615" t="s">
        <v>286</v>
      </c>
    </row>
    <row r="39" spans="1:12" ht="28.5" customHeight="1" thickBot="1" x14ac:dyDescent="0.25">
      <c r="A39" s="598"/>
      <c r="B39" s="684"/>
      <c r="C39" s="604"/>
      <c r="D39" s="607"/>
      <c r="E39" s="194" t="s">
        <v>287</v>
      </c>
      <c r="F39" s="195" t="s">
        <v>287</v>
      </c>
      <c r="G39" s="195" t="s">
        <v>287</v>
      </c>
      <c r="H39" s="195" t="s">
        <v>287</v>
      </c>
      <c r="I39" s="195" t="s">
        <v>287</v>
      </c>
      <c r="J39" s="196" t="s">
        <v>287</v>
      </c>
      <c r="K39" s="614"/>
      <c r="L39" s="616"/>
    </row>
    <row r="40" spans="1:12" x14ac:dyDescent="0.2">
      <c r="A40" s="241">
        <v>1</v>
      </c>
      <c r="B40" s="388" t="s">
        <v>341</v>
      </c>
      <c r="C40" s="242" t="s">
        <v>281</v>
      </c>
      <c r="D40" s="366">
        <v>6</v>
      </c>
      <c r="E40" s="400">
        <v>21.61</v>
      </c>
      <c r="F40" s="401">
        <v>20</v>
      </c>
      <c r="G40" s="401">
        <v>21.8</v>
      </c>
      <c r="H40" s="401">
        <v>26.9</v>
      </c>
      <c r="I40" s="401">
        <v>23.5</v>
      </c>
      <c r="J40" s="401">
        <v>21.8</v>
      </c>
      <c r="K40" s="263">
        <f t="shared" ref="K40:K50" si="4">AVERAGE(E40:J40)</f>
        <v>22.60166666666667</v>
      </c>
      <c r="L40" s="264">
        <f t="shared" ref="L40:L50" si="5">K40*D40</f>
        <v>135.61000000000001</v>
      </c>
    </row>
    <row r="41" spans="1:12" x14ac:dyDescent="0.2">
      <c r="A41" s="197">
        <v>2</v>
      </c>
      <c r="B41" s="388" t="s">
        <v>342</v>
      </c>
      <c r="C41" s="181" t="s">
        <v>281</v>
      </c>
      <c r="D41" s="366">
        <v>4</v>
      </c>
      <c r="E41" s="395">
        <v>23.74</v>
      </c>
      <c r="F41" s="397">
        <v>20</v>
      </c>
      <c r="G41" s="397">
        <v>20.5</v>
      </c>
      <c r="H41" s="397">
        <v>17.71</v>
      </c>
      <c r="I41" s="397">
        <v>19.2</v>
      </c>
      <c r="J41" s="397">
        <v>20.34</v>
      </c>
      <c r="K41" s="263">
        <f t="shared" si="4"/>
        <v>20.248333333333331</v>
      </c>
      <c r="L41" s="264">
        <f t="shared" si="5"/>
        <v>80.993333333333325</v>
      </c>
    </row>
    <row r="42" spans="1:12" x14ac:dyDescent="0.2">
      <c r="A42" s="241">
        <v>3</v>
      </c>
      <c r="B42" s="388" t="s">
        <v>343</v>
      </c>
      <c r="C42" s="181" t="s">
        <v>281</v>
      </c>
      <c r="D42" s="366">
        <v>4</v>
      </c>
      <c r="E42" s="395">
        <v>5.7</v>
      </c>
      <c r="F42" s="397">
        <v>7</v>
      </c>
      <c r="G42" s="397">
        <v>11.62</v>
      </c>
      <c r="H42" s="397">
        <v>10.99</v>
      </c>
      <c r="I42" s="397">
        <v>8</v>
      </c>
      <c r="J42" s="397">
        <v>11.09</v>
      </c>
      <c r="K42" s="263">
        <f t="shared" si="4"/>
        <v>9.0666666666666682</v>
      </c>
      <c r="L42" s="264">
        <f t="shared" si="5"/>
        <v>36.266666666666673</v>
      </c>
    </row>
    <row r="43" spans="1:12" x14ac:dyDescent="0.2">
      <c r="A43" s="197">
        <v>4</v>
      </c>
      <c r="B43" s="388" t="s">
        <v>344</v>
      </c>
      <c r="C43" s="181" t="s">
        <v>281</v>
      </c>
      <c r="D43" s="366">
        <v>26</v>
      </c>
      <c r="E43" s="395">
        <v>11.24</v>
      </c>
      <c r="F43" s="397">
        <v>10.9</v>
      </c>
      <c r="G43" s="397">
        <v>10.8</v>
      </c>
      <c r="H43" s="397">
        <v>23.9</v>
      </c>
      <c r="I43" s="392">
        <v>19.899999999999999</v>
      </c>
      <c r="J43" s="397">
        <v>19.86</v>
      </c>
      <c r="K43" s="263">
        <f t="shared" si="4"/>
        <v>16.099999999999998</v>
      </c>
      <c r="L43" s="264">
        <f t="shared" si="5"/>
        <v>418.59999999999997</v>
      </c>
    </row>
    <row r="44" spans="1:12" ht="57" x14ac:dyDescent="0.2">
      <c r="A44" s="241">
        <v>5</v>
      </c>
      <c r="B44" s="388" t="s">
        <v>345</v>
      </c>
      <c r="C44" s="181" t="s">
        <v>292</v>
      </c>
      <c r="D44" s="366">
        <v>0</v>
      </c>
      <c r="E44" s="395">
        <v>6.3</v>
      </c>
      <c r="F44" s="397">
        <v>6.2</v>
      </c>
      <c r="G44" s="397">
        <v>6.55</v>
      </c>
      <c r="H44" s="397">
        <v>4.68</v>
      </c>
      <c r="I44" s="397">
        <v>6.5</v>
      </c>
      <c r="J44" s="397">
        <v>4.2</v>
      </c>
      <c r="K44" s="263">
        <f t="shared" si="4"/>
        <v>5.7383333333333333</v>
      </c>
      <c r="L44" s="264">
        <f t="shared" si="5"/>
        <v>0</v>
      </c>
    </row>
    <row r="45" spans="1:12" ht="57" x14ac:dyDescent="0.2">
      <c r="A45" s="197">
        <v>6</v>
      </c>
      <c r="B45" s="389" t="s">
        <v>346</v>
      </c>
      <c r="C45" s="181" t="s">
        <v>292</v>
      </c>
      <c r="D45" s="366">
        <v>36</v>
      </c>
      <c r="E45" s="395">
        <v>6.3</v>
      </c>
      <c r="F45" s="397">
        <v>6.97</v>
      </c>
      <c r="G45" s="397">
        <v>6.2</v>
      </c>
      <c r="H45" s="397">
        <v>6.55</v>
      </c>
      <c r="I45" s="397">
        <v>4.68</v>
      </c>
      <c r="J45" s="397">
        <v>6.5</v>
      </c>
      <c r="K45" s="263">
        <f t="shared" si="4"/>
        <v>6.2</v>
      </c>
      <c r="L45" s="264">
        <f t="shared" si="5"/>
        <v>223.20000000000002</v>
      </c>
    </row>
    <row r="46" spans="1:12" ht="25.5" x14ac:dyDescent="0.2">
      <c r="A46" s="241">
        <v>7</v>
      </c>
      <c r="B46" s="388" t="s">
        <v>347</v>
      </c>
      <c r="C46" s="181" t="s">
        <v>281</v>
      </c>
      <c r="D46" s="366">
        <v>6</v>
      </c>
      <c r="E46" s="395">
        <v>25.9</v>
      </c>
      <c r="F46" s="397">
        <v>26</v>
      </c>
      <c r="G46" s="397">
        <v>24.79</v>
      </c>
      <c r="H46" s="397">
        <v>29.63</v>
      </c>
      <c r="I46" s="397">
        <v>22.65</v>
      </c>
      <c r="J46" s="397">
        <v>27.9</v>
      </c>
      <c r="K46" s="263">
        <f t="shared" si="4"/>
        <v>26.145</v>
      </c>
      <c r="L46" s="264">
        <f t="shared" si="5"/>
        <v>156.87</v>
      </c>
    </row>
    <row r="47" spans="1:12" ht="25.5" x14ac:dyDescent="0.2">
      <c r="A47" s="197">
        <v>8</v>
      </c>
      <c r="B47" s="388" t="s">
        <v>348</v>
      </c>
      <c r="C47" s="181" t="s">
        <v>281</v>
      </c>
      <c r="D47" s="366">
        <v>3</v>
      </c>
      <c r="E47" s="395">
        <v>40.72</v>
      </c>
      <c r="F47" s="397">
        <v>43.63</v>
      </c>
      <c r="G47" s="397">
        <v>42.56</v>
      </c>
      <c r="H47" s="397">
        <v>55.9</v>
      </c>
      <c r="I47" s="397">
        <v>41.6</v>
      </c>
      <c r="J47" s="397">
        <v>46.32</v>
      </c>
      <c r="K47" s="263">
        <f t="shared" si="4"/>
        <v>45.12166666666667</v>
      </c>
      <c r="L47" s="264">
        <f t="shared" si="5"/>
        <v>135.36500000000001</v>
      </c>
    </row>
    <row r="48" spans="1:12" ht="25.5" x14ac:dyDescent="0.2">
      <c r="A48" s="241">
        <v>9</v>
      </c>
      <c r="B48" s="388" t="s">
        <v>349</v>
      </c>
      <c r="C48" s="181" t="s">
        <v>281</v>
      </c>
      <c r="D48" s="366">
        <v>6</v>
      </c>
      <c r="E48" s="395">
        <v>29.9</v>
      </c>
      <c r="F48" s="397">
        <v>25</v>
      </c>
      <c r="G48" s="397">
        <v>26.48</v>
      </c>
      <c r="H48" s="397">
        <v>32.54</v>
      </c>
      <c r="I48" s="397">
        <v>29.77</v>
      </c>
      <c r="J48" s="397">
        <v>35.270000000000003</v>
      </c>
      <c r="K48" s="263">
        <f t="shared" si="4"/>
        <v>29.826666666666668</v>
      </c>
      <c r="L48" s="264">
        <f t="shared" si="5"/>
        <v>178.96</v>
      </c>
    </row>
    <row r="49" spans="1:12" x14ac:dyDescent="0.2">
      <c r="A49" s="197">
        <v>10</v>
      </c>
      <c r="B49" s="388" t="s">
        <v>350</v>
      </c>
      <c r="C49" s="181"/>
      <c r="D49" s="366">
        <v>3</v>
      </c>
      <c r="E49" s="395">
        <v>22.57</v>
      </c>
      <c r="F49" s="397">
        <v>29.99</v>
      </c>
      <c r="G49" s="397">
        <v>27.53</v>
      </c>
      <c r="H49" s="397">
        <v>39.9</v>
      </c>
      <c r="I49" s="397">
        <v>37.69</v>
      </c>
      <c r="J49" s="397">
        <v>34.68</v>
      </c>
      <c r="K49" s="263"/>
      <c r="L49" s="264"/>
    </row>
    <row r="50" spans="1:12" ht="26.25" thickBot="1" x14ac:dyDescent="0.25">
      <c r="A50" s="241">
        <v>11</v>
      </c>
      <c r="B50" s="388" t="s">
        <v>351</v>
      </c>
      <c r="C50" s="181" t="s">
        <v>281</v>
      </c>
      <c r="D50" s="366">
        <v>3</v>
      </c>
      <c r="E50" s="395">
        <v>72.989999999999995</v>
      </c>
      <c r="F50" s="397">
        <v>82</v>
      </c>
      <c r="G50" s="397">
        <v>73.31</v>
      </c>
      <c r="H50" s="397">
        <v>78.989999999999995</v>
      </c>
      <c r="I50" s="397">
        <v>71.48</v>
      </c>
      <c r="J50" s="397">
        <v>79.900000000000006</v>
      </c>
      <c r="K50" s="263">
        <f t="shared" si="4"/>
        <v>76.445000000000007</v>
      </c>
      <c r="L50" s="264">
        <f t="shared" si="5"/>
        <v>229.33500000000004</v>
      </c>
    </row>
    <row r="51" spans="1:12" ht="13.5" thickBot="1" x14ac:dyDescent="0.25">
      <c r="A51" s="565" t="s">
        <v>352</v>
      </c>
      <c r="B51" s="566"/>
      <c r="C51" s="566"/>
      <c r="D51" s="566"/>
      <c r="E51" s="566"/>
      <c r="F51" s="566"/>
      <c r="G51" s="566"/>
      <c r="H51" s="566"/>
      <c r="I51" s="566"/>
      <c r="J51" s="567"/>
      <c r="K51" s="685">
        <f>SUM(L40:L50)</f>
        <v>1595.2</v>
      </c>
      <c r="L51" s="686"/>
    </row>
    <row r="52" spans="1:12" ht="13.5" thickBot="1" x14ac:dyDescent="0.25">
      <c r="A52" s="169"/>
      <c r="B52" s="169"/>
      <c r="C52" s="202"/>
      <c r="D52" s="203"/>
      <c r="E52" s="204"/>
      <c r="F52" s="204"/>
      <c r="G52" s="204"/>
      <c r="H52" s="204"/>
      <c r="I52" s="204"/>
      <c r="J52" s="204"/>
      <c r="K52" s="205"/>
      <c r="L52" s="205"/>
    </row>
    <row r="53" spans="1:12" ht="13.5" thickBot="1" x14ac:dyDescent="0.25">
      <c r="A53" s="565" t="s">
        <v>339</v>
      </c>
      <c r="B53" s="566"/>
      <c r="C53" s="566"/>
      <c r="D53" s="566"/>
      <c r="E53" s="566"/>
      <c r="F53" s="566"/>
      <c r="G53" s="566"/>
      <c r="H53" s="566"/>
      <c r="I53" s="566"/>
      <c r="J53" s="567"/>
      <c r="K53" s="682">
        <f>K51/'Limpeza - Item 8'!H174</f>
        <v>531.73333333333335</v>
      </c>
      <c r="L53" s="683"/>
    </row>
    <row r="54" spans="1:12" ht="13.5" thickBot="1" x14ac:dyDescent="0.25">
      <c r="A54" s="200"/>
      <c r="B54" s="200"/>
      <c r="C54" s="200"/>
      <c r="D54" s="200"/>
      <c r="E54" s="200"/>
      <c r="F54" s="200"/>
      <c r="G54" s="200"/>
      <c r="H54" s="200"/>
      <c r="I54" s="200"/>
      <c r="J54" s="200"/>
      <c r="K54" s="201"/>
      <c r="L54" s="201"/>
    </row>
    <row r="55" spans="1:12" ht="13.5" thickBot="1" x14ac:dyDescent="0.25">
      <c r="A55" s="687" t="s">
        <v>353</v>
      </c>
      <c r="B55" s="688"/>
      <c r="C55" s="688"/>
      <c r="D55" s="688"/>
      <c r="E55" s="688"/>
      <c r="F55" s="688"/>
      <c r="G55" s="688"/>
      <c r="H55" s="688"/>
      <c r="I55" s="688"/>
      <c r="J55" s="689"/>
      <c r="K55" s="690" t="s">
        <v>354</v>
      </c>
      <c r="L55" s="691"/>
    </row>
    <row r="56" spans="1:12" x14ac:dyDescent="0.2">
      <c r="A56" s="701" t="s">
        <v>355</v>
      </c>
      <c r="B56" s="702"/>
      <c r="C56" s="702"/>
      <c r="D56" s="702"/>
      <c r="E56" s="702"/>
      <c r="F56" s="702"/>
      <c r="G56" s="702"/>
      <c r="H56" s="702"/>
      <c r="I56" s="702"/>
      <c r="J56" s="702"/>
      <c r="K56" s="692">
        <f>K33</f>
        <v>974.3563245925925</v>
      </c>
      <c r="L56" s="693"/>
    </row>
    <row r="57" spans="1:12" ht="13.5" thickBot="1" x14ac:dyDescent="0.25">
      <c r="A57" s="699" t="s">
        <v>356</v>
      </c>
      <c r="B57" s="700"/>
      <c r="C57" s="700"/>
      <c r="D57" s="700"/>
      <c r="E57" s="700"/>
      <c r="F57" s="700"/>
      <c r="G57" s="700"/>
      <c r="H57" s="700"/>
      <c r="I57" s="700"/>
      <c r="J57" s="700"/>
      <c r="K57" s="703">
        <f>K53</f>
        <v>531.73333333333335</v>
      </c>
      <c r="L57" s="704"/>
    </row>
    <row r="58" spans="1:12" ht="13.5" thickBot="1" x14ac:dyDescent="0.25">
      <c r="A58" s="694" t="s">
        <v>357</v>
      </c>
      <c r="B58" s="695"/>
      <c r="C58" s="695"/>
      <c r="D58" s="695"/>
      <c r="E58" s="695"/>
      <c r="F58" s="695"/>
      <c r="G58" s="695"/>
      <c r="H58" s="695"/>
      <c r="I58" s="695"/>
      <c r="J58" s="696"/>
      <c r="K58" s="697">
        <f>SUM(K56:L57)</f>
        <v>1506.0896579259258</v>
      </c>
      <c r="L58" s="698"/>
    </row>
    <row r="60" spans="1:12" ht="13.5" thickBot="1" x14ac:dyDescent="0.25"/>
    <row r="61" spans="1:12" ht="20.25" customHeight="1" x14ac:dyDescent="0.2">
      <c r="A61" s="623"/>
      <c r="B61" s="624"/>
      <c r="C61" s="629" t="s">
        <v>301</v>
      </c>
      <c r="D61" s="632"/>
      <c r="E61" s="633"/>
      <c r="F61" s="633"/>
      <c r="G61" s="633"/>
      <c r="H61" s="633"/>
      <c r="I61" s="633"/>
      <c r="J61" s="633"/>
      <c r="K61" s="633"/>
      <c r="L61" s="634"/>
    </row>
    <row r="62" spans="1:12" ht="28.5" customHeight="1" x14ac:dyDescent="0.2">
      <c r="A62" s="625"/>
      <c r="B62" s="626"/>
      <c r="C62" s="630"/>
      <c r="D62" s="635"/>
      <c r="E62" s="636"/>
      <c r="F62" s="636"/>
      <c r="G62" s="636"/>
      <c r="H62" s="636"/>
      <c r="I62" s="636"/>
      <c r="J62" s="636"/>
      <c r="K62" s="636"/>
      <c r="L62" s="637"/>
    </row>
    <row r="63" spans="1:12" ht="14.25" customHeight="1" x14ac:dyDescent="0.2">
      <c r="A63" s="625"/>
      <c r="B63" s="626"/>
      <c r="C63" s="630"/>
      <c r="D63" s="635"/>
      <c r="E63" s="636"/>
      <c r="F63" s="636"/>
      <c r="G63" s="636"/>
      <c r="H63" s="636"/>
      <c r="I63" s="636"/>
      <c r="J63" s="636"/>
      <c r="K63" s="636"/>
      <c r="L63" s="637"/>
    </row>
    <row r="64" spans="1:12" ht="13.5" thickBot="1" x14ac:dyDescent="0.25">
      <c r="A64" s="627"/>
      <c r="B64" s="628"/>
      <c r="C64" s="631"/>
      <c r="D64" s="638"/>
      <c r="E64" s="639"/>
      <c r="F64" s="639"/>
      <c r="G64" s="639"/>
      <c r="H64" s="639"/>
      <c r="I64" s="639"/>
      <c r="J64" s="639"/>
      <c r="K64" s="639"/>
      <c r="L64" s="640"/>
    </row>
  </sheetData>
  <mergeCells count="54">
    <mergeCell ref="K56:L56"/>
    <mergeCell ref="A58:J58"/>
    <mergeCell ref="K58:L58"/>
    <mergeCell ref="A61:B64"/>
    <mergeCell ref="C61:C64"/>
    <mergeCell ref="D61:L64"/>
    <mergeCell ref="A57:J57"/>
    <mergeCell ref="A56:J56"/>
    <mergeCell ref="K57:L57"/>
    <mergeCell ref="K51:L51"/>
    <mergeCell ref="A53:J53"/>
    <mergeCell ref="K53:L53"/>
    <mergeCell ref="A55:J55"/>
    <mergeCell ref="K55:L55"/>
    <mergeCell ref="A51:J51"/>
    <mergeCell ref="A31:J31"/>
    <mergeCell ref="K31:L31"/>
    <mergeCell ref="A33:J33"/>
    <mergeCell ref="K33:L33"/>
    <mergeCell ref="A37:A39"/>
    <mergeCell ref="B37:B39"/>
    <mergeCell ref="C37:C39"/>
    <mergeCell ref="D37:D39"/>
    <mergeCell ref="E37:J37"/>
    <mergeCell ref="K37:L37"/>
    <mergeCell ref="K38:K39"/>
    <mergeCell ref="L38:L39"/>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L71"/>
  <sheetViews>
    <sheetView topLeftCell="A19" zoomScale="85" zoomScaleNormal="85" workbookViewId="0">
      <selection activeCell="N41" sqref="N41"/>
    </sheetView>
  </sheetViews>
  <sheetFormatPr defaultRowHeight="12.75" x14ac:dyDescent="0.2"/>
  <cols>
    <col min="1" max="1" width="3.7109375" style="185" bestFit="1" customWidth="1"/>
    <col min="2" max="2" width="47.7109375" customWidth="1"/>
    <col min="3" max="3" width="6.7109375" customWidth="1"/>
    <col min="4" max="4" width="5.5703125" customWidth="1"/>
    <col min="5" max="6" width="10.28515625" bestFit="1" customWidth="1"/>
    <col min="7" max="7" width="11.7109375" bestFit="1" customWidth="1"/>
    <col min="8" max="8" width="9" customWidth="1"/>
    <col min="9" max="9" width="9.140625" customWidth="1"/>
    <col min="10" max="10" width="9.28515625" customWidth="1"/>
    <col min="11" max="11" width="17.140625" bestFit="1" customWidth="1"/>
    <col min="12" max="12" width="14" customWidth="1"/>
    <col min="257" max="257" width="3.7109375" bestFit="1" customWidth="1"/>
    <col min="258" max="258" width="52.85546875" customWidth="1"/>
    <col min="259" max="259" width="6.7109375" customWidth="1"/>
    <col min="260" max="260" width="5.5703125" customWidth="1"/>
    <col min="261" max="261" width="9.140625" customWidth="1"/>
    <col min="262" max="262" width="8.85546875" customWidth="1"/>
    <col min="263" max="263" width="8.7109375" customWidth="1"/>
    <col min="264" max="264" width="9" customWidth="1"/>
    <col min="265" max="265" width="9.140625" customWidth="1"/>
    <col min="266" max="266" width="9.28515625" customWidth="1"/>
    <col min="267" max="267" width="10" customWidth="1"/>
    <col min="268" max="268" width="11" customWidth="1"/>
    <col min="513" max="513" width="3.7109375" bestFit="1" customWidth="1"/>
    <col min="514" max="514" width="52.85546875" customWidth="1"/>
    <col min="515" max="515" width="6.7109375" customWidth="1"/>
    <col min="516" max="516" width="5.5703125" customWidth="1"/>
    <col min="517" max="517" width="9.140625" customWidth="1"/>
    <col min="518" max="518" width="8.85546875" customWidth="1"/>
    <col min="519" max="519" width="8.7109375" customWidth="1"/>
    <col min="520" max="520" width="9" customWidth="1"/>
    <col min="521" max="521" width="9.140625" customWidth="1"/>
    <col min="522" max="522" width="9.28515625" customWidth="1"/>
    <col min="523" max="523" width="10" customWidth="1"/>
    <col min="524" max="524" width="11" customWidth="1"/>
    <col min="769" max="769" width="3.7109375" bestFit="1" customWidth="1"/>
    <col min="770" max="770" width="52.85546875" customWidth="1"/>
    <col min="771" max="771" width="6.7109375" customWidth="1"/>
    <col min="772" max="772" width="5.5703125" customWidth="1"/>
    <col min="773" max="773" width="9.140625" customWidth="1"/>
    <col min="774" max="774" width="8.85546875" customWidth="1"/>
    <col min="775" max="775" width="8.7109375" customWidth="1"/>
    <col min="776" max="776" width="9" customWidth="1"/>
    <col min="777" max="777" width="9.140625" customWidth="1"/>
    <col min="778" max="778" width="9.28515625" customWidth="1"/>
    <col min="779" max="779" width="10" customWidth="1"/>
    <col min="780" max="780" width="11" customWidth="1"/>
    <col min="1025" max="1025" width="3.7109375" bestFit="1" customWidth="1"/>
    <col min="1026" max="1026" width="52.85546875" customWidth="1"/>
    <col min="1027" max="1027" width="6.7109375" customWidth="1"/>
    <col min="1028" max="1028" width="5.5703125" customWidth="1"/>
    <col min="1029" max="1029" width="9.140625" customWidth="1"/>
    <col min="1030" max="1030" width="8.85546875" customWidth="1"/>
    <col min="1031" max="1031" width="8.7109375" customWidth="1"/>
    <col min="1032" max="1032" width="9" customWidth="1"/>
    <col min="1033" max="1033" width="9.140625" customWidth="1"/>
    <col min="1034" max="1034" width="9.28515625" customWidth="1"/>
    <col min="1035" max="1035" width="10" customWidth="1"/>
    <col min="1036" max="1036" width="11" customWidth="1"/>
    <col min="1281" max="1281" width="3.7109375" bestFit="1" customWidth="1"/>
    <col min="1282" max="1282" width="52.85546875" customWidth="1"/>
    <col min="1283" max="1283" width="6.7109375" customWidth="1"/>
    <col min="1284" max="1284" width="5.5703125" customWidth="1"/>
    <col min="1285" max="1285" width="9.140625" customWidth="1"/>
    <col min="1286" max="1286" width="8.85546875" customWidth="1"/>
    <col min="1287" max="1287" width="8.7109375" customWidth="1"/>
    <col min="1288" max="1288" width="9" customWidth="1"/>
    <col min="1289" max="1289" width="9.140625" customWidth="1"/>
    <col min="1290" max="1290" width="9.28515625" customWidth="1"/>
    <col min="1291" max="1291" width="10" customWidth="1"/>
    <col min="1292" max="1292" width="11" customWidth="1"/>
    <col min="1537" max="1537" width="3.7109375" bestFit="1" customWidth="1"/>
    <col min="1538" max="1538" width="52.85546875" customWidth="1"/>
    <col min="1539" max="1539" width="6.7109375" customWidth="1"/>
    <col min="1540" max="1540" width="5.5703125" customWidth="1"/>
    <col min="1541" max="1541" width="9.140625" customWidth="1"/>
    <col min="1542" max="1542" width="8.85546875" customWidth="1"/>
    <col min="1543" max="1543" width="8.7109375" customWidth="1"/>
    <col min="1544" max="1544" width="9" customWidth="1"/>
    <col min="1545" max="1545" width="9.140625" customWidth="1"/>
    <col min="1546" max="1546" width="9.28515625" customWidth="1"/>
    <col min="1547" max="1547" width="10" customWidth="1"/>
    <col min="1548" max="1548" width="11" customWidth="1"/>
    <col min="1793" max="1793" width="3.7109375" bestFit="1" customWidth="1"/>
    <col min="1794" max="1794" width="52.85546875" customWidth="1"/>
    <col min="1795" max="1795" width="6.7109375" customWidth="1"/>
    <col min="1796" max="1796" width="5.5703125" customWidth="1"/>
    <col min="1797" max="1797" width="9.140625" customWidth="1"/>
    <col min="1798" max="1798" width="8.85546875" customWidth="1"/>
    <col min="1799" max="1799" width="8.7109375" customWidth="1"/>
    <col min="1800" max="1800" width="9" customWidth="1"/>
    <col min="1801" max="1801" width="9.140625" customWidth="1"/>
    <col min="1802" max="1802" width="9.28515625" customWidth="1"/>
    <col min="1803" max="1803" width="10" customWidth="1"/>
    <col min="1804" max="1804" width="11" customWidth="1"/>
    <col min="2049" max="2049" width="3.7109375" bestFit="1" customWidth="1"/>
    <col min="2050" max="2050" width="52.85546875" customWidth="1"/>
    <col min="2051" max="2051" width="6.7109375" customWidth="1"/>
    <col min="2052" max="2052" width="5.5703125" customWidth="1"/>
    <col min="2053" max="2053" width="9.140625" customWidth="1"/>
    <col min="2054" max="2054" width="8.85546875" customWidth="1"/>
    <col min="2055" max="2055" width="8.7109375" customWidth="1"/>
    <col min="2056" max="2056" width="9" customWidth="1"/>
    <col min="2057" max="2057" width="9.140625" customWidth="1"/>
    <col min="2058" max="2058" width="9.28515625" customWidth="1"/>
    <col min="2059" max="2059" width="10" customWidth="1"/>
    <col min="2060" max="2060" width="11" customWidth="1"/>
    <col min="2305" max="2305" width="3.7109375" bestFit="1" customWidth="1"/>
    <col min="2306" max="2306" width="52.85546875" customWidth="1"/>
    <col min="2307" max="2307" width="6.7109375" customWidth="1"/>
    <col min="2308" max="2308" width="5.5703125" customWidth="1"/>
    <col min="2309" max="2309" width="9.140625" customWidth="1"/>
    <col min="2310" max="2310" width="8.85546875" customWidth="1"/>
    <col min="2311" max="2311" width="8.7109375" customWidth="1"/>
    <col min="2312" max="2312" width="9" customWidth="1"/>
    <col min="2313" max="2313" width="9.140625" customWidth="1"/>
    <col min="2314" max="2314" width="9.28515625" customWidth="1"/>
    <col min="2315" max="2315" width="10" customWidth="1"/>
    <col min="2316" max="2316" width="11" customWidth="1"/>
    <col min="2561" max="2561" width="3.7109375" bestFit="1" customWidth="1"/>
    <col min="2562" max="2562" width="52.85546875" customWidth="1"/>
    <col min="2563" max="2563" width="6.7109375" customWidth="1"/>
    <col min="2564" max="2564" width="5.5703125" customWidth="1"/>
    <col min="2565" max="2565" width="9.140625" customWidth="1"/>
    <col min="2566" max="2566" width="8.85546875" customWidth="1"/>
    <col min="2567" max="2567" width="8.7109375" customWidth="1"/>
    <col min="2568" max="2568" width="9" customWidth="1"/>
    <col min="2569" max="2569" width="9.140625" customWidth="1"/>
    <col min="2570" max="2570" width="9.28515625" customWidth="1"/>
    <col min="2571" max="2571" width="10" customWidth="1"/>
    <col min="2572" max="2572" width="11" customWidth="1"/>
    <col min="2817" max="2817" width="3.7109375" bestFit="1" customWidth="1"/>
    <col min="2818" max="2818" width="52.85546875" customWidth="1"/>
    <col min="2819" max="2819" width="6.7109375" customWidth="1"/>
    <col min="2820" max="2820" width="5.5703125" customWidth="1"/>
    <col min="2821" max="2821" width="9.140625" customWidth="1"/>
    <col min="2822" max="2822" width="8.85546875" customWidth="1"/>
    <col min="2823" max="2823" width="8.7109375" customWidth="1"/>
    <col min="2824" max="2824" width="9" customWidth="1"/>
    <col min="2825" max="2825" width="9.140625" customWidth="1"/>
    <col min="2826" max="2826" width="9.28515625" customWidth="1"/>
    <col min="2827" max="2827" width="10" customWidth="1"/>
    <col min="2828" max="2828" width="11" customWidth="1"/>
    <col min="3073" max="3073" width="3.7109375" bestFit="1" customWidth="1"/>
    <col min="3074" max="3074" width="52.85546875" customWidth="1"/>
    <col min="3075" max="3075" width="6.7109375" customWidth="1"/>
    <col min="3076" max="3076" width="5.5703125" customWidth="1"/>
    <col min="3077" max="3077" width="9.140625" customWidth="1"/>
    <col min="3078" max="3078" width="8.85546875" customWidth="1"/>
    <col min="3079" max="3079" width="8.7109375" customWidth="1"/>
    <col min="3080" max="3080" width="9" customWidth="1"/>
    <col min="3081" max="3081" width="9.140625" customWidth="1"/>
    <col min="3082" max="3082" width="9.28515625" customWidth="1"/>
    <col min="3083" max="3083" width="10" customWidth="1"/>
    <col min="3084" max="3084" width="11" customWidth="1"/>
    <col min="3329" max="3329" width="3.7109375" bestFit="1" customWidth="1"/>
    <col min="3330" max="3330" width="52.85546875" customWidth="1"/>
    <col min="3331" max="3331" width="6.7109375" customWidth="1"/>
    <col min="3332" max="3332" width="5.5703125" customWidth="1"/>
    <col min="3333" max="3333" width="9.140625" customWidth="1"/>
    <col min="3334" max="3334" width="8.85546875" customWidth="1"/>
    <col min="3335" max="3335" width="8.7109375" customWidth="1"/>
    <col min="3336" max="3336" width="9" customWidth="1"/>
    <col min="3337" max="3337" width="9.140625" customWidth="1"/>
    <col min="3338" max="3338" width="9.28515625" customWidth="1"/>
    <col min="3339" max="3339" width="10" customWidth="1"/>
    <col min="3340" max="3340" width="11" customWidth="1"/>
    <col min="3585" max="3585" width="3.7109375" bestFit="1" customWidth="1"/>
    <col min="3586" max="3586" width="52.85546875" customWidth="1"/>
    <col min="3587" max="3587" width="6.7109375" customWidth="1"/>
    <col min="3588" max="3588" width="5.5703125" customWidth="1"/>
    <col min="3589" max="3589" width="9.140625" customWidth="1"/>
    <col min="3590" max="3590" width="8.85546875" customWidth="1"/>
    <col min="3591" max="3591" width="8.7109375" customWidth="1"/>
    <col min="3592" max="3592" width="9" customWidth="1"/>
    <col min="3593" max="3593" width="9.140625" customWidth="1"/>
    <col min="3594" max="3594" width="9.28515625" customWidth="1"/>
    <col min="3595" max="3595" width="10" customWidth="1"/>
    <col min="3596" max="3596" width="11" customWidth="1"/>
    <col min="3841" max="3841" width="3.7109375" bestFit="1" customWidth="1"/>
    <col min="3842" max="3842" width="52.85546875" customWidth="1"/>
    <col min="3843" max="3843" width="6.7109375" customWidth="1"/>
    <col min="3844" max="3844" width="5.5703125" customWidth="1"/>
    <col min="3845" max="3845" width="9.140625" customWidth="1"/>
    <col min="3846" max="3846" width="8.85546875" customWidth="1"/>
    <col min="3847" max="3847" width="8.7109375" customWidth="1"/>
    <col min="3848" max="3848" width="9" customWidth="1"/>
    <col min="3849" max="3849" width="9.140625" customWidth="1"/>
    <col min="3850" max="3850" width="9.28515625" customWidth="1"/>
    <col min="3851" max="3851" width="10" customWidth="1"/>
    <col min="3852" max="3852" width="11" customWidth="1"/>
    <col min="4097" max="4097" width="3.7109375" bestFit="1" customWidth="1"/>
    <col min="4098" max="4098" width="52.85546875" customWidth="1"/>
    <col min="4099" max="4099" width="6.7109375" customWidth="1"/>
    <col min="4100" max="4100" width="5.5703125" customWidth="1"/>
    <col min="4101" max="4101" width="9.140625" customWidth="1"/>
    <col min="4102" max="4102" width="8.85546875" customWidth="1"/>
    <col min="4103" max="4103" width="8.7109375" customWidth="1"/>
    <col min="4104" max="4104" width="9" customWidth="1"/>
    <col min="4105" max="4105" width="9.140625" customWidth="1"/>
    <col min="4106" max="4106" width="9.28515625" customWidth="1"/>
    <col min="4107" max="4107" width="10" customWidth="1"/>
    <col min="4108" max="4108" width="11" customWidth="1"/>
    <col min="4353" max="4353" width="3.7109375" bestFit="1" customWidth="1"/>
    <col min="4354" max="4354" width="52.85546875" customWidth="1"/>
    <col min="4355" max="4355" width="6.7109375" customWidth="1"/>
    <col min="4356" max="4356" width="5.5703125" customWidth="1"/>
    <col min="4357" max="4357" width="9.140625" customWidth="1"/>
    <col min="4358" max="4358" width="8.85546875" customWidth="1"/>
    <col min="4359" max="4359" width="8.7109375" customWidth="1"/>
    <col min="4360" max="4360" width="9" customWidth="1"/>
    <col min="4361" max="4361" width="9.140625" customWidth="1"/>
    <col min="4362" max="4362" width="9.28515625" customWidth="1"/>
    <col min="4363" max="4363" width="10" customWidth="1"/>
    <col min="4364" max="4364" width="11" customWidth="1"/>
    <col min="4609" max="4609" width="3.7109375" bestFit="1" customWidth="1"/>
    <col min="4610" max="4610" width="52.85546875" customWidth="1"/>
    <col min="4611" max="4611" width="6.7109375" customWidth="1"/>
    <col min="4612" max="4612" width="5.5703125" customWidth="1"/>
    <col min="4613" max="4613" width="9.140625" customWidth="1"/>
    <col min="4614" max="4614" width="8.85546875" customWidth="1"/>
    <col min="4615" max="4615" width="8.7109375" customWidth="1"/>
    <col min="4616" max="4616" width="9" customWidth="1"/>
    <col min="4617" max="4617" width="9.140625" customWidth="1"/>
    <col min="4618" max="4618" width="9.28515625" customWidth="1"/>
    <col min="4619" max="4619" width="10" customWidth="1"/>
    <col min="4620" max="4620" width="11" customWidth="1"/>
    <col min="4865" max="4865" width="3.7109375" bestFit="1" customWidth="1"/>
    <col min="4866" max="4866" width="52.85546875" customWidth="1"/>
    <col min="4867" max="4867" width="6.7109375" customWidth="1"/>
    <col min="4868" max="4868" width="5.5703125" customWidth="1"/>
    <col min="4869" max="4869" width="9.140625" customWidth="1"/>
    <col min="4870" max="4870" width="8.85546875" customWidth="1"/>
    <col min="4871" max="4871" width="8.7109375" customWidth="1"/>
    <col min="4872" max="4872" width="9" customWidth="1"/>
    <col min="4873" max="4873" width="9.140625" customWidth="1"/>
    <col min="4874" max="4874" width="9.28515625" customWidth="1"/>
    <col min="4875" max="4875" width="10" customWidth="1"/>
    <col min="4876" max="4876" width="11" customWidth="1"/>
    <col min="5121" max="5121" width="3.7109375" bestFit="1" customWidth="1"/>
    <col min="5122" max="5122" width="52.85546875" customWidth="1"/>
    <col min="5123" max="5123" width="6.7109375" customWidth="1"/>
    <col min="5124" max="5124" width="5.5703125" customWidth="1"/>
    <col min="5125" max="5125" width="9.140625" customWidth="1"/>
    <col min="5126" max="5126" width="8.85546875" customWidth="1"/>
    <col min="5127" max="5127" width="8.7109375" customWidth="1"/>
    <col min="5128" max="5128" width="9" customWidth="1"/>
    <col min="5129" max="5129" width="9.140625" customWidth="1"/>
    <col min="5130" max="5130" width="9.28515625" customWidth="1"/>
    <col min="5131" max="5131" width="10" customWidth="1"/>
    <col min="5132" max="5132" width="11" customWidth="1"/>
    <col min="5377" max="5377" width="3.7109375" bestFit="1" customWidth="1"/>
    <col min="5378" max="5378" width="52.85546875" customWidth="1"/>
    <col min="5379" max="5379" width="6.7109375" customWidth="1"/>
    <col min="5380" max="5380" width="5.5703125" customWidth="1"/>
    <col min="5381" max="5381" width="9.140625" customWidth="1"/>
    <col min="5382" max="5382" width="8.85546875" customWidth="1"/>
    <col min="5383" max="5383" width="8.7109375" customWidth="1"/>
    <col min="5384" max="5384" width="9" customWidth="1"/>
    <col min="5385" max="5385" width="9.140625" customWidth="1"/>
    <col min="5386" max="5386" width="9.28515625" customWidth="1"/>
    <col min="5387" max="5387" width="10" customWidth="1"/>
    <col min="5388" max="5388" width="11" customWidth="1"/>
    <col min="5633" max="5633" width="3.7109375" bestFit="1" customWidth="1"/>
    <col min="5634" max="5634" width="52.85546875" customWidth="1"/>
    <col min="5635" max="5635" width="6.7109375" customWidth="1"/>
    <col min="5636" max="5636" width="5.5703125" customWidth="1"/>
    <col min="5637" max="5637" width="9.140625" customWidth="1"/>
    <col min="5638" max="5638" width="8.85546875" customWidth="1"/>
    <col min="5639" max="5639" width="8.7109375" customWidth="1"/>
    <col min="5640" max="5640" width="9" customWidth="1"/>
    <col min="5641" max="5641" width="9.140625" customWidth="1"/>
    <col min="5642" max="5642" width="9.28515625" customWidth="1"/>
    <col min="5643" max="5643" width="10" customWidth="1"/>
    <col min="5644" max="5644" width="11" customWidth="1"/>
    <col min="5889" max="5889" width="3.7109375" bestFit="1" customWidth="1"/>
    <col min="5890" max="5890" width="52.85546875" customWidth="1"/>
    <col min="5891" max="5891" width="6.7109375" customWidth="1"/>
    <col min="5892" max="5892" width="5.5703125" customWidth="1"/>
    <col min="5893" max="5893" width="9.140625" customWidth="1"/>
    <col min="5894" max="5894" width="8.85546875" customWidth="1"/>
    <col min="5895" max="5895" width="8.7109375" customWidth="1"/>
    <col min="5896" max="5896" width="9" customWidth="1"/>
    <col min="5897" max="5897" width="9.140625" customWidth="1"/>
    <col min="5898" max="5898" width="9.28515625" customWidth="1"/>
    <col min="5899" max="5899" width="10" customWidth="1"/>
    <col min="5900" max="5900" width="11" customWidth="1"/>
    <col min="6145" max="6145" width="3.7109375" bestFit="1" customWidth="1"/>
    <col min="6146" max="6146" width="52.85546875" customWidth="1"/>
    <col min="6147" max="6147" width="6.7109375" customWidth="1"/>
    <col min="6148" max="6148" width="5.5703125" customWidth="1"/>
    <col min="6149" max="6149" width="9.140625" customWidth="1"/>
    <col min="6150" max="6150" width="8.85546875" customWidth="1"/>
    <col min="6151" max="6151" width="8.7109375" customWidth="1"/>
    <col min="6152" max="6152" width="9" customWidth="1"/>
    <col min="6153" max="6153" width="9.140625" customWidth="1"/>
    <col min="6154" max="6154" width="9.28515625" customWidth="1"/>
    <col min="6155" max="6155" width="10" customWidth="1"/>
    <col min="6156" max="6156" width="11" customWidth="1"/>
    <col min="6401" max="6401" width="3.7109375" bestFit="1" customWidth="1"/>
    <col min="6402" max="6402" width="52.85546875" customWidth="1"/>
    <col min="6403" max="6403" width="6.7109375" customWidth="1"/>
    <col min="6404" max="6404" width="5.5703125" customWidth="1"/>
    <col min="6405" max="6405" width="9.140625" customWidth="1"/>
    <col min="6406" max="6406" width="8.85546875" customWidth="1"/>
    <col min="6407" max="6407" width="8.7109375" customWidth="1"/>
    <col min="6408" max="6408" width="9" customWidth="1"/>
    <col min="6409" max="6409" width="9.140625" customWidth="1"/>
    <col min="6410" max="6410" width="9.28515625" customWidth="1"/>
    <col min="6411" max="6411" width="10" customWidth="1"/>
    <col min="6412" max="6412" width="11" customWidth="1"/>
    <col min="6657" max="6657" width="3.7109375" bestFit="1" customWidth="1"/>
    <col min="6658" max="6658" width="52.85546875" customWidth="1"/>
    <col min="6659" max="6659" width="6.7109375" customWidth="1"/>
    <col min="6660" max="6660" width="5.5703125" customWidth="1"/>
    <col min="6661" max="6661" width="9.140625" customWidth="1"/>
    <col min="6662" max="6662" width="8.85546875" customWidth="1"/>
    <col min="6663" max="6663" width="8.7109375" customWidth="1"/>
    <col min="6664" max="6664" width="9" customWidth="1"/>
    <col min="6665" max="6665" width="9.140625" customWidth="1"/>
    <col min="6666" max="6666" width="9.28515625" customWidth="1"/>
    <col min="6667" max="6667" width="10" customWidth="1"/>
    <col min="6668" max="6668" width="11" customWidth="1"/>
    <col min="6913" max="6913" width="3.7109375" bestFit="1" customWidth="1"/>
    <col min="6914" max="6914" width="52.85546875" customWidth="1"/>
    <col min="6915" max="6915" width="6.7109375" customWidth="1"/>
    <col min="6916" max="6916" width="5.5703125" customWidth="1"/>
    <col min="6917" max="6917" width="9.140625" customWidth="1"/>
    <col min="6918" max="6918" width="8.85546875" customWidth="1"/>
    <col min="6919" max="6919" width="8.7109375" customWidth="1"/>
    <col min="6920" max="6920" width="9" customWidth="1"/>
    <col min="6921" max="6921" width="9.140625" customWidth="1"/>
    <col min="6922" max="6922" width="9.28515625" customWidth="1"/>
    <col min="6923" max="6923" width="10" customWidth="1"/>
    <col min="6924" max="6924" width="11" customWidth="1"/>
    <col min="7169" max="7169" width="3.7109375" bestFit="1" customWidth="1"/>
    <col min="7170" max="7170" width="52.85546875" customWidth="1"/>
    <col min="7171" max="7171" width="6.7109375" customWidth="1"/>
    <col min="7172" max="7172" width="5.5703125" customWidth="1"/>
    <col min="7173" max="7173" width="9.140625" customWidth="1"/>
    <col min="7174" max="7174" width="8.85546875" customWidth="1"/>
    <col min="7175" max="7175" width="8.7109375" customWidth="1"/>
    <col min="7176" max="7176" width="9" customWidth="1"/>
    <col min="7177" max="7177" width="9.140625" customWidth="1"/>
    <col min="7178" max="7178" width="9.28515625" customWidth="1"/>
    <col min="7179" max="7179" width="10" customWidth="1"/>
    <col min="7180" max="7180" width="11" customWidth="1"/>
    <col min="7425" max="7425" width="3.7109375" bestFit="1" customWidth="1"/>
    <col min="7426" max="7426" width="52.85546875" customWidth="1"/>
    <col min="7427" max="7427" width="6.7109375" customWidth="1"/>
    <col min="7428" max="7428" width="5.5703125" customWidth="1"/>
    <col min="7429" max="7429" width="9.140625" customWidth="1"/>
    <col min="7430" max="7430" width="8.85546875" customWidth="1"/>
    <col min="7431" max="7431" width="8.7109375" customWidth="1"/>
    <col min="7432" max="7432" width="9" customWidth="1"/>
    <col min="7433" max="7433" width="9.140625" customWidth="1"/>
    <col min="7434" max="7434" width="9.28515625" customWidth="1"/>
    <col min="7435" max="7435" width="10" customWidth="1"/>
    <col min="7436" max="7436" width="11" customWidth="1"/>
    <col min="7681" max="7681" width="3.7109375" bestFit="1" customWidth="1"/>
    <col min="7682" max="7682" width="52.85546875" customWidth="1"/>
    <col min="7683" max="7683" width="6.7109375" customWidth="1"/>
    <col min="7684" max="7684" width="5.5703125" customWidth="1"/>
    <col min="7685" max="7685" width="9.140625" customWidth="1"/>
    <col min="7686" max="7686" width="8.85546875" customWidth="1"/>
    <col min="7687" max="7687" width="8.7109375" customWidth="1"/>
    <col min="7688" max="7688" width="9" customWidth="1"/>
    <col min="7689" max="7689" width="9.140625" customWidth="1"/>
    <col min="7690" max="7690" width="9.28515625" customWidth="1"/>
    <col min="7691" max="7691" width="10" customWidth="1"/>
    <col min="7692" max="7692" width="11" customWidth="1"/>
    <col min="7937" max="7937" width="3.7109375" bestFit="1" customWidth="1"/>
    <col min="7938" max="7938" width="52.85546875" customWidth="1"/>
    <col min="7939" max="7939" width="6.7109375" customWidth="1"/>
    <col min="7940" max="7940" width="5.5703125" customWidth="1"/>
    <col min="7941" max="7941" width="9.140625" customWidth="1"/>
    <col min="7942" max="7942" width="8.85546875" customWidth="1"/>
    <col min="7943" max="7943" width="8.7109375" customWidth="1"/>
    <col min="7944" max="7944" width="9" customWidth="1"/>
    <col min="7945" max="7945" width="9.140625" customWidth="1"/>
    <col min="7946" max="7946" width="9.28515625" customWidth="1"/>
    <col min="7947" max="7947" width="10" customWidth="1"/>
    <col min="7948" max="7948" width="11" customWidth="1"/>
    <col min="8193" max="8193" width="3.7109375" bestFit="1" customWidth="1"/>
    <col min="8194" max="8194" width="52.85546875" customWidth="1"/>
    <col min="8195" max="8195" width="6.7109375" customWidth="1"/>
    <col min="8196" max="8196" width="5.5703125" customWidth="1"/>
    <col min="8197" max="8197" width="9.140625" customWidth="1"/>
    <col min="8198" max="8198" width="8.85546875" customWidth="1"/>
    <col min="8199" max="8199" width="8.7109375" customWidth="1"/>
    <col min="8200" max="8200" width="9" customWidth="1"/>
    <col min="8201" max="8201" width="9.140625" customWidth="1"/>
    <col min="8202" max="8202" width="9.28515625" customWidth="1"/>
    <col min="8203" max="8203" width="10" customWidth="1"/>
    <col min="8204" max="8204" width="11" customWidth="1"/>
    <col min="8449" max="8449" width="3.7109375" bestFit="1" customWidth="1"/>
    <col min="8450" max="8450" width="52.85546875" customWidth="1"/>
    <col min="8451" max="8451" width="6.7109375" customWidth="1"/>
    <col min="8452" max="8452" width="5.5703125" customWidth="1"/>
    <col min="8453" max="8453" width="9.140625" customWidth="1"/>
    <col min="8454" max="8454" width="8.85546875" customWidth="1"/>
    <col min="8455" max="8455" width="8.7109375" customWidth="1"/>
    <col min="8456" max="8456" width="9" customWidth="1"/>
    <col min="8457" max="8457" width="9.140625" customWidth="1"/>
    <col min="8458" max="8458" width="9.28515625" customWidth="1"/>
    <col min="8459" max="8459" width="10" customWidth="1"/>
    <col min="8460" max="8460" width="11" customWidth="1"/>
    <col min="8705" max="8705" width="3.7109375" bestFit="1" customWidth="1"/>
    <col min="8706" max="8706" width="52.85546875" customWidth="1"/>
    <col min="8707" max="8707" width="6.7109375" customWidth="1"/>
    <col min="8708" max="8708" width="5.5703125" customWidth="1"/>
    <col min="8709" max="8709" width="9.140625" customWidth="1"/>
    <col min="8710" max="8710" width="8.85546875" customWidth="1"/>
    <col min="8711" max="8711" width="8.7109375" customWidth="1"/>
    <col min="8712" max="8712" width="9" customWidth="1"/>
    <col min="8713" max="8713" width="9.140625" customWidth="1"/>
    <col min="8714" max="8714" width="9.28515625" customWidth="1"/>
    <col min="8715" max="8715" width="10" customWidth="1"/>
    <col min="8716" max="8716" width="11" customWidth="1"/>
    <col min="8961" max="8961" width="3.7109375" bestFit="1" customWidth="1"/>
    <col min="8962" max="8962" width="52.85546875" customWidth="1"/>
    <col min="8963" max="8963" width="6.7109375" customWidth="1"/>
    <col min="8964" max="8964" width="5.5703125" customWidth="1"/>
    <col min="8965" max="8965" width="9.140625" customWidth="1"/>
    <col min="8966" max="8966" width="8.85546875" customWidth="1"/>
    <col min="8967" max="8967" width="8.7109375" customWidth="1"/>
    <col min="8968" max="8968" width="9" customWidth="1"/>
    <col min="8969" max="8969" width="9.140625" customWidth="1"/>
    <col min="8970" max="8970" width="9.28515625" customWidth="1"/>
    <col min="8971" max="8971" width="10" customWidth="1"/>
    <col min="8972" max="8972" width="11" customWidth="1"/>
    <col min="9217" max="9217" width="3.7109375" bestFit="1" customWidth="1"/>
    <col min="9218" max="9218" width="52.85546875" customWidth="1"/>
    <col min="9219" max="9219" width="6.7109375" customWidth="1"/>
    <col min="9220" max="9220" width="5.5703125" customWidth="1"/>
    <col min="9221" max="9221" width="9.140625" customWidth="1"/>
    <col min="9222" max="9222" width="8.85546875" customWidth="1"/>
    <col min="9223" max="9223" width="8.7109375" customWidth="1"/>
    <col min="9224" max="9224" width="9" customWidth="1"/>
    <col min="9225" max="9225" width="9.140625" customWidth="1"/>
    <col min="9226" max="9226" width="9.28515625" customWidth="1"/>
    <col min="9227" max="9227" width="10" customWidth="1"/>
    <col min="9228" max="9228" width="11" customWidth="1"/>
    <col min="9473" max="9473" width="3.7109375" bestFit="1" customWidth="1"/>
    <col min="9474" max="9474" width="52.85546875" customWidth="1"/>
    <col min="9475" max="9475" width="6.7109375" customWidth="1"/>
    <col min="9476" max="9476" width="5.5703125" customWidth="1"/>
    <col min="9477" max="9477" width="9.140625" customWidth="1"/>
    <col min="9478" max="9478" width="8.85546875" customWidth="1"/>
    <col min="9479" max="9479" width="8.7109375" customWidth="1"/>
    <col min="9480" max="9480" width="9" customWidth="1"/>
    <col min="9481" max="9481" width="9.140625" customWidth="1"/>
    <col min="9482" max="9482" width="9.28515625" customWidth="1"/>
    <col min="9483" max="9483" width="10" customWidth="1"/>
    <col min="9484" max="9484" width="11" customWidth="1"/>
    <col min="9729" max="9729" width="3.7109375" bestFit="1" customWidth="1"/>
    <col min="9730" max="9730" width="52.85546875" customWidth="1"/>
    <col min="9731" max="9731" width="6.7109375" customWidth="1"/>
    <col min="9732" max="9732" width="5.5703125" customWidth="1"/>
    <col min="9733" max="9733" width="9.140625" customWidth="1"/>
    <col min="9734" max="9734" width="8.85546875" customWidth="1"/>
    <col min="9735" max="9735" width="8.7109375" customWidth="1"/>
    <col min="9736" max="9736" width="9" customWidth="1"/>
    <col min="9737" max="9737" width="9.140625" customWidth="1"/>
    <col min="9738" max="9738" width="9.28515625" customWidth="1"/>
    <col min="9739" max="9739" width="10" customWidth="1"/>
    <col min="9740" max="9740" width="11" customWidth="1"/>
    <col min="9985" max="9985" width="3.7109375" bestFit="1" customWidth="1"/>
    <col min="9986" max="9986" width="52.85546875" customWidth="1"/>
    <col min="9987" max="9987" width="6.7109375" customWidth="1"/>
    <col min="9988" max="9988" width="5.5703125" customWidth="1"/>
    <col min="9989" max="9989" width="9.140625" customWidth="1"/>
    <col min="9990" max="9990" width="8.85546875" customWidth="1"/>
    <col min="9991" max="9991" width="8.7109375" customWidth="1"/>
    <col min="9992" max="9992" width="9" customWidth="1"/>
    <col min="9993" max="9993" width="9.140625" customWidth="1"/>
    <col min="9994" max="9994" width="9.28515625" customWidth="1"/>
    <col min="9995" max="9995" width="10" customWidth="1"/>
    <col min="9996" max="9996" width="11" customWidth="1"/>
    <col min="10241" max="10241" width="3.7109375" bestFit="1" customWidth="1"/>
    <col min="10242" max="10242" width="52.85546875" customWidth="1"/>
    <col min="10243" max="10243" width="6.7109375" customWidth="1"/>
    <col min="10244" max="10244" width="5.5703125" customWidth="1"/>
    <col min="10245" max="10245" width="9.140625" customWidth="1"/>
    <col min="10246" max="10246" width="8.85546875" customWidth="1"/>
    <col min="10247" max="10247" width="8.7109375" customWidth="1"/>
    <col min="10248" max="10248" width="9" customWidth="1"/>
    <col min="10249" max="10249" width="9.140625" customWidth="1"/>
    <col min="10250" max="10250" width="9.28515625" customWidth="1"/>
    <col min="10251" max="10251" width="10" customWidth="1"/>
    <col min="10252" max="10252" width="11" customWidth="1"/>
    <col min="10497" max="10497" width="3.7109375" bestFit="1" customWidth="1"/>
    <col min="10498" max="10498" width="52.85546875" customWidth="1"/>
    <col min="10499" max="10499" width="6.7109375" customWidth="1"/>
    <col min="10500" max="10500" width="5.5703125" customWidth="1"/>
    <col min="10501" max="10501" width="9.140625" customWidth="1"/>
    <col min="10502" max="10502" width="8.85546875" customWidth="1"/>
    <col min="10503" max="10503" width="8.7109375" customWidth="1"/>
    <col min="10504" max="10504" width="9" customWidth="1"/>
    <col min="10505" max="10505" width="9.140625" customWidth="1"/>
    <col min="10506" max="10506" width="9.28515625" customWidth="1"/>
    <col min="10507" max="10507" width="10" customWidth="1"/>
    <col min="10508" max="10508" width="11" customWidth="1"/>
    <col min="10753" max="10753" width="3.7109375" bestFit="1" customWidth="1"/>
    <col min="10754" max="10754" width="52.85546875" customWidth="1"/>
    <col min="10755" max="10755" width="6.7109375" customWidth="1"/>
    <col min="10756" max="10756" width="5.5703125" customWidth="1"/>
    <col min="10757" max="10757" width="9.140625" customWidth="1"/>
    <col min="10758" max="10758" width="8.85546875" customWidth="1"/>
    <col min="10759" max="10759" width="8.7109375" customWidth="1"/>
    <col min="10760" max="10760" width="9" customWidth="1"/>
    <col min="10761" max="10761" width="9.140625" customWidth="1"/>
    <col min="10762" max="10762" width="9.28515625" customWidth="1"/>
    <col min="10763" max="10763" width="10" customWidth="1"/>
    <col min="10764" max="10764" width="11" customWidth="1"/>
    <col min="11009" max="11009" width="3.7109375" bestFit="1" customWidth="1"/>
    <col min="11010" max="11010" width="52.85546875" customWidth="1"/>
    <col min="11011" max="11011" width="6.7109375" customWidth="1"/>
    <col min="11012" max="11012" width="5.5703125" customWidth="1"/>
    <col min="11013" max="11013" width="9.140625" customWidth="1"/>
    <col min="11014" max="11014" width="8.85546875" customWidth="1"/>
    <col min="11015" max="11015" width="8.7109375" customWidth="1"/>
    <col min="11016" max="11016" width="9" customWidth="1"/>
    <col min="11017" max="11017" width="9.140625" customWidth="1"/>
    <col min="11018" max="11018" width="9.28515625" customWidth="1"/>
    <col min="11019" max="11019" width="10" customWidth="1"/>
    <col min="11020" max="11020" width="11" customWidth="1"/>
    <col min="11265" max="11265" width="3.7109375" bestFit="1" customWidth="1"/>
    <col min="11266" max="11266" width="52.85546875" customWidth="1"/>
    <col min="11267" max="11267" width="6.7109375" customWidth="1"/>
    <col min="11268" max="11268" width="5.5703125" customWidth="1"/>
    <col min="11269" max="11269" width="9.140625" customWidth="1"/>
    <col min="11270" max="11270" width="8.85546875" customWidth="1"/>
    <col min="11271" max="11271" width="8.7109375" customWidth="1"/>
    <col min="11272" max="11272" width="9" customWidth="1"/>
    <col min="11273" max="11273" width="9.140625" customWidth="1"/>
    <col min="11274" max="11274" width="9.28515625" customWidth="1"/>
    <col min="11275" max="11275" width="10" customWidth="1"/>
    <col min="11276" max="11276" width="11" customWidth="1"/>
    <col min="11521" max="11521" width="3.7109375" bestFit="1" customWidth="1"/>
    <col min="11522" max="11522" width="52.85546875" customWidth="1"/>
    <col min="11523" max="11523" width="6.7109375" customWidth="1"/>
    <col min="11524" max="11524" width="5.5703125" customWidth="1"/>
    <col min="11525" max="11525" width="9.140625" customWidth="1"/>
    <col min="11526" max="11526" width="8.85546875" customWidth="1"/>
    <col min="11527" max="11527" width="8.7109375" customWidth="1"/>
    <col min="11528" max="11528" width="9" customWidth="1"/>
    <col min="11529" max="11529" width="9.140625" customWidth="1"/>
    <col min="11530" max="11530" width="9.28515625" customWidth="1"/>
    <col min="11531" max="11531" width="10" customWidth="1"/>
    <col min="11532" max="11532" width="11" customWidth="1"/>
    <col min="11777" max="11777" width="3.7109375" bestFit="1" customWidth="1"/>
    <col min="11778" max="11778" width="52.85546875" customWidth="1"/>
    <col min="11779" max="11779" width="6.7109375" customWidth="1"/>
    <col min="11780" max="11780" width="5.5703125" customWidth="1"/>
    <col min="11781" max="11781" width="9.140625" customWidth="1"/>
    <col min="11782" max="11782" width="8.85546875" customWidth="1"/>
    <col min="11783" max="11783" width="8.7109375" customWidth="1"/>
    <col min="11784" max="11784" width="9" customWidth="1"/>
    <col min="11785" max="11785" width="9.140625" customWidth="1"/>
    <col min="11786" max="11786" width="9.28515625" customWidth="1"/>
    <col min="11787" max="11787" width="10" customWidth="1"/>
    <col min="11788" max="11788" width="11" customWidth="1"/>
    <col min="12033" max="12033" width="3.7109375" bestFit="1" customWidth="1"/>
    <col min="12034" max="12034" width="52.85546875" customWidth="1"/>
    <col min="12035" max="12035" width="6.7109375" customWidth="1"/>
    <col min="12036" max="12036" width="5.5703125" customWidth="1"/>
    <col min="12037" max="12037" width="9.140625" customWidth="1"/>
    <col min="12038" max="12038" width="8.85546875" customWidth="1"/>
    <col min="12039" max="12039" width="8.7109375" customWidth="1"/>
    <col min="12040" max="12040" width="9" customWidth="1"/>
    <col min="12041" max="12041" width="9.140625" customWidth="1"/>
    <col min="12042" max="12042" width="9.28515625" customWidth="1"/>
    <col min="12043" max="12043" width="10" customWidth="1"/>
    <col min="12044" max="12044" width="11" customWidth="1"/>
    <col min="12289" max="12289" width="3.7109375" bestFit="1" customWidth="1"/>
    <col min="12290" max="12290" width="52.85546875" customWidth="1"/>
    <col min="12291" max="12291" width="6.7109375" customWidth="1"/>
    <col min="12292" max="12292" width="5.5703125" customWidth="1"/>
    <col min="12293" max="12293" width="9.140625" customWidth="1"/>
    <col min="12294" max="12294" width="8.85546875" customWidth="1"/>
    <col min="12295" max="12295" width="8.7109375" customWidth="1"/>
    <col min="12296" max="12296" width="9" customWidth="1"/>
    <col min="12297" max="12297" width="9.140625" customWidth="1"/>
    <col min="12298" max="12298" width="9.28515625" customWidth="1"/>
    <col min="12299" max="12299" width="10" customWidth="1"/>
    <col min="12300" max="12300" width="11" customWidth="1"/>
    <col min="12545" max="12545" width="3.7109375" bestFit="1" customWidth="1"/>
    <col min="12546" max="12546" width="52.85546875" customWidth="1"/>
    <col min="12547" max="12547" width="6.7109375" customWidth="1"/>
    <col min="12548" max="12548" width="5.5703125" customWidth="1"/>
    <col min="12549" max="12549" width="9.140625" customWidth="1"/>
    <col min="12550" max="12550" width="8.85546875" customWidth="1"/>
    <col min="12551" max="12551" width="8.7109375" customWidth="1"/>
    <col min="12552" max="12552" width="9" customWidth="1"/>
    <col min="12553" max="12553" width="9.140625" customWidth="1"/>
    <col min="12554" max="12554" width="9.28515625" customWidth="1"/>
    <col min="12555" max="12555" width="10" customWidth="1"/>
    <col min="12556" max="12556" width="11" customWidth="1"/>
    <col min="12801" max="12801" width="3.7109375" bestFit="1" customWidth="1"/>
    <col min="12802" max="12802" width="52.85546875" customWidth="1"/>
    <col min="12803" max="12803" width="6.7109375" customWidth="1"/>
    <col min="12804" max="12804" width="5.5703125" customWidth="1"/>
    <col min="12805" max="12805" width="9.140625" customWidth="1"/>
    <col min="12806" max="12806" width="8.85546875" customWidth="1"/>
    <col min="12807" max="12807" width="8.7109375" customWidth="1"/>
    <col min="12808" max="12808" width="9" customWidth="1"/>
    <col min="12809" max="12809" width="9.140625" customWidth="1"/>
    <col min="12810" max="12810" width="9.28515625" customWidth="1"/>
    <col min="12811" max="12811" width="10" customWidth="1"/>
    <col min="12812" max="12812" width="11" customWidth="1"/>
    <col min="13057" max="13057" width="3.7109375" bestFit="1" customWidth="1"/>
    <col min="13058" max="13058" width="52.85546875" customWidth="1"/>
    <col min="13059" max="13059" width="6.7109375" customWidth="1"/>
    <col min="13060" max="13060" width="5.5703125" customWidth="1"/>
    <col min="13061" max="13061" width="9.140625" customWidth="1"/>
    <col min="13062" max="13062" width="8.85546875" customWidth="1"/>
    <col min="13063" max="13063" width="8.7109375" customWidth="1"/>
    <col min="13064" max="13064" width="9" customWidth="1"/>
    <col min="13065" max="13065" width="9.140625" customWidth="1"/>
    <col min="13066" max="13066" width="9.28515625" customWidth="1"/>
    <col min="13067" max="13067" width="10" customWidth="1"/>
    <col min="13068" max="13068" width="11" customWidth="1"/>
    <col min="13313" max="13313" width="3.7109375" bestFit="1" customWidth="1"/>
    <col min="13314" max="13314" width="52.85546875" customWidth="1"/>
    <col min="13315" max="13315" width="6.7109375" customWidth="1"/>
    <col min="13316" max="13316" width="5.5703125" customWidth="1"/>
    <col min="13317" max="13317" width="9.140625" customWidth="1"/>
    <col min="13318" max="13318" width="8.85546875" customWidth="1"/>
    <col min="13319" max="13319" width="8.7109375" customWidth="1"/>
    <col min="13320" max="13320" width="9" customWidth="1"/>
    <col min="13321" max="13321" width="9.140625" customWidth="1"/>
    <col min="13322" max="13322" width="9.28515625" customWidth="1"/>
    <col min="13323" max="13323" width="10" customWidth="1"/>
    <col min="13324" max="13324" width="11" customWidth="1"/>
    <col min="13569" max="13569" width="3.7109375" bestFit="1" customWidth="1"/>
    <col min="13570" max="13570" width="52.85546875" customWidth="1"/>
    <col min="13571" max="13571" width="6.7109375" customWidth="1"/>
    <col min="13572" max="13572" width="5.5703125" customWidth="1"/>
    <col min="13573" max="13573" width="9.140625" customWidth="1"/>
    <col min="13574" max="13574" width="8.85546875" customWidth="1"/>
    <col min="13575" max="13575" width="8.7109375" customWidth="1"/>
    <col min="13576" max="13576" width="9" customWidth="1"/>
    <col min="13577" max="13577" width="9.140625" customWidth="1"/>
    <col min="13578" max="13578" width="9.28515625" customWidth="1"/>
    <col min="13579" max="13579" width="10" customWidth="1"/>
    <col min="13580" max="13580" width="11" customWidth="1"/>
    <col min="13825" max="13825" width="3.7109375" bestFit="1" customWidth="1"/>
    <col min="13826" max="13826" width="52.85546875" customWidth="1"/>
    <col min="13827" max="13827" width="6.7109375" customWidth="1"/>
    <col min="13828" max="13828" width="5.5703125" customWidth="1"/>
    <col min="13829" max="13829" width="9.140625" customWidth="1"/>
    <col min="13830" max="13830" width="8.85546875" customWidth="1"/>
    <col min="13831" max="13831" width="8.7109375" customWidth="1"/>
    <col min="13832" max="13832" width="9" customWidth="1"/>
    <col min="13833" max="13833" width="9.140625" customWidth="1"/>
    <col min="13834" max="13834" width="9.28515625" customWidth="1"/>
    <col min="13835" max="13835" width="10" customWidth="1"/>
    <col min="13836" max="13836" width="11" customWidth="1"/>
    <col min="14081" max="14081" width="3.7109375" bestFit="1" customWidth="1"/>
    <col min="14082" max="14082" width="52.85546875" customWidth="1"/>
    <col min="14083" max="14083" width="6.7109375" customWidth="1"/>
    <col min="14084" max="14084" width="5.5703125" customWidth="1"/>
    <col min="14085" max="14085" width="9.140625" customWidth="1"/>
    <col min="14086" max="14086" width="8.85546875" customWidth="1"/>
    <col min="14087" max="14087" width="8.7109375" customWidth="1"/>
    <col min="14088" max="14088" width="9" customWidth="1"/>
    <col min="14089" max="14089" width="9.140625" customWidth="1"/>
    <col min="14090" max="14090" width="9.28515625" customWidth="1"/>
    <col min="14091" max="14091" width="10" customWidth="1"/>
    <col min="14092" max="14092" width="11" customWidth="1"/>
    <col min="14337" max="14337" width="3.7109375" bestFit="1" customWidth="1"/>
    <col min="14338" max="14338" width="52.85546875" customWidth="1"/>
    <col min="14339" max="14339" width="6.7109375" customWidth="1"/>
    <col min="14340" max="14340" width="5.5703125" customWidth="1"/>
    <col min="14341" max="14341" width="9.140625" customWidth="1"/>
    <col min="14342" max="14342" width="8.85546875" customWidth="1"/>
    <col min="14343" max="14343" width="8.7109375" customWidth="1"/>
    <col min="14344" max="14344" width="9" customWidth="1"/>
    <col min="14345" max="14345" width="9.140625" customWidth="1"/>
    <col min="14346" max="14346" width="9.28515625" customWidth="1"/>
    <col min="14347" max="14347" width="10" customWidth="1"/>
    <col min="14348" max="14348" width="11" customWidth="1"/>
    <col min="14593" max="14593" width="3.7109375" bestFit="1" customWidth="1"/>
    <col min="14594" max="14594" width="52.85546875" customWidth="1"/>
    <col min="14595" max="14595" width="6.7109375" customWidth="1"/>
    <col min="14596" max="14596" width="5.5703125" customWidth="1"/>
    <col min="14597" max="14597" width="9.140625" customWidth="1"/>
    <col min="14598" max="14598" width="8.85546875" customWidth="1"/>
    <col min="14599" max="14599" width="8.7109375" customWidth="1"/>
    <col min="14600" max="14600" width="9" customWidth="1"/>
    <col min="14601" max="14601" width="9.140625" customWidth="1"/>
    <col min="14602" max="14602" width="9.28515625" customWidth="1"/>
    <col min="14603" max="14603" width="10" customWidth="1"/>
    <col min="14604" max="14604" width="11" customWidth="1"/>
    <col min="14849" max="14849" width="3.7109375" bestFit="1" customWidth="1"/>
    <col min="14850" max="14850" width="52.85546875" customWidth="1"/>
    <col min="14851" max="14851" width="6.7109375" customWidth="1"/>
    <col min="14852" max="14852" width="5.5703125" customWidth="1"/>
    <col min="14853" max="14853" width="9.140625" customWidth="1"/>
    <col min="14854" max="14854" width="8.85546875" customWidth="1"/>
    <col min="14855" max="14855" width="8.7109375" customWidth="1"/>
    <col min="14856" max="14856" width="9" customWidth="1"/>
    <col min="14857" max="14857" width="9.140625" customWidth="1"/>
    <col min="14858" max="14858" width="9.28515625" customWidth="1"/>
    <col min="14859" max="14859" width="10" customWidth="1"/>
    <col min="14860" max="14860" width="11" customWidth="1"/>
    <col min="15105" max="15105" width="3.7109375" bestFit="1" customWidth="1"/>
    <col min="15106" max="15106" width="52.85546875" customWidth="1"/>
    <col min="15107" max="15107" width="6.7109375" customWidth="1"/>
    <col min="15108" max="15108" width="5.5703125" customWidth="1"/>
    <col min="15109" max="15109" width="9.140625" customWidth="1"/>
    <col min="15110" max="15110" width="8.85546875" customWidth="1"/>
    <col min="15111" max="15111" width="8.7109375" customWidth="1"/>
    <col min="15112" max="15112" width="9" customWidth="1"/>
    <col min="15113" max="15113" width="9.140625" customWidth="1"/>
    <col min="15114" max="15114" width="9.28515625" customWidth="1"/>
    <col min="15115" max="15115" width="10" customWidth="1"/>
    <col min="15116" max="15116" width="11" customWidth="1"/>
    <col min="15361" max="15361" width="3.7109375" bestFit="1" customWidth="1"/>
    <col min="15362" max="15362" width="52.85546875" customWidth="1"/>
    <col min="15363" max="15363" width="6.7109375" customWidth="1"/>
    <col min="15364" max="15364" width="5.5703125" customWidth="1"/>
    <col min="15365" max="15365" width="9.140625" customWidth="1"/>
    <col min="15366" max="15366" width="8.85546875" customWidth="1"/>
    <col min="15367" max="15367" width="8.7109375" customWidth="1"/>
    <col min="15368" max="15368" width="9" customWidth="1"/>
    <col min="15369" max="15369" width="9.140625" customWidth="1"/>
    <col min="15370" max="15370" width="9.28515625" customWidth="1"/>
    <col min="15371" max="15371" width="10" customWidth="1"/>
    <col min="15372" max="15372" width="11" customWidth="1"/>
    <col min="15617" max="15617" width="3.7109375" bestFit="1" customWidth="1"/>
    <col min="15618" max="15618" width="52.85546875" customWidth="1"/>
    <col min="15619" max="15619" width="6.7109375" customWidth="1"/>
    <col min="15620" max="15620" width="5.5703125" customWidth="1"/>
    <col min="15621" max="15621" width="9.140625" customWidth="1"/>
    <col min="15622" max="15622" width="8.85546875" customWidth="1"/>
    <col min="15623" max="15623" width="8.7109375" customWidth="1"/>
    <col min="15624" max="15624" width="9" customWidth="1"/>
    <col min="15625" max="15625" width="9.140625" customWidth="1"/>
    <col min="15626" max="15626" width="9.28515625" customWidth="1"/>
    <col min="15627" max="15627" width="10" customWidth="1"/>
    <col min="15628" max="15628" width="11" customWidth="1"/>
    <col min="15873" max="15873" width="3.7109375" bestFit="1" customWidth="1"/>
    <col min="15874" max="15874" width="52.85546875" customWidth="1"/>
    <col min="15875" max="15875" width="6.7109375" customWidth="1"/>
    <col min="15876" max="15876" width="5.5703125" customWidth="1"/>
    <col min="15877" max="15877" width="9.140625" customWidth="1"/>
    <col min="15878" max="15878" width="8.85546875" customWidth="1"/>
    <col min="15879" max="15879" width="8.7109375" customWidth="1"/>
    <col min="15880" max="15880" width="9" customWidth="1"/>
    <col min="15881" max="15881" width="9.140625" customWidth="1"/>
    <col min="15882" max="15882" width="9.28515625" customWidth="1"/>
    <col min="15883" max="15883" width="10" customWidth="1"/>
    <col min="15884" max="15884" width="11" customWidth="1"/>
    <col min="16129" max="16129" width="3.7109375" bestFit="1" customWidth="1"/>
    <col min="16130" max="16130" width="52.85546875" customWidth="1"/>
    <col min="16131" max="16131" width="6.7109375" customWidth="1"/>
    <col min="16132" max="16132" width="5.5703125" customWidth="1"/>
    <col min="16133" max="16133" width="9.140625" customWidth="1"/>
    <col min="16134" max="16134" width="8.85546875" customWidth="1"/>
    <col min="16135" max="16135" width="8.7109375" customWidth="1"/>
    <col min="16136" max="16136" width="9" customWidth="1"/>
    <col min="16137" max="16137" width="9.140625" customWidth="1"/>
    <col min="16138" max="16138" width="9.28515625" customWidth="1"/>
    <col min="16139" max="16139" width="10" customWidth="1"/>
    <col min="16140" max="16140" width="11" customWidth="1"/>
  </cols>
  <sheetData>
    <row r="1" spans="1:12" ht="21.75" customHeight="1" x14ac:dyDescent="0.2">
      <c r="A1">
        <v>252</v>
      </c>
      <c r="B1" s="257"/>
      <c r="C1" s="257"/>
      <c r="D1" s="257"/>
      <c r="E1" s="257"/>
      <c r="F1" s="257"/>
      <c r="G1" s="257"/>
      <c r="H1" s="257"/>
      <c r="I1" s="257"/>
      <c r="J1" s="257"/>
      <c r="K1" s="257"/>
      <c r="L1" s="258"/>
    </row>
    <row r="2" spans="1:12" ht="12.95" customHeight="1" x14ac:dyDescent="0.2">
      <c r="A2" s="227" t="s">
        <v>38</v>
      </c>
      <c r="B2" s="579"/>
      <c r="C2" s="579"/>
      <c r="D2" s="579"/>
      <c r="E2" s="240" t="s">
        <v>273</v>
      </c>
      <c r="F2" s="590"/>
      <c r="G2" s="579"/>
      <c r="H2" s="579"/>
      <c r="I2" s="579"/>
      <c r="J2" s="217" t="s">
        <v>274</v>
      </c>
      <c r="K2" s="725"/>
      <c r="L2" s="726"/>
    </row>
    <row r="3" spans="1:12" ht="12.95" customHeight="1" x14ac:dyDescent="0.2">
      <c r="A3" s="228" t="s">
        <v>40</v>
      </c>
      <c r="B3" s="585"/>
      <c r="C3" s="585"/>
      <c r="D3" s="585"/>
      <c r="E3" s="243" t="s">
        <v>273</v>
      </c>
      <c r="F3" s="587"/>
      <c r="G3" s="581"/>
      <c r="H3" s="581"/>
      <c r="I3" s="581"/>
      <c r="J3" s="219" t="s">
        <v>274</v>
      </c>
      <c r="K3" s="727"/>
      <c r="L3" s="728"/>
    </row>
    <row r="4" spans="1:12" ht="12.95" customHeight="1" x14ac:dyDescent="0.2">
      <c r="A4" s="229" t="s">
        <v>43</v>
      </c>
      <c r="B4" s="583"/>
      <c r="C4" s="583"/>
      <c r="D4" s="583"/>
      <c r="E4" s="172" t="s">
        <v>273</v>
      </c>
      <c r="F4" s="588"/>
      <c r="G4" s="672"/>
      <c r="H4" s="672"/>
      <c r="I4" s="672"/>
      <c r="J4" s="221" t="s">
        <v>274</v>
      </c>
      <c r="K4" s="722"/>
      <c r="L4" s="723"/>
    </row>
    <row r="5" spans="1:12" x14ac:dyDescent="0.2">
      <c r="A5" s="189" t="s">
        <v>46</v>
      </c>
      <c r="B5" s="585"/>
      <c r="C5" s="585"/>
      <c r="D5" s="585"/>
      <c r="E5" s="171" t="s">
        <v>273</v>
      </c>
      <c r="F5" s="587"/>
      <c r="G5" s="581"/>
      <c r="H5" s="581"/>
      <c r="I5" s="581"/>
      <c r="J5" s="171" t="s">
        <v>274</v>
      </c>
      <c r="K5" s="724"/>
      <c r="L5" s="586"/>
    </row>
    <row r="6" spans="1:12" x14ac:dyDescent="0.2">
      <c r="A6" s="190" t="s">
        <v>80</v>
      </c>
      <c r="B6" s="583"/>
      <c r="C6" s="583"/>
      <c r="D6" s="583"/>
      <c r="E6" s="172" t="s">
        <v>273</v>
      </c>
      <c r="F6" s="588"/>
      <c r="G6" s="583"/>
      <c r="H6" s="583"/>
      <c r="I6" s="583"/>
      <c r="J6" s="172" t="s">
        <v>274</v>
      </c>
      <c r="K6" s="583"/>
      <c r="L6" s="584"/>
    </row>
    <row r="7" spans="1:12" x14ac:dyDescent="0.2">
      <c r="A7" s="191" t="s">
        <v>82</v>
      </c>
      <c r="B7" s="700"/>
      <c r="C7" s="700"/>
      <c r="D7" s="700"/>
      <c r="E7" s="192" t="s">
        <v>273</v>
      </c>
      <c r="F7" s="719"/>
      <c r="G7" s="720"/>
      <c r="H7" s="720"/>
      <c r="I7" s="720"/>
      <c r="J7" s="193" t="s">
        <v>274</v>
      </c>
      <c r="K7" s="700"/>
      <c r="L7" s="721"/>
    </row>
    <row r="8" spans="1:12" x14ac:dyDescent="0.2">
      <c r="A8" s="715" t="s">
        <v>279</v>
      </c>
      <c r="B8" s="716" t="s">
        <v>358</v>
      </c>
      <c r="C8" s="715" t="s">
        <v>281</v>
      </c>
      <c r="D8" s="715" t="s">
        <v>282</v>
      </c>
      <c r="E8" s="717" t="s">
        <v>283</v>
      </c>
      <c r="F8" s="717"/>
      <c r="G8" s="717"/>
      <c r="H8" s="717"/>
      <c r="I8" s="717"/>
      <c r="J8" s="717"/>
      <c r="K8" s="718" t="s">
        <v>284</v>
      </c>
      <c r="L8" s="718"/>
    </row>
    <row r="9" spans="1:12" ht="13.5" x14ac:dyDescent="0.2">
      <c r="A9" s="715"/>
      <c r="B9" s="716"/>
      <c r="C9" s="715"/>
      <c r="D9" s="715"/>
      <c r="E9" s="354" t="s">
        <v>38</v>
      </c>
      <c r="F9" s="355" t="s">
        <v>40</v>
      </c>
      <c r="G9" s="355" t="s">
        <v>43</v>
      </c>
      <c r="H9" s="355" t="s">
        <v>46</v>
      </c>
      <c r="I9" s="355" t="s">
        <v>80</v>
      </c>
      <c r="J9" s="355" t="s">
        <v>82</v>
      </c>
      <c r="K9" s="716" t="s">
        <v>285</v>
      </c>
      <c r="L9" s="716" t="s">
        <v>286</v>
      </c>
    </row>
    <row r="10" spans="1:12" ht="23.25" customHeight="1" x14ac:dyDescent="0.2">
      <c r="A10" s="715"/>
      <c r="B10" s="716"/>
      <c r="C10" s="715"/>
      <c r="D10" s="715"/>
      <c r="E10" s="353" t="s">
        <v>287</v>
      </c>
      <c r="F10" s="353" t="s">
        <v>287</v>
      </c>
      <c r="G10" s="353" t="s">
        <v>287</v>
      </c>
      <c r="H10" s="353" t="s">
        <v>287</v>
      </c>
      <c r="I10" s="353" t="s">
        <v>287</v>
      </c>
      <c r="J10" s="353" t="s">
        <v>287</v>
      </c>
      <c r="K10" s="716"/>
      <c r="L10" s="716"/>
    </row>
    <row r="11" spans="1:12" s="179" customFormat="1" ht="14.1" customHeight="1" x14ac:dyDescent="0.2">
      <c r="A11" s="356">
        <v>1</v>
      </c>
      <c r="B11" s="360" t="s">
        <v>359</v>
      </c>
      <c r="C11" s="181" t="s">
        <v>281</v>
      </c>
      <c r="D11" s="357">
        <v>1</v>
      </c>
      <c r="E11" s="390">
        <v>297</v>
      </c>
      <c r="F11" s="243">
        <v>280</v>
      </c>
      <c r="G11" s="243">
        <v>302.02999999999997</v>
      </c>
      <c r="H11" s="243">
        <v>269.92</v>
      </c>
      <c r="I11" s="243">
        <v>298</v>
      </c>
      <c r="J11" s="243">
        <v>334.9</v>
      </c>
      <c r="K11" s="359">
        <f>AVERAGE(E11:J11)</f>
        <v>296.97499999999997</v>
      </c>
      <c r="L11" s="359">
        <f>K11*D11</f>
        <v>296.97499999999997</v>
      </c>
    </row>
    <row r="12" spans="1:12" s="179" customFormat="1" ht="14.1" customHeight="1" x14ac:dyDescent="0.2">
      <c r="A12" s="356">
        <v>2</v>
      </c>
      <c r="B12" s="360" t="s">
        <v>360</v>
      </c>
      <c r="C12" s="181" t="s">
        <v>281</v>
      </c>
      <c r="D12" s="357">
        <v>2</v>
      </c>
      <c r="E12" s="390">
        <v>250</v>
      </c>
      <c r="F12" s="243">
        <v>273.99</v>
      </c>
      <c r="G12" s="243">
        <v>309.08999999999997</v>
      </c>
      <c r="H12" s="243">
        <v>218.4</v>
      </c>
      <c r="I12" s="243">
        <v>384.81</v>
      </c>
      <c r="J12" s="243">
        <v>254.1</v>
      </c>
      <c r="K12" s="359">
        <f t="shared" ref="K12:K22" si="0">AVERAGE(E12:J12)</f>
        <v>281.73166666666663</v>
      </c>
      <c r="L12" s="359">
        <f t="shared" ref="L12:L22" si="1">K12*D12</f>
        <v>563.46333333333325</v>
      </c>
    </row>
    <row r="13" spans="1:12" s="179" customFormat="1" ht="14.1" customHeight="1" x14ac:dyDescent="0.2">
      <c r="A13" s="356">
        <v>3</v>
      </c>
      <c r="B13" s="360" t="s">
        <v>361</v>
      </c>
      <c r="C13" s="181" t="s">
        <v>281</v>
      </c>
      <c r="D13" s="357">
        <v>1</v>
      </c>
      <c r="E13" s="390">
        <v>1460</v>
      </c>
      <c r="F13" s="243">
        <v>1219.99</v>
      </c>
      <c r="G13" s="243">
        <v>1567.67</v>
      </c>
      <c r="H13" s="243">
        <v>1449</v>
      </c>
      <c r="I13" s="243">
        <v>1159</v>
      </c>
      <c r="J13" s="243">
        <v>1119.9000000000001</v>
      </c>
      <c r="K13" s="359">
        <f t="shared" si="0"/>
        <v>1329.26</v>
      </c>
      <c r="L13" s="359">
        <f t="shared" si="1"/>
        <v>1329.26</v>
      </c>
    </row>
    <row r="14" spans="1:12" s="179" customFormat="1" ht="14.1" customHeight="1" x14ac:dyDescent="0.2">
      <c r="A14" s="356">
        <v>4</v>
      </c>
      <c r="B14" s="381" t="s">
        <v>362</v>
      </c>
      <c r="C14" s="181" t="s">
        <v>281</v>
      </c>
      <c r="D14" s="357">
        <v>1</v>
      </c>
      <c r="E14" s="390">
        <v>222.99</v>
      </c>
      <c r="F14" s="243">
        <v>249.88</v>
      </c>
      <c r="G14" s="243">
        <v>260.95999999999998</v>
      </c>
      <c r="H14" s="243">
        <v>248.9</v>
      </c>
      <c r="I14" s="243">
        <v>269.99</v>
      </c>
      <c r="J14" s="243">
        <v>230</v>
      </c>
      <c r="K14" s="359">
        <f t="shared" si="0"/>
        <v>247.11999999999998</v>
      </c>
      <c r="L14" s="359">
        <f t="shared" si="1"/>
        <v>247.11999999999998</v>
      </c>
    </row>
    <row r="15" spans="1:12" s="179" customFormat="1" ht="14.1" customHeight="1" x14ac:dyDescent="0.2">
      <c r="A15" s="356">
        <v>5</v>
      </c>
      <c r="B15" s="380" t="s">
        <v>363</v>
      </c>
      <c r="C15" s="181" t="s">
        <v>281</v>
      </c>
      <c r="D15" s="357">
        <v>26</v>
      </c>
      <c r="E15" s="390">
        <v>34.32</v>
      </c>
      <c r="F15" s="243">
        <v>37.5</v>
      </c>
      <c r="G15" s="243">
        <v>27</v>
      </c>
      <c r="H15" s="243">
        <v>29</v>
      </c>
      <c r="I15" s="243">
        <v>28</v>
      </c>
      <c r="J15" s="243">
        <v>36.1</v>
      </c>
      <c r="K15" s="359">
        <f t="shared" si="0"/>
        <v>31.986666666666665</v>
      </c>
      <c r="L15" s="359">
        <f t="shared" si="1"/>
        <v>831.65333333333331</v>
      </c>
    </row>
    <row r="16" spans="1:12" s="179" customFormat="1" ht="14.1" customHeight="1" x14ac:dyDescent="0.2">
      <c r="A16" s="356">
        <v>6</v>
      </c>
      <c r="B16" s="380" t="s">
        <v>364</v>
      </c>
      <c r="C16" s="181" t="s">
        <v>281</v>
      </c>
      <c r="D16" s="357">
        <v>26</v>
      </c>
      <c r="E16" s="390">
        <v>28.69</v>
      </c>
      <c r="F16" s="243">
        <v>29.48</v>
      </c>
      <c r="G16" s="243">
        <v>27.12</v>
      </c>
      <c r="H16" s="243">
        <v>23.79</v>
      </c>
      <c r="I16" s="243">
        <v>28.69</v>
      </c>
      <c r="J16" s="243">
        <v>27.46</v>
      </c>
      <c r="K16" s="359">
        <f t="shared" si="0"/>
        <v>27.538333333333338</v>
      </c>
      <c r="L16" s="359">
        <f t="shared" si="1"/>
        <v>715.99666666666678</v>
      </c>
    </row>
    <row r="17" spans="1:12" s="179" customFormat="1" ht="14.1" customHeight="1" x14ac:dyDescent="0.2">
      <c r="A17" s="356">
        <v>7</v>
      </c>
      <c r="B17" s="360" t="s">
        <v>365</v>
      </c>
      <c r="C17" s="181" t="s">
        <v>281</v>
      </c>
      <c r="D17" s="357">
        <v>2</v>
      </c>
      <c r="E17" s="390">
        <v>50.57</v>
      </c>
      <c r="F17" s="243">
        <v>48.97</v>
      </c>
      <c r="G17" s="243">
        <v>49.73</v>
      </c>
      <c r="H17" s="243">
        <v>58.8</v>
      </c>
      <c r="I17" s="243">
        <v>43.9</v>
      </c>
      <c r="J17" s="243">
        <v>40.58</v>
      </c>
      <c r="K17" s="359">
        <f t="shared" si="0"/>
        <v>48.758333333333333</v>
      </c>
      <c r="L17" s="359">
        <f t="shared" si="1"/>
        <v>97.516666666666666</v>
      </c>
    </row>
    <row r="18" spans="1:12" s="179" customFormat="1" ht="14.1" customHeight="1" x14ac:dyDescent="0.2">
      <c r="A18" s="356">
        <v>8</v>
      </c>
      <c r="B18" s="360" t="s">
        <v>366</v>
      </c>
      <c r="C18" s="181" t="s">
        <v>281</v>
      </c>
      <c r="D18" s="357">
        <v>1</v>
      </c>
      <c r="E18" s="390">
        <v>81.27</v>
      </c>
      <c r="F18" s="243">
        <v>85.25</v>
      </c>
      <c r="G18" s="243">
        <v>79.900000000000006</v>
      </c>
      <c r="H18" s="243">
        <v>74.73</v>
      </c>
      <c r="I18" s="243">
        <v>75.040000000000006</v>
      </c>
      <c r="J18" s="243">
        <v>86.99</v>
      </c>
      <c r="K18" s="359">
        <f t="shared" si="0"/>
        <v>80.53</v>
      </c>
      <c r="L18" s="359">
        <f t="shared" si="1"/>
        <v>80.53</v>
      </c>
    </row>
    <row r="19" spans="1:12" s="179" customFormat="1" ht="14.1" customHeight="1" x14ac:dyDescent="0.2">
      <c r="A19" s="356">
        <v>9</v>
      </c>
      <c r="B19" s="382" t="s">
        <v>367</v>
      </c>
      <c r="C19" s="181" t="s">
        <v>281</v>
      </c>
      <c r="D19" s="357">
        <v>1</v>
      </c>
      <c r="E19" s="390">
        <v>37.5</v>
      </c>
      <c r="F19" s="243">
        <v>29</v>
      </c>
      <c r="G19" s="243">
        <v>25.5</v>
      </c>
      <c r="H19" s="243">
        <v>30.99</v>
      </c>
      <c r="I19" s="243">
        <v>25.97</v>
      </c>
      <c r="J19" s="243">
        <v>36.9</v>
      </c>
      <c r="K19" s="359">
        <f t="shared" si="0"/>
        <v>30.976666666666663</v>
      </c>
      <c r="L19" s="359">
        <f t="shared" si="1"/>
        <v>30.976666666666663</v>
      </c>
    </row>
    <row r="20" spans="1:12" s="179" customFormat="1" ht="63.75" customHeight="1" x14ac:dyDescent="0.2">
      <c r="A20" s="356">
        <v>10</v>
      </c>
      <c r="B20" s="383" t="s">
        <v>368</v>
      </c>
      <c r="C20" s="181" t="s">
        <v>281</v>
      </c>
      <c r="D20" s="357">
        <v>1</v>
      </c>
      <c r="E20" s="390">
        <v>115.28</v>
      </c>
      <c r="F20" s="243">
        <v>153.81</v>
      </c>
      <c r="G20" s="243">
        <v>155.9</v>
      </c>
      <c r="H20" s="243">
        <v>172.99</v>
      </c>
      <c r="I20" s="256"/>
      <c r="J20" s="358"/>
      <c r="K20" s="359">
        <f t="shared" si="0"/>
        <v>149.495</v>
      </c>
      <c r="L20" s="359">
        <f t="shared" si="1"/>
        <v>149.495</v>
      </c>
    </row>
    <row r="21" spans="1:12" s="179" customFormat="1" ht="14.1" customHeight="1" x14ac:dyDescent="0.2">
      <c r="A21" s="356">
        <v>11</v>
      </c>
      <c r="B21" s="360" t="s">
        <v>369</v>
      </c>
      <c r="C21" s="199" t="s">
        <v>281</v>
      </c>
      <c r="D21" s="348">
        <v>3</v>
      </c>
      <c r="E21" s="391">
        <v>1187.49</v>
      </c>
      <c r="F21" s="391">
        <v>1129</v>
      </c>
      <c r="G21" s="391">
        <v>1149</v>
      </c>
      <c r="H21" s="412"/>
      <c r="I21" s="412"/>
      <c r="J21" s="412"/>
      <c r="K21" s="413">
        <f t="shared" si="0"/>
        <v>1155.1633333333332</v>
      </c>
      <c r="L21" s="413">
        <f t="shared" si="1"/>
        <v>3465.49</v>
      </c>
    </row>
    <row r="22" spans="1:12" s="179" customFormat="1" ht="14.1" customHeight="1" x14ac:dyDescent="0.2">
      <c r="A22" s="356">
        <v>12</v>
      </c>
      <c r="B22" t="s">
        <v>370</v>
      </c>
      <c r="C22" s="181" t="s">
        <v>281</v>
      </c>
      <c r="D22" s="357">
        <v>26</v>
      </c>
      <c r="E22" s="390">
        <v>46.66</v>
      </c>
      <c r="F22" s="243">
        <v>50</v>
      </c>
      <c r="G22" s="243">
        <v>49</v>
      </c>
      <c r="H22" s="243">
        <v>35.99</v>
      </c>
      <c r="I22" s="243">
        <v>47.41</v>
      </c>
      <c r="J22" s="243">
        <v>49.9</v>
      </c>
      <c r="K22" s="359">
        <f t="shared" si="0"/>
        <v>46.493333333333332</v>
      </c>
      <c r="L22" s="359">
        <f t="shared" si="1"/>
        <v>1208.8266666666666</v>
      </c>
    </row>
    <row r="23" spans="1:12" s="179" customFormat="1" ht="12.95" customHeight="1" thickBot="1" x14ac:dyDescent="0.25">
      <c r="A23" s="677" t="s">
        <v>371</v>
      </c>
      <c r="B23" s="678"/>
      <c r="C23" s="678"/>
      <c r="D23" s="678"/>
      <c r="E23" s="678"/>
      <c r="F23" s="678"/>
      <c r="G23" s="678"/>
      <c r="H23" s="678"/>
      <c r="I23" s="678"/>
      <c r="J23" s="679"/>
      <c r="K23" s="568">
        <f>SUM(L11:L22)</f>
        <v>9017.3033333333333</v>
      </c>
      <c r="L23" s="569"/>
    </row>
    <row r="24" spans="1:12" s="179" customFormat="1" ht="12.95" customHeight="1" thickBot="1" x14ac:dyDescent="0.25">
      <c r="A24" s="169"/>
      <c r="B24" s="169"/>
      <c r="C24" s="169"/>
      <c r="D24" s="169"/>
      <c r="E24" s="169"/>
      <c r="F24" s="169"/>
      <c r="G24" s="169"/>
      <c r="H24" s="169"/>
      <c r="I24" s="169"/>
      <c r="J24" s="169"/>
      <c r="K24" s="211"/>
      <c r="L24" s="211"/>
    </row>
    <row r="25" spans="1:12" s="179" customFormat="1" ht="12.95" customHeight="1" x14ac:dyDescent="0.2">
      <c r="A25" s="565" t="s">
        <v>372</v>
      </c>
      <c r="B25" s="566"/>
      <c r="C25" s="566"/>
      <c r="D25" s="566"/>
      <c r="E25" s="566"/>
      <c r="F25" s="566"/>
      <c r="G25" s="566"/>
      <c r="H25" s="566"/>
      <c r="I25" s="566"/>
      <c r="J25" s="567"/>
      <c r="K25" s="570">
        <f>(K23/60/'Limpeza - Item 8'!H174)</f>
        <v>50.096129629629623</v>
      </c>
      <c r="L25" s="571"/>
    </row>
    <row r="26" spans="1:12" s="179" customFormat="1" ht="12.95" customHeight="1" thickBot="1" x14ac:dyDescent="0.25">
      <c r="A26" s="169"/>
      <c r="B26" s="169"/>
      <c r="C26" s="169"/>
      <c r="D26" s="169"/>
      <c r="E26" s="169"/>
      <c r="F26" s="169"/>
      <c r="G26" s="169"/>
      <c r="H26" s="169"/>
      <c r="I26" s="169"/>
      <c r="J26" s="169"/>
      <c r="K26" s="205"/>
      <c r="L26" s="205"/>
    </row>
    <row r="27" spans="1:12" s="179" customFormat="1" ht="12.95" customHeight="1" x14ac:dyDescent="0.2">
      <c r="A27" s="169"/>
      <c r="B27" s="713" t="s">
        <v>373</v>
      </c>
      <c r="C27" s="714"/>
      <c r="D27" s="714"/>
      <c r="E27" s="714"/>
      <c r="F27" s="714"/>
      <c r="G27" s="714"/>
      <c r="H27" s="714"/>
      <c r="I27" s="714"/>
      <c r="J27" s="714"/>
      <c r="K27" s="373" t="s">
        <v>26</v>
      </c>
      <c r="L27" s="374" t="s">
        <v>374</v>
      </c>
    </row>
    <row r="28" spans="1:12" s="179" customFormat="1" ht="12.95" customHeight="1" x14ac:dyDescent="0.2">
      <c r="A28" s="169"/>
      <c r="B28" s="434" t="s">
        <v>375</v>
      </c>
      <c r="C28" s="520"/>
      <c r="D28" s="520"/>
      <c r="E28" s="520"/>
      <c r="F28" s="520"/>
      <c r="G28" s="520"/>
      <c r="H28" s="520"/>
      <c r="I28" s="520"/>
      <c r="J28" s="520"/>
      <c r="K28" s="339"/>
      <c r="L28" s="375">
        <v>1483.55</v>
      </c>
    </row>
    <row r="29" spans="1:12" s="179" customFormat="1" ht="12.95" customHeight="1" x14ac:dyDescent="0.2">
      <c r="A29" s="169"/>
      <c r="B29" s="434" t="s">
        <v>376</v>
      </c>
      <c r="C29" s="520"/>
      <c r="D29" s="520"/>
      <c r="E29" s="520"/>
      <c r="F29" s="520"/>
      <c r="G29" s="520"/>
      <c r="H29" s="520"/>
      <c r="I29" s="520"/>
      <c r="J29" s="520"/>
      <c r="K29" s="339"/>
      <c r="L29" s="375">
        <v>30</v>
      </c>
    </row>
    <row r="30" spans="1:12" s="179" customFormat="1" ht="12.95" customHeight="1" x14ac:dyDescent="0.2">
      <c r="A30" s="169"/>
      <c r="B30" s="434" t="s">
        <v>377</v>
      </c>
      <c r="C30" s="520"/>
      <c r="D30" s="520"/>
      <c r="E30" s="520"/>
      <c r="F30" s="520"/>
      <c r="G30" s="520"/>
      <c r="H30" s="520"/>
      <c r="I30" s="520"/>
      <c r="J30" s="520"/>
      <c r="K30" s="339"/>
      <c r="L30" s="376">
        <v>170</v>
      </c>
    </row>
    <row r="31" spans="1:12" s="179" customFormat="1" ht="12.95" customHeight="1" x14ac:dyDescent="0.2">
      <c r="A31" s="169"/>
      <c r="B31" s="434" t="s">
        <v>378</v>
      </c>
      <c r="C31" s="520"/>
      <c r="D31" s="520"/>
      <c r="E31" s="520"/>
      <c r="F31" s="520"/>
      <c r="G31" s="520"/>
      <c r="H31" s="520"/>
      <c r="I31" s="520"/>
      <c r="J31" s="520"/>
      <c r="K31" s="150">
        <v>50</v>
      </c>
      <c r="L31" s="376">
        <f>K31*60</f>
        <v>3000</v>
      </c>
    </row>
    <row r="32" spans="1:12" s="179" customFormat="1" ht="12.95" customHeight="1" x14ac:dyDescent="0.2">
      <c r="A32" s="169"/>
      <c r="B32" s="434"/>
      <c r="C32" s="520"/>
      <c r="D32" s="520"/>
      <c r="E32" s="520"/>
      <c r="F32" s="520"/>
      <c r="G32" s="520"/>
      <c r="H32" s="520"/>
      <c r="I32" s="520"/>
      <c r="J32" s="520"/>
      <c r="K32" s="339"/>
      <c r="L32" s="377"/>
    </row>
    <row r="33" spans="1:12" s="179" customFormat="1" ht="12.95" customHeight="1" x14ac:dyDescent="0.2">
      <c r="A33" s="169"/>
      <c r="B33" s="706"/>
      <c r="C33" s="542"/>
      <c r="D33" s="542"/>
      <c r="E33" s="542"/>
      <c r="F33" s="542"/>
      <c r="G33" s="542"/>
      <c r="H33" s="542"/>
      <c r="I33" s="542"/>
      <c r="J33" s="542"/>
      <c r="K33" s="542"/>
      <c r="L33" s="707"/>
    </row>
    <row r="34" spans="1:12" s="179" customFormat="1" ht="12.95" customHeight="1" thickBot="1" x14ac:dyDescent="0.25">
      <c r="A34" s="169"/>
      <c r="B34" s="708" t="s">
        <v>379</v>
      </c>
      <c r="C34" s="709"/>
      <c r="D34" s="709"/>
      <c r="E34" s="709"/>
      <c r="F34" s="709"/>
      <c r="G34" s="709"/>
      <c r="H34" s="709"/>
      <c r="I34" s="709"/>
      <c r="J34" s="710"/>
      <c r="K34" s="711">
        <f>(L28+L29+L30+L31)/60/'Limpeza - Item 8'!H174</f>
        <v>26.019722222222224</v>
      </c>
      <c r="L34" s="712"/>
    </row>
    <row r="35" spans="1:12" s="179" customFormat="1" ht="12.95" customHeight="1" x14ac:dyDescent="0.2">
      <c r="A35" s="169"/>
      <c r="B35" s="169"/>
      <c r="C35" s="169"/>
      <c r="D35" s="169"/>
      <c r="E35" s="169"/>
      <c r="F35" s="169"/>
      <c r="G35" s="169"/>
      <c r="H35" s="169"/>
      <c r="I35" s="169"/>
      <c r="J35" s="169"/>
      <c r="K35" s="205"/>
      <c r="L35" s="205"/>
    </row>
    <row r="36" spans="1:12" s="179" customFormat="1" ht="12.95" customHeight="1" thickBot="1" x14ac:dyDescent="0.25">
      <c r="A36" s="169"/>
      <c r="B36" s="169"/>
      <c r="C36" s="169"/>
      <c r="D36" s="169"/>
      <c r="E36" s="169"/>
      <c r="F36" s="169"/>
      <c r="G36" s="169"/>
      <c r="H36" s="169"/>
      <c r="I36" s="169"/>
      <c r="J36" s="169"/>
      <c r="K36" s="205"/>
      <c r="L36" s="205"/>
    </row>
    <row r="37" spans="1:12" s="179" customFormat="1" ht="12.95" customHeight="1" thickBot="1" x14ac:dyDescent="0.25">
      <c r="A37" s="565" t="s">
        <v>372</v>
      </c>
      <c r="B37" s="566"/>
      <c r="C37" s="566"/>
      <c r="D37" s="566"/>
      <c r="E37" s="566"/>
      <c r="F37" s="566"/>
      <c r="G37" s="566"/>
      <c r="H37" s="566"/>
      <c r="I37" s="566"/>
      <c r="J37" s="567"/>
      <c r="K37" s="570">
        <f>K25+K34</f>
        <v>76.115851851851843</v>
      </c>
      <c r="L37" s="571"/>
    </row>
    <row r="38" spans="1:12" s="179" customFormat="1" ht="12.95" customHeight="1" x14ac:dyDescent="0.2">
      <c r="A38" s="169"/>
      <c r="B38" s="169"/>
      <c r="C38" s="169"/>
      <c r="D38" s="169"/>
      <c r="E38" s="169"/>
      <c r="F38" s="169"/>
      <c r="G38" s="169"/>
      <c r="H38" s="169"/>
      <c r="I38" s="169"/>
      <c r="J38" s="169"/>
      <c r="K38" s="205"/>
      <c r="L38" s="205"/>
    </row>
    <row r="39" spans="1:12" s="179" customFormat="1" ht="12.95" customHeight="1" thickBot="1" x14ac:dyDescent="0.25">
      <c r="A39" s="169"/>
      <c r="B39" s="169"/>
      <c r="C39" s="169"/>
      <c r="D39" s="169"/>
      <c r="E39" s="169"/>
      <c r="F39" s="169"/>
      <c r="G39" s="169"/>
      <c r="H39" s="169"/>
      <c r="I39" s="169"/>
      <c r="J39" s="169"/>
      <c r="K39" s="205"/>
      <c r="L39" s="205"/>
    </row>
    <row r="40" spans="1:12" s="179" customFormat="1" ht="12.95" customHeight="1" x14ac:dyDescent="0.2">
      <c r="A40" s="169"/>
      <c r="B40" s="713" t="s">
        <v>373</v>
      </c>
      <c r="C40" s="714"/>
      <c r="D40" s="714"/>
      <c r="E40" s="714"/>
      <c r="F40" s="714"/>
      <c r="G40" s="714"/>
      <c r="H40" s="714"/>
      <c r="I40" s="714"/>
      <c r="J40" s="714"/>
      <c r="K40" s="373"/>
      <c r="L40" s="374" t="s">
        <v>374</v>
      </c>
    </row>
    <row r="41" spans="1:12" s="179" customFormat="1" ht="12.95" customHeight="1" x14ac:dyDescent="0.2">
      <c r="A41" s="169"/>
      <c r="B41" s="434" t="s">
        <v>177</v>
      </c>
      <c r="C41" s="520"/>
      <c r="D41" s="520"/>
      <c r="E41" s="520"/>
      <c r="F41" s="520"/>
      <c r="G41" s="520"/>
      <c r="H41" s="520"/>
      <c r="I41" s="520"/>
      <c r="J41" s="520"/>
      <c r="K41" s="339"/>
      <c r="L41" s="375">
        <v>1850</v>
      </c>
    </row>
    <row r="42" spans="1:12" s="179" customFormat="1" ht="12.95" customHeight="1" x14ac:dyDescent="0.2">
      <c r="A42" s="169"/>
      <c r="B42" s="434"/>
      <c r="C42" s="520"/>
      <c r="D42" s="520"/>
      <c r="E42" s="520"/>
      <c r="F42" s="520"/>
      <c r="G42" s="520"/>
      <c r="H42" s="520"/>
      <c r="I42" s="520"/>
      <c r="J42" s="520"/>
      <c r="K42" s="339"/>
      <c r="L42" s="375"/>
    </row>
    <row r="43" spans="1:12" s="179" customFormat="1" ht="12.95" customHeight="1" x14ac:dyDescent="0.2">
      <c r="A43" s="169"/>
      <c r="B43" s="706"/>
      <c r="C43" s="542"/>
      <c r="D43" s="542"/>
      <c r="E43" s="542"/>
      <c r="F43" s="542"/>
      <c r="G43" s="542"/>
      <c r="H43" s="542"/>
      <c r="I43" s="542"/>
      <c r="J43" s="542"/>
      <c r="K43" s="542"/>
      <c r="L43" s="707"/>
    </row>
    <row r="44" spans="1:12" s="179" customFormat="1" ht="12.95" customHeight="1" thickBot="1" x14ac:dyDescent="0.25">
      <c r="A44" s="169"/>
      <c r="B44" s="708" t="s">
        <v>380</v>
      </c>
      <c r="C44" s="709"/>
      <c r="D44" s="709"/>
      <c r="E44" s="709"/>
      <c r="F44" s="709"/>
      <c r="G44" s="709"/>
      <c r="H44" s="709"/>
      <c r="I44" s="709"/>
      <c r="J44" s="710"/>
      <c r="K44" s="711">
        <f>(L41)/60/'Limpeza - Item 8'!E185</f>
        <v>7.708333333333333</v>
      </c>
      <c r="L44" s="712"/>
    </row>
    <row r="45" spans="1:12" s="179" customFormat="1" ht="12.95" customHeight="1" x14ac:dyDescent="0.2">
      <c r="A45" s="169"/>
      <c r="B45" s="169"/>
      <c r="C45" s="169"/>
      <c r="D45" s="169"/>
      <c r="E45" s="169"/>
      <c r="F45" s="169"/>
      <c r="G45" s="169"/>
      <c r="H45" s="169"/>
      <c r="I45" s="169"/>
      <c r="J45" s="169"/>
      <c r="K45" s="205"/>
      <c r="L45" s="205"/>
    </row>
    <row r="46" spans="1:12" s="179" customFormat="1" ht="12.95" customHeight="1" x14ac:dyDescent="0.2">
      <c r="A46" s="169"/>
      <c r="B46" s="169"/>
      <c r="C46" s="169"/>
      <c r="D46" s="169"/>
      <c r="E46" s="169"/>
      <c r="F46" s="169"/>
      <c r="G46" s="169"/>
      <c r="H46" s="169"/>
      <c r="I46" s="169"/>
      <c r="J46" s="169"/>
      <c r="K46" s="205"/>
      <c r="L46" s="205"/>
    </row>
    <row r="47" spans="1:12" s="179" customFormat="1" ht="12.95" customHeight="1" x14ac:dyDescent="0.2">
      <c r="A47" s="169"/>
      <c r="B47" s="169"/>
      <c r="C47" s="169"/>
      <c r="D47" s="169"/>
      <c r="E47" s="169"/>
      <c r="F47" s="169"/>
      <c r="G47" s="169"/>
      <c r="H47" s="169"/>
      <c r="I47" s="169"/>
      <c r="J47" s="169"/>
      <c r="K47" s="205"/>
      <c r="L47" s="205"/>
    </row>
    <row r="48" spans="1:12" s="179" customFormat="1" ht="12.95" customHeight="1" thickBot="1" x14ac:dyDescent="0.25">
      <c r="A48" s="169"/>
      <c r="B48" s="169"/>
      <c r="C48" s="169"/>
      <c r="D48" s="169"/>
      <c r="E48" s="169"/>
      <c r="F48" s="169"/>
      <c r="G48" s="169"/>
      <c r="H48" s="169"/>
      <c r="I48" s="169"/>
      <c r="J48" s="169"/>
      <c r="K48" s="205"/>
      <c r="L48" s="205"/>
    </row>
    <row r="49" spans="1:12" s="179" customFormat="1" x14ac:dyDescent="0.2">
      <c r="A49" s="623"/>
      <c r="B49" s="624"/>
      <c r="C49" s="629" t="s">
        <v>301</v>
      </c>
      <c r="D49" s="632"/>
      <c r="E49" s="633"/>
      <c r="F49" s="633"/>
      <c r="G49" s="633"/>
      <c r="H49" s="633"/>
      <c r="I49" s="633"/>
      <c r="J49" s="633"/>
      <c r="K49" s="633"/>
      <c r="L49" s="634"/>
    </row>
    <row r="50" spans="1:12" s="179" customFormat="1" x14ac:dyDescent="0.2">
      <c r="A50" s="625"/>
      <c r="B50" s="626"/>
      <c r="C50" s="630"/>
      <c r="D50" s="635"/>
      <c r="E50" s="636"/>
      <c r="F50" s="636"/>
      <c r="G50" s="636"/>
      <c r="H50" s="636"/>
      <c r="I50" s="636"/>
      <c r="J50" s="636"/>
      <c r="K50" s="636"/>
      <c r="L50" s="637"/>
    </row>
    <row r="51" spans="1:12" x14ac:dyDescent="0.2">
      <c r="A51" s="625"/>
      <c r="B51" s="626"/>
      <c r="C51" s="630"/>
      <c r="D51" s="635"/>
      <c r="E51" s="636"/>
      <c r="F51" s="636"/>
      <c r="G51" s="636"/>
      <c r="H51" s="636"/>
      <c r="I51" s="636"/>
      <c r="J51" s="636"/>
      <c r="K51" s="636"/>
      <c r="L51" s="637"/>
    </row>
    <row r="52" spans="1:12" x14ac:dyDescent="0.2">
      <c r="A52" s="627"/>
      <c r="B52" s="628"/>
      <c r="C52" s="631"/>
      <c r="D52" s="638"/>
      <c r="E52" s="639"/>
      <c r="F52" s="639"/>
      <c r="G52" s="639"/>
      <c r="H52" s="639"/>
      <c r="I52" s="639"/>
      <c r="J52" s="639"/>
      <c r="K52" s="639"/>
      <c r="L52" s="640"/>
    </row>
    <row r="54" spans="1:12" x14ac:dyDescent="0.2">
      <c r="A54" s="705" t="s">
        <v>381</v>
      </c>
      <c r="B54" s="642"/>
      <c r="C54" s="642"/>
      <c r="D54" s="642"/>
      <c r="E54" s="642"/>
      <c r="F54" s="642"/>
      <c r="G54" s="642"/>
      <c r="H54" s="642"/>
      <c r="I54" s="642"/>
      <c r="J54" s="642"/>
      <c r="K54" s="642"/>
      <c r="L54" s="643"/>
    </row>
    <row r="55" spans="1:12" ht="20.25" customHeight="1" x14ac:dyDescent="0.2">
      <c r="A55" s="644"/>
      <c r="B55" s="560"/>
      <c r="C55" s="560"/>
      <c r="D55" s="560"/>
      <c r="E55" s="560"/>
      <c r="F55" s="560"/>
      <c r="G55" s="560"/>
      <c r="H55" s="560"/>
      <c r="I55" s="560"/>
      <c r="J55" s="560"/>
      <c r="K55" s="560"/>
      <c r="L55" s="645"/>
    </row>
    <row r="56" spans="1:12" x14ac:dyDescent="0.2">
      <c r="A56" s="644"/>
      <c r="B56" s="560"/>
      <c r="C56" s="560"/>
      <c r="D56" s="560"/>
      <c r="E56" s="560"/>
      <c r="F56" s="560"/>
      <c r="G56" s="560"/>
      <c r="H56" s="560"/>
      <c r="I56" s="560"/>
      <c r="J56" s="560"/>
      <c r="K56" s="560"/>
      <c r="L56" s="645"/>
    </row>
    <row r="57" spans="1:12" ht="14.25" customHeight="1" x14ac:dyDescent="0.2">
      <c r="A57" s="644"/>
      <c r="B57" s="560"/>
      <c r="C57" s="560"/>
      <c r="D57" s="560"/>
      <c r="E57" s="560"/>
      <c r="F57" s="560"/>
      <c r="G57" s="560"/>
      <c r="H57" s="560"/>
      <c r="I57" s="560"/>
      <c r="J57" s="560"/>
      <c r="K57" s="560"/>
      <c r="L57" s="645"/>
    </row>
    <row r="58" spans="1:12" x14ac:dyDescent="0.2">
      <c r="A58" s="646"/>
      <c r="B58" s="647"/>
      <c r="C58" s="647"/>
      <c r="D58" s="647"/>
      <c r="E58" s="647"/>
      <c r="F58" s="647"/>
      <c r="G58" s="647"/>
      <c r="H58" s="647"/>
      <c r="I58" s="647"/>
      <c r="J58" s="647"/>
      <c r="K58" s="647"/>
      <c r="L58" s="648"/>
    </row>
    <row r="63" spans="1:12" x14ac:dyDescent="0.2">
      <c r="A63" s="715" t="s">
        <v>279</v>
      </c>
      <c r="B63" s="716" t="s">
        <v>382</v>
      </c>
      <c r="C63" s="715" t="s">
        <v>281</v>
      </c>
      <c r="D63" s="715" t="s">
        <v>282</v>
      </c>
      <c r="E63" s="717" t="s">
        <v>283</v>
      </c>
      <c r="F63" s="717"/>
      <c r="G63" s="717"/>
      <c r="H63" s="717"/>
      <c r="I63" s="717"/>
      <c r="J63" s="717"/>
      <c r="K63" s="718" t="s">
        <v>284</v>
      </c>
      <c r="L63" s="718"/>
    </row>
    <row r="64" spans="1:12" ht="13.5" x14ac:dyDescent="0.2">
      <c r="A64" s="715"/>
      <c r="B64" s="716"/>
      <c r="C64" s="715"/>
      <c r="D64" s="715"/>
      <c r="E64" s="354" t="s">
        <v>38</v>
      </c>
      <c r="F64" s="355" t="s">
        <v>40</v>
      </c>
      <c r="G64" s="355" t="s">
        <v>43</v>
      </c>
      <c r="H64" s="355" t="s">
        <v>46</v>
      </c>
      <c r="I64" s="355" t="s">
        <v>80</v>
      </c>
      <c r="J64" s="355" t="s">
        <v>82</v>
      </c>
      <c r="K64" s="716" t="s">
        <v>285</v>
      </c>
      <c r="L64" s="716" t="s">
        <v>286</v>
      </c>
    </row>
    <row r="65" spans="1:12" ht="25.5" x14ac:dyDescent="0.2">
      <c r="A65" s="715"/>
      <c r="B65" s="716"/>
      <c r="C65" s="715"/>
      <c r="D65" s="715"/>
      <c r="E65" s="353" t="s">
        <v>287</v>
      </c>
      <c r="F65" s="353" t="s">
        <v>287</v>
      </c>
      <c r="G65" s="353" t="s">
        <v>287</v>
      </c>
      <c r="H65" s="353" t="s">
        <v>287</v>
      </c>
      <c r="I65" s="353" t="s">
        <v>287</v>
      </c>
      <c r="J65" s="353" t="s">
        <v>287</v>
      </c>
      <c r="K65" s="716"/>
      <c r="L65" s="716"/>
    </row>
    <row r="66" spans="1:12" x14ac:dyDescent="0.2">
      <c r="A66" s="356">
        <v>1</v>
      </c>
      <c r="B66" s="360" t="s">
        <v>383</v>
      </c>
      <c r="C66" s="181" t="s">
        <v>281</v>
      </c>
      <c r="D66" s="357">
        <v>1</v>
      </c>
      <c r="E66" s="352">
        <v>199.9</v>
      </c>
      <c r="F66" s="352">
        <v>191.32</v>
      </c>
      <c r="G66" s="352">
        <v>182.88</v>
      </c>
      <c r="H66" s="256">
        <v>227.9</v>
      </c>
      <c r="I66" s="256">
        <v>228.7</v>
      </c>
      <c r="J66" s="358">
        <v>209.61</v>
      </c>
      <c r="K66" s="359">
        <f>AVERAGE(E66:J66)</f>
        <v>206.71833333333333</v>
      </c>
      <c r="L66" s="359">
        <f>K66*D66</f>
        <v>206.71833333333333</v>
      </c>
    </row>
    <row r="67" spans="1:12" x14ac:dyDescent="0.2">
      <c r="A67" s="356">
        <v>2</v>
      </c>
      <c r="B67" s="360"/>
      <c r="C67" s="199" t="s">
        <v>281</v>
      </c>
      <c r="D67" s="357">
        <v>0</v>
      </c>
      <c r="E67" s="351"/>
      <c r="F67" s="351"/>
      <c r="G67" s="351"/>
      <c r="H67" s="256"/>
      <c r="I67" s="256"/>
      <c r="J67" s="256" t="s">
        <v>46</v>
      </c>
      <c r="K67" s="359"/>
      <c r="L67" s="359"/>
    </row>
    <row r="68" spans="1:12" ht="15" x14ac:dyDescent="0.2">
      <c r="A68" s="356">
        <v>3</v>
      </c>
      <c r="B68" s="367"/>
      <c r="C68" s="368" t="s">
        <v>281</v>
      </c>
      <c r="D68" s="357">
        <v>0</v>
      </c>
      <c r="E68" s="351"/>
      <c r="F68" s="351"/>
      <c r="G68" s="351"/>
      <c r="H68" s="256"/>
      <c r="I68" s="256"/>
      <c r="J68" s="256"/>
      <c r="K68" s="359"/>
      <c r="L68" s="359"/>
    </row>
    <row r="69" spans="1:12" ht="13.5" thickBot="1" x14ac:dyDescent="0.25">
      <c r="A69" s="677" t="s">
        <v>371</v>
      </c>
      <c r="B69" s="678"/>
      <c r="C69" s="678"/>
      <c r="D69" s="678"/>
      <c r="E69" s="678"/>
      <c r="F69" s="678"/>
      <c r="G69" s="678"/>
      <c r="H69" s="678"/>
      <c r="I69" s="678"/>
      <c r="J69" s="679"/>
      <c r="K69" s="568">
        <f>SUM(L66:L68)</f>
        <v>206.71833333333333</v>
      </c>
      <c r="L69" s="569"/>
    </row>
    <row r="70" spans="1:12" ht="13.5" thickBot="1" x14ac:dyDescent="0.25">
      <c r="A70" s="169"/>
      <c r="B70" s="169"/>
      <c r="C70" s="169"/>
      <c r="D70" s="169"/>
      <c r="E70" s="169"/>
      <c r="F70" s="169"/>
      <c r="G70" s="169"/>
      <c r="H70" s="169"/>
      <c r="I70" s="169"/>
      <c r="J70" s="169"/>
      <c r="K70" s="211"/>
      <c r="L70" s="211"/>
    </row>
    <row r="71" spans="1:12" ht="13.5" thickBot="1" x14ac:dyDescent="0.25">
      <c r="A71" s="565" t="s">
        <v>372</v>
      </c>
      <c r="B71" s="566"/>
      <c r="C71" s="566"/>
      <c r="D71" s="566"/>
      <c r="E71" s="566"/>
      <c r="F71" s="566"/>
      <c r="G71" s="566"/>
      <c r="H71" s="566"/>
      <c r="I71" s="566"/>
      <c r="J71" s="567"/>
      <c r="K71" s="570">
        <f>(K69*20%)/12</f>
        <v>3.4453055555555561</v>
      </c>
      <c r="L71" s="571"/>
    </row>
  </sheetData>
  <mergeCells count="63">
    <mergeCell ref="B44:J44"/>
    <mergeCell ref="K44:L44"/>
    <mergeCell ref="B42:J42"/>
    <mergeCell ref="B43:L43"/>
    <mergeCell ref="A71:J71"/>
    <mergeCell ref="K71:L71"/>
    <mergeCell ref="K63:L63"/>
    <mergeCell ref="K64:K65"/>
    <mergeCell ref="L64:L65"/>
    <mergeCell ref="A69:J69"/>
    <mergeCell ref="K69:L69"/>
    <mergeCell ref="A63:A65"/>
    <mergeCell ref="B63:B65"/>
    <mergeCell ref="C63:C65"/>
    <mergeCell ref="D63:D65"/>
    <mergeCell ref="E63:J63"/>
    <mergeCell ref="B27:J27"/>
    <mergeCell ref="B28:J28"/>
    <mergeCell ref="B29:J29"/>
    <mergeCell ref="A37:J37"/>
    <mergeCell ref="K37:L37"/>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54:L58"/>
    <mergeCell ref="A23:J23"/>
    <mergeCell ref="K23:L23"/>
    <mergeCell ref="A25:J25"/>
    <mergeCell ref="K25:L25"/>
    <mergeCell ref="A49:B52"/>
    <mergeCell ref="C49:C52"/>
    <mergeCell ref="D49:L52"/>
    <mergeCell ref="B30:J30"/>
    <mergeCell ref="B31:J31"/>
    <mergeCell ref="B32:J32"/>
    <mergeCell ref="B33:L33"/>
    <mergeCell ref="B34:J34"/>
    <mergeCell ref="K34:L34"/>
    <mergeCell ref="B40:J40"/>
    <mergeCell ref="B41:J41"/>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3.xml><?xml version="1.0" encoding="utf-8"?>
<ds:datastoreItem xmlns:ds="http://schemas.openxmlformats.org/officeDocument/2006/customXml" ds:itemID="{9DDA9047-D7A3-411E-B0DB-0A3999BBBF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14</vt:i4>
      </vt:variant>
    </vt:vector>
  </HeadingPairs>
  <TitlesOfParts>
    <vt:vector size="14" baseType="lpstr">
      <vt:lpstr>Mód2.2</vt:lpstr>
      <vt:lpstr>Resumo</vt:lpstr>
      <vt:lpstr>Limpeza - Item 8</vt:lpstr>
      <vt:lpstr>Controle de pragas - Item 9</vt:lpstr>
      <vt:lpstr>Remanejamento- Item 10</vt:lpstr>
      <vt:lpstr>Mód2.3 </vt:lpstr>
      <vt:lpstr>Uniform&amp;EPIs </vt:lpstr>
      <vt:lpstr>Materiais</vt:lpstr>
      <vt:lpstr>Equipamentos e Laudo</vt:lpstr>
      <vt:lpstr>Mód3</vt:lpstr>
      <vt:lpstr>Mód6</vt:lpstr>
      <vt:lpstr>Mód4</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Amelia Cristina Mota Nunes</cp:lastModifiedBy>
  <cp:revision/>
  <dcterms:created xsi:type="dcterms:W3CDTF">2010-12-08T17:56:29Z</dcterms:created>
  <dcterms:modified xsi:type="dcterms:W3CDTF">2025-11-05T22:08:48Z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