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se.iago\Downloads\"/>
    </mc:Choice>
  </mc:AlternateContent>
  <xr:revisionPtr revIDLastSave="686" documentId="8_{2529D2F6-4770-40B1-8732-4D0E8A132A03}" xr6:coauthVersionLast="47" xr6:coauthVersionMax="47" xr10:uidLastSave="{5C019AEC-35DC-4B04-B4FE-1D30FDE5A840}"/>
  <bookViews>
    <workbookView xWindow="-120" yWindow="-120" windowWidth="29040" windowHeight="15720" tabRatio="785" firstSheet="27" activeTab="27" xr2:uid="{00000000-000D-0000-FFFF-FFFF00000000}"/>
  </bookViews>
  <sheets>
    <sheet name="FEDERAL-9000 BTU " sheetId="40" r:id="rId1"/>
    <sheet name="FEDERAL-12000 BTU" sheetId="3" r:id="rId2"/>
    <sheet name="FEDERAL-18000 BTU" sheetId="5" r:id="rId3"/>
    <sheet name="FEDERAL-24000 BTU" sheetId="7" r:id="rId4"/>
    <sheet name="FEDERAL-30000 BTU " sheetId="42" r:id="rId5"/>
    <sheet name="FEDERAL 60000 BTU " sheetId="44" r:id="rId6"/>
    <sheet name="ESTADUAL-9000 BTU " sheetId="41" r:id="rId7"/>
    <sheet name="ESTADUAL-12000 BTU " sheetId="13" r:id="rId8"/>
    <sheet name="ESTADUAL-18000 BTU" sheetId="14" r:id="rId9"/>
    <sheet name="ESTADUAL-24000 BTU" sheetId="15" r:id="rId10"/>
    <sheet name="ESTADUAL 30000 BTU " sheetId="43" r:id="rId11"/>
    <sheet name="ESTADUAL 60000 BTU  " sheetId="45" r:id="rId12"/>
    <sheet name="PESQUISA MERCADO 9000 BTU  " sheetId="38" r:id="rId13"/>
    <sheet name="FRETE 9000 BTU" sheetId="39" r:id="rId14"/>
    <sheet name="PESQUISA MERCADO 12000 BTU " sheetId="24" r:id="rId15"/>
    <sheet name="FRETE 12000 BTU " sheetId="23" r:id="rId16"/>
    <sheet name="PESQUISA MERCADO 18000 BTU  " sheetId="25" r:id="rId17"/>
    <sheet name="FRETE 18000 BTU  " sheetId="26" r:id="rId18"/>
    <sheet name="PESQUISA MERCADO 24000 BTU  " sheetId="27" r:id="rId19"/>
    <sheet name="FRETE 24000 BTU  " sheetId="28" r:id="rId20"/>
    <sheet name="PESQUISA MERCADO 30000 BTU" sheetId="34" r:id="rId21"/>
    <sheet name="FRETE 30000 BTU  " sheetId="35" r:id="rId22"/>
    <sheet name="PESQUISA MERCADO 60000 BTU  " sheetId="36" r:id="rId23"/>
    <sheet name="FRETE 60000 BTU   " sheetId="37" r:id="rId24"/>
    <sheet name="INSTALAÇÃO" sheetId="31" r:id="rId25"/>
    <sheet name="MÉDIA FINAL" sheetId="29" r:id="rId26"/>
    <sheet name="TABELA 19 ITENS" sheetId="46" r:id="rId27"/>
    <sheet name="RESUMO - Orçamento" sheetId="30" r:id="rId2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30" l="1"/>
  <c r="H23" i="30"/>
  <c r="H22" i="30"/>
  <c r="H20" i="30"/>
  <c r="H19" i="30"/>
  <c r="H18" i="30"/>
  <c r="H14" i="30"/>
  <c r="H13" i="30"/>
  <c r="H10" i="30"/>
  <c r="H9" i="30"/>
  <c r="H8" i="30"/>
  <c r="H5" i="30"/>
  <c r="H4" i="30"/>
  <c r="N20" i="14"/>
  <c r="N19" i="14"/>
  <c r="E20" i="14"/>
  <c r="J18" i="14"/>
  <c r="J13" i="42"/>
  <c r="N58" i="7"/>
  <c r="N55" i="7"/>
  <c r="N54" i="7"/>
  <c r="J50" i="7"/>
  <c r="E58" i="7"/>
  <c r="N37" i="7"/>
  <c r="N36" i="7"/>
  <c r="N35" i="7"/>
  <c r="J27" i="7"/>
  <c r="E38" i="7"/>
  <c r="N15" i="7"/>
  <c r="N9" i="7"/>
  <c r="N52" i="5"/>
  <c r="N50" i="5"/>
  <c r="N49" i="5"/>
  <c r="N48" i="5"/>
  <c r="J46" i="5"/>
  <c r="E52" i="5"/>
  <c r="O26" i="3"/>
  <c r="N36" i="40"/>
  <c r="N26" i="40"/>
  <c r="E28" i="40"/>
  <c r="J25" i="40"/>
  <c r="L20" i="26"/>
  <c r="F21" i="26"/>
  <c r="F20" i="26"/>
  <c r="Q24" i="31"/>
  <c r="N24" i="31"/>
  <c r="M24" i="31"/>
  <c r="L24" i="31"/>
  <c r="Q23" i="31"/>
  <c r="Q22" i="31"/>
  <c r="P22" i="31"/>
  <c r="O22" i="31"/>
  <c r="N22" i="31"/>
  <c r="M22" i="31"/>
  <c r="L22" i="31"/>
  <c r="O21" i="31"/>
  <c r="N21" i="31"/>
  <c r="M21" i="31"/>
  <c r="L21" i="31"/>
  <c r="P20" i="31"/>
  <c r="O20" i="31"/>
  <c r="N20" i="31"/>
  <c r="M20" i="31"/>
  <c r="Q43" i="36"/>
  <c r="Q29" i="36"/>
  <c r="Q11" i="36"/>
  <c r="Q31" i="24"/>
  <c r="Q26" i="24"/>
  <c r="Q25" i="24"/>
  <c r="Q13" i="24"/>
  <c r="Q12" i="24"/>
  <c r="L38" i="23"/>
  <c r="L37" i="23"/>
  <c r="H35" i="23"/>
  <c r="F39" i="23"/>
  <c r="L20" i="23"/>
  <c r="L19" i="23"/>
  <c r="F20" i="23"/>
  <c r="F38" i="23"/>
  <c r="F37" i="23"/>
  <c r="Q11" i="24"/>
  <c r="F19" i="23"/>
  <c r="J34" i="14"/>
  <c r="E37" i="14"/>
  <c r="J15" i="44"/>
  <c r="E18" i="44"/>
  <c r="N14" i="42"/>
  <c r="E16" i="42"/>
  <c r="N34" i="7"/>
  <c r="N33" i="7"/>
  <c r="N32" i="7"/>
  <c r="N14" i="7"/>
  <c r="N13" i="7"/>
  <c r="J8" i="7"/>
  <c r="E16" i="7"/>
  <c r="N12" i="7"/>
  <c r="N11" i="7"/>
  <c r="N10" i="7"/>
  <c r="N16" i="7"/>
  <c r="C6" i="29" s="1"/>
  <c r="N46" i="5"/>
  <c r="J36" i="5"/>
  <c r="E37" i="5"/>
  <c r="J22" i="5"/>
  <c r="E26" i="5"/>
  <c r="J7" i="5"/>
  <c r="E9" i="5"/>
  <c r="O45" i="3"/>
  <c r="O44" i="3"/>
  <c r="O47" i="3"/>
  <c r="K44" i="3"/>
  <c r="K26" i="3"/>
  <c r="E46" i="3"/>
  <c r="N44" i="3" s="1"/>
  <c r="O28" i="3"/>
  <c r="E30" i="3"/>
  <c r="O27" i="3"/>
  <c r="O30" i="3"/>
  <c r="C24" i="29" s="1"/>
  <c r="E8" i="3"/>
  <c r="O7" i="3"/>
  <c r="O6" i="3"/>
  <c r="O8" i="3" s="1"/>
  <c r="K6" i="3"/>
  <c r="E39" i="40"/>
  <c r="N37" i="40"/>
  <c r="N39" i="40"/>
  <c r="C33" i="29" s="1"/>
  <c r="J36" i="40"/>
  <c r="N12" i="40"/>
  <c r="N11" i="40"/>
  <c r="N10" i="40"/>
  <c r="N15" i="40" s="1"/>
  <c r="J9" i="40"/>
  <c r="E15" i="40"/>
  <c r="M8" i="7"/>
  <c r="L8" i="7"/>
  <c r="K8" i="7"/>
  <c r="M44" i="3"/>
  <c r="L44" i="3"/>
  <c r="N26" i="3"/>
  <c r="M26" i="3"/>
  <c r="L26" i="3"/>
  <c r="M36" i="40"/>
  <c r="L36" i="40"/>
  <c r="K36" i="40"/>
  <c r="H34" i="31"/>
  <c r="E34" i="31"/>
  <c r="H33" i="31"/>
  <c r="H32" i="31"/>
  <c r="G32" i="31"/>
  <c r="E32" i="31"/>
  <c r="G30" i="31"/>
  <c r="F30" i="31"/>
  <c r="E31" i="31"/>
  <c r="C30" i="31"/>
  <c r="F10" i="31"/>
  <c r="F9" i="31"/>
  <c r="F8" i="31"/>
  <c r="F23" i="31"/>
  <c r="F32" i="31"/>
  <c r="F7" i="31"/>
  <c r="E21" i="31"/>
  <c r="E30" i="31"/>
  <c r="F6" i="31"/>
  <c r="F5" i="31"/>
  <c r="D23" i="31"/>
  <c r="D32" i="31"/>
  <c r="D25" i="31"/>
  <c r="D34" i="31"/>
  <c r="D22" i="31"/>
  <c r="D31" i="31"/>
  <c r="D21" i="31"/>
  <c r="D30" i="31"/>
  <c r="F22" i="31"/>
  <c r="F31" i="31"/>
  <c r="N16" i="44"/>
  <c r="N18" i="44" s="1"/>
  <c r="K15" i="44"/>
  <c r="L15" i="44"/>
  <c r="M15" i="44"/>
  <c r="C38" i="29"/>
  <c r="N13" i="42"/>
  <c r="N16" i="42" s="1"/>
  <c r="C37" i="29"/>
  <c r="N25" i="40"/>
  <c r="N28" i="40" s="1"/>
  <c r="C23" i="29"/>
  <c r="M13" i="42"/>
  <c r="L13" i="42"/>
  <c r="K13" i="42"/>
  <c r="K25" i="40"/>
  <c r="C13" i="29"/>
  <c r="K9" i="40"/>
  <c r="M25" i="40"/>
  <c r="M9" i="40"/>
  <c r="L9" i="40"/>
  <c r="L25" i="40"/>
  <c r="N53" i="7"/>
  <c r="N34" i="14"/>
  <c r="N24" i="5"/>
  <c r="F26" i="39"/>
  <c r="L26" i="39"/>
  <c r="F17" i="39"/>
  <c r="H17" i="39"/>
  <c r="F11" i="39"/>
  <c r="L11" i="39"/>
  <c r="C9" i="38"/>
  <c r="F27" i="37"/>
  <c r="L27" i="37"/>
  <c r="L28" i="37"/>
  <c r="C43" i="36"/>
  <c r="F43" i="36"/>
  <c r="I43" i="36"/>
  <c r="F19" i="37"/>
  <c r="F9" i="37"/>
  <c r="F10" i="37"/>
  <c r="J43" i="36"/>
  <c r="Q44" i="36"/>
  <c r="G43" i="36"/>
  <c r="D43" i="36"/>
  <c r="F23" i="35"/>
  <c r="F24" i="35"/>
  <c r="F10" i="35"/>
  <c r="L10" i="35"/>
  <c r="F18" i="28"/>
  <c r="L18" i="28"/>
  <c r="Q48" i="36"/>
  <c r="E38" i="29"/>
  <c r="F38" i="29"/>
  <c r="G38" i="29"/>
  <c r="H18" i="37"/>
  <c r="L19" i="37"/>
  <c r="C29" i="36"/>
  <c r="F9" i="38"/>
  <c r="D9" i="38"/>
  <c r="H9" i="37"/>
  <c r="I9" i="37"/>
  <c r="L9" i="37"/>
  <c r="H25" i="39"/>
  <c r="L27" i="39"/>
  <c r="C36" i="38"/>
  <c r="D36" i="38"/>
  <c r="F27" i="39"/>
  <c r="H11" i="39"/>
  <c r="I11" i="39"/>
  <c r="L17" i="39"/>
  <c r="F18" i="39"/>
  <c r="I17" i="39"/>
  <c r="F28" i="37"/>
  <c r="H27" i="37"/>
  <c r="I27" i="37"/>
  <c r="L20" i="37"/>
  <c r="F20" i="37"/>
  <c r="K48" i="36"/>
  <c r="M43" i="36"/>
  <c r="H9" i="35"/>
  <c r="F11" i="35"/>
  <c r="H22" i="35"/>
  <c r="K22" i="35"/>
  <c r="L11" i="35"/>
  <c r="C11" i="34"/>
  <c r="L23" i="35"/>
  <c r="L24" i="35"/>
  <c r="H17" i="28"/>
  <c r="I24" i="34"/>
  <c r="J24" i="34"/>
  <c r="F24" i="34"/>
  <c r="G24" i="34"/>
  <c r="Q25" i="34"/>
  <c r="C24" i="34"/>
  <c r="D24" i="34"/>
  <c r="I11" i="34"/>
  <c r="J11" i="34"/>
  <c r="F11" i="34"/>
  <c r="G11" i="34"/>
  <c r="Q12" i="34"/>
  <c r="D11" i="34"/>
  <c r="L18" i="39"/>
  <c r="C23" i="38"/>
  <c r="F36" i="38"/>
  <c r="L10" i="37"/>
  <c r="C11" i="36"/>
  <c r="I9" i="38"/>
  <c r="J9" i="38"/>
  <c r="Q11" i="38"/>
  <c r="G9" i="38"/>
  <c r="F29" i="36"/>
  <c r="D29" i="36"/>
  <c r="N43" i="36"/>
  <c r="J18" i="37"/>
  <c r="K18" i="37"/>
  <c r="I18" i="37"/>
  <c r="J9" i="37"/>
  <c r="K9" i="37"/>
  <c r="J25" i="39"/>
  <c r="K25" i="39"/>
  <c r="I25" i="39"/>
  <c r="J17" i="39"/>
  <c r="K17" i="39"/>
  <c r="K11" i="39"/>
  <c r="J11" i="39"/>
  <c r="K27" i="37"/>
  <c r="J27" i="37"/>
  <c r="P43" i="36"/>
  <c r="O43" i="36"/>
  <c r="I22" i="35"/>
  <c r="I9" i="35"/>
  <c r="J9" i="35"/>
  <c r="K9" i="35"/>
  <c r="J22" i="35"/>
  <c r="C25" i="31"/>
  <c r="C34" i="31"/>
  <c r="C23" i="31"/>
  <c r="C32" i="31"/>
  <c r="C22" i="31"/>
  <c r="C31" i="31"/>
  <c r="C14" i="29"/>
  <c r="N35" i="14"/>
  <c r="N37" i="14"/>
  <c r="D35" i="29"/>
  <c r="I29" i="36"/>
  <c r="J29" i="36"/>
  <c r="Q30" i="36"/>
  <c r="G29" i="36"/>
  <c r="Q10" i="38"/>
  <c r="Q15" i="38"/>
  <c r="E13" i="29"/>
  <c r="F13" i="29"/>
  <c r="G13" i="29"/>
  <c r="M9" i="38"/>
  <c r="K15" i="38"/>
  <c r="F11" i="36"/>
  <c r="D11" i="36"/>
  <c r="I36" i="38"/>
  <c r="J36" i="38"/>
  <c r="Q38" i="38"/>
  <c r="G36" i="38"/>
  <c r="Q37" i="38"/>
  <c r="Q39" i="38"/>
  <c r="E33" i="29"/>
  <c r="F33" i="29"/>
  <c r="G33" i="29"/>
  <c r="M36" i="38"/>
  <c r="K39" i="38"/>
  <c r="F23" i="38"/>
  <c r="D23" i="38"/>
  <c r="M11" i="34"/>
  <c r="K16" i="34"/>
  <c r="Q11" i="34"/>
  <c r="Q16" i="34"/>
  <c r="E7" i="29"/>
  <c r="F7" i="29"/>
  <c r="G7" i="29"/>
  <c r="G6" i="30"/>
  <c r="H6" i="30"/>
  <c r="Q24" i="34"/>
  <c r="Q29" i="34"/>
  <c r="E37" i="29"/>
  <c r="F37" i="29"/>
  <c r="G37" i="29"/>
  <c r="G22" i="30"/>
  <c r="M24" i="34"/>
  <c r="K29" i="34"/>
  <c r="L34" i="14"/>
  <c r="K34" i="14"/>
  <c r="M34" i="14"/>
  <c r="N30" i="7"/>
  <c r="N29" i="7"/>
  <c r="N47" i="5"/>
  <c r="N36" i="5"/>
  <c r="N37" i="5"/>
  <c r="C4" i="29"/>
  <c r="N6" i="3"/>
  <c r="M6" i="3"/>
  <c r="L6" i="3"/>
  <c r="K46" i="5"/>
  <c r="P24" i="34"/>
  <c r="O24" i="34"/>
  <c r="N24" i="34"/>
  <c r="O11" i="34"/>
  <c r="P11" i="34"/>
  <c r="N11" i="34"/>
  <c r="G23" i="38"/>
  <c r="I23" i="38"/>
  <c r="J23" i="38"/>
  <c r="Q24" i="38"/>
  <c r="P36" i="38"/>
  <c r="O36" i="38"/>
  <c r="N36" i="38"/>
  <c r="I11" i="36"/>
  <c r="J11" i="36"/>
  <c r="Q12" i="36"/>
  <c r="G11" i="36"/>
  <c r="P9" i="38"/>
  <c r="O9" i="38"/>
  <c r="N9" i="38"/>
  <c r="Q34" i="36"/>
  <c r="E26" i="29"/>
  <c r="M29" i="36"/>
  <c r="K34" i="36"/>
  <c r="C35" i="29"/>
  <c r="M46" i="5"/>
  <c r="L46" i="5"/>
  <c r="F38" i="26"/>
  <c r="F37" i="26"/>
  <c r="L37" i="26"/>
  <c r="F29" i="26"/>
  <c r="L29" i="26" s="1"/>
  <c r="F28" i="26"/>
  <c r="H27" i="26" s="1"/>
  <c r="F19" i="26"/>
  <c r="L19" i="26"/>
  <c r="F18" i="26"/>
  <c r="F11" i="26"/>
  <c r="L11" i="26"/>
  <c r="F10" i="26"/>
  <c r="F9" i="26"/>
  <c r="P29" i="36"/>
  <c r="O29" i="36"/>
  <c r="N29" i="36"/>
  <c r="Q16" i="36"/>
  <c r="E45" i="29"/>
  <c r="K16" i="36"/>
  <c r="M11" i="36"/>
  <c r="N11" i="36"/>
  <c r="Q23" i="38"/>
  <c r="Q26" i="38"/>
  <c r="E23" i="29"/>
  <c r="F23" i="29"/>
  <c r="G23" i="29"/>
  <c r="M23" i="38"/>
  <c r="K26" i="38"/>
  <c r="F18" i="23"/>
  <c r="P23" i="38"/>
  <c r="O23" i="38"/>
  <c r="N23" i="38"/>
  <c r="P11" i="36"/>
  <c r="O11" i="36"/>
  <c r="N18" i="14"/>
  <c r="N31" i="7"/>
  <c r="F29" i="28"/>
  <c r="L29" i="28"/>
  <c r="F10" i="28"/>
  <c r="L10" i="28"/>
  <c r="F9" i="28"/>
  <c r="F36" i="23"/>
  <c r="L36" i="23"/>
  <c r="F35" i="23"/>
  <c r="L39" i="23"/>
  <c r="F27" i="23"/>
  <c r="L27" i="23"/>
  <c r="F26" i="23"/>
  <c r="H26" i="23"/>
  <c r="L18" i="23"/>
  <c r="F17" i="23"/>
  <c r="L17" i="23"/>
  <c r="F16" i="23"/>
  <c r="F9" i="23"/>
  <c r="L9" i="23"/>
  <c r="L16" i="23"/>
  <c r="H16" i="23"/>
  <c r="I25" i="24"/>
  <c r="J25" i="24"/>
  <c r="F12" i="26"/>
  <c r="H9" i="26"/>
  <c r="L9" i="26"/>
  <c r="H28" i="28"/>
  <c r="F30" i="28"/>
  <c r="F30" i="26"/>
  <c r="K27" i="26" s="1"/>
  <c r="L9" i="28"/>
  <c r="H9" i="28"/>
  <c r="F11" i="28"/>
  <c r="F19" i="28"/>
  <c r="L19" i="28"/>
  <c r="H18" i="26"/>
  <c r="L18" i="26"/>
  <c r="F39" i="26"/>
  <c r="H37" i="26"/>
  <c r="F28" i="23"/>
  <c r="H9" i="23"/>
  <c r="F10" i="23"/>
  <c r="J17" i="28"/>
  <c r="K17" i="28"/>
  <c r="I17" i="28"/>
  <c r="J27" i="26"/>
  <c r="I27" i="26"/>
  <c r="K26" i="23"/>
  <c r="J26" i="23"/>
  <c r="I26" i="23"/>
  <c r="F25" i="24"/>
  <c r="G25" i="24"/>
  <c r="C25" i="24"/>
  <c r="D25" i="24"/>
  <c r="I25" i="27"/>
  <c r="J25" i="27"/>
  <c r="F25" i="27"/>
  <c r="G25" i="27"/>
  <c r="Q26" i="27"/>
  <c r="C25" i="27"/>
  <c r="D25" i="27"/>
  <c r="K31" i="24"/>
  <c r="M25" i="24"/>
  <c r="Q25" i="27"/>
  <c r="Q30" i="27"/>
  <c r="M25" i="27"/>
  <c r="K30" i="27"/>
  <c r="I28" i="28"/>
  <c r="L38" i="26"/>
  <c r="L39" i="26"/>
  <c r="L21" i="26"/>
  <c r="L12" i="26"/>
  <c r="C11" i="25"/>
  <c r="L11" i="28"/>
  <c r="L30" i="28"/>
  <c r="L28" i="26"/>
  <c r="L30" i="26"/>
  <c r="I18" i="26"/>
  <c r="E14" i="29"/>
  <c r="L26" i="23"/>
  <c r="L28" i="23"/>
  <c r="E16" i="29"/>
  <c r="N25" i="27"/>
  <c r="P25" i="24"/>
  <c r="I11" i="27"/>
  <c r="J11" i="27"/>
  <c r="F11" i="27"/>
  <c r="G11" i="27"/>
  <c r="Q12" i="27"/>
  <c r="C11" i="27"/>
  <c r="D11" i="27"/>
  <c r="I11" i="25"/>
  <c r="J11" i="25"/>
  <c r="F11" i="25"/>
  <c r="G11" i="25"/>
  <c r="Q12" i="25"/>
  <c r="D11" i="25"/>
  <c r="Q11" i="25" s="1"/>
  <c r="I25" i="25"/>
  <c r="J25" i="25"/>
  <c r="F25" i="25"/>
  <c r="G25" i="25"/>
  <c r="C25" i="25"/>
  <c r="D25" i="25"/>
  <c r="Q25" i="25" s="1"/>
  <c r="C40" i="25"/>
  <c r="D40" i="25"/>
  <c r="Q40" i="25" s="1"/>
  <c r="F40" i="25"/>
  <c r="G40" i="25"/>
  <c r="Q41" i="25"/>
  <c r="I40" i="25"/>
  <c r="J40" i="25"/>
  <c r="I54" i="25"/>
  <c r="J54" i="25"/>
  <c r="F54" i="25"/>
  <c r="G54" i="25"/>
  <c r="Q55" i="25"/>
  <c r="C54" i="25"/>
  <c r="D54" i="25"/>
  <c r="Q54" i="25" s="1"/>
  <c r="O25" i="27"/>
  <c r="P25" i="27"/>
  <c r="C39" i="24"/>
  <c r="D39" i="24"/>
  <c r="F39" i="24"/>
  <c r="G39" i="24"/>
  <c r="Q39" i="24"/>
  <c r="I39" i="24"/>
  <c r="J39" i="24"/>
  <c r="Q40" i="24"/>
  <c r="I40" i="27"/>
  <c r="J40" i="27"/>
  <c r="F40" i="27"/>
  <c r="G40" i="27"/>
  <c r="Q41" i="27"/>
  <c r="C40" i="27"/>
  <c r="D40" i="27"/>
  <c r="J9" i="28"/>
  <c r="J28" i="28"/>
  <c r="K28" i="28"/>
  <c r="K9" i="28"/>
  <c r="I9" i="28"/>
  <c r="I37" i="26"/>
  <c r="J37" i="26"/>
  <c r="K37" i="26"/>
  <c r="I9" i="26"/>
  <c r="K9" i="26"/>
  <c r="J9" i="26"/>
  <c r="J18" i="26"/>
  <c r="K18" i="26"/>
  <c r="N25" i="24"/>
  <c r="O25" i="24"/>
  <c r="I35" i="23"/>
  <c r="K35" i="23"/>
  <c r="J35" i="23"/>
  <c r="L10" i="23"/>
  <c r="K30" i="25"/>
  <c r="Q40" i="27"/>
  <c r="Q45" i="27"/>
  <c r="E36" i="29"/>
  <c r="M40" i="27"/>
  <c r="K45" i="27"/>
  <c r="M25" i="25"/>
  <c r="Q26" i="25"/>
  <c r="F52" i="24"/>
  <c r="G52" i="24"/>
  <c r="Q53" i="24"/>
  <c r="C52" i="24"/>
  <c r="D52" i="24"/>
  <c r="I52" i="24"/>
  <c r="J52" i="24"/>
  <c r="Q54" i="24"/>
  <c r="Q11" i="27"/>
  <c r="Q16" i="27"/>
  <c r="E6" i="29"/>
  <c r="M11" i="27"/>
  <c r="K16" i="27"/>
  <c r="Q59" i="25"/>
  <c r="E35" i="29"/>
  <c r="F35" i="29"/>
  <c r="G35" i="29"/>
  <c r="M54" i="25"/>
  <c r="K59" i="25"/>
  <c r="I11" i="24"/>
  <c r="J11" i="24"/>
  <c r="F11" i="24"/>
  <c r="G11" i="24"/>
  <c r="C11" i="24"/>
  <c r="D11" i="24"/>
  <c r="Q45" i="25"/>
  <c r="E25" i="29"/>
  <c r="K45" i="25"/>
  <c r="M40" i="25"/>
  <c r="N40" i="25"/>
  <c r="Q16" i="25"/>
  <c r="E5" i="29"/>
  <c r="K16" i="25"/>
  <c r="M11" i="25"/>
  <c r="M39" i="24"/>
  <c r="K42" i="24"/>
  <c r="Q42" i="24"/>
  <c r="E24" i="29"/>
  <c r="I9" i="23"/>
  <c r="J9" i="23"/>
  <c r="K9" i="23"/>
  <c r="N39" i="24"/>
  <c r="N40" i="27"/>
  <c r="N25" i="25"/>
  <c r="Q30" i="25"/>
  <c r="E15" i="29"/>
  <c r="N11" i="25"/>
  <c r="N11" i="27"/>
  <c r="P40" i="27"/>
  <c r="O40" i="27"/>
  <c r="P25" i="25"/>
  <c r="O25" i="25"/>
  <c r="N54" i="25"/>
  <c r="Q16" i="24"/>
  <c r="E4" i="29"/>
  <c r="K16" i="24"/>
  <c r="M11" i="24"/>
  <c r="O54" i="25"/>
  <c r="P54" i="25"/>
  <c r="K55" i="24"/>
  <c r="M52" i="24"/>
  <c r="Q55" i="24"/>
  <c r="E34" i="29"/>
  <c r="P11" i="27"/>
  <c r="O11" i="27"/>
  <c r="P11" i="25"/>
  <c r="O11" i="25"/>
  <c r="O40" i="25"/>
  <c r="P40" i="25"/>
  <c r="P39" i="24"/>
  <c r="O39" i="24"/>
  <c r="N11" i="24"/>
  <c r="O11" i="24"/>
  <c r="P11" i="24"/>
  <c r="P52" i="24"/>
  <c r="O52" i="24"/>
  <c r="N52" i="24"/>
  <c r="F24" i="29"/>
  <c r="G24" i="29"/>
  <c r="F45" i="29"/>
  <c r="G45" i="29"/>
  <c r="F26" i="29"/>
  <c r="G26" i="29"/>
  <c r="G16" i="30"/>
  <c r="C25" i="29"/>
  <c r="E16" i="3"/>
  <c r="H16" i="30"/>
  <c r="F25" i="29"/>
  <c r="G25" i="29"/>
  <c r="K27" i="7"/>
  <c r="M27" i="7"/>
  <c r="L27" i="7"/>
  <c r="K36" i="5"/>
  <c r="M36" i="5"/>
  <c r="L36" i="5"/>
  <c r="D15" i="29"/>
  <c r="F4" i="29"/>
  <c r="G4" i="29"/>
  <c r="H15" i="30"/>
  <c r="H3" i="30"/>
  <c r="M18" i="14"/>
  <c r="K18" i="14"/>
  <c r="L18" i="14"/>
  <c r="F14" i="29"/>
  <c r="G14" i="29"/>
  <c r="N52" i="7"/>
  <c r="N51" i="7"/>
  <c r="N7" i="5"/>
  <c r="N23" i="5"/>
  <c r="N26" i="5"/>
  <c r="N8" i="5"/>
  <c r="N9" i="5"/>
  <c r="C15" i="29"/>
  <c r="F15" i="29"/>
  <c r="C36" i="29"/>
  <c r="F36" i="29"/>
  <c r="G36" i="29"/>
  <c r="G21" i="30"/>
  <c r="H21" i="30"/>
  <c r="K50" i="7"/>
  <c r="M50" i="7"/>
  <c r="L50" i="7"/>
  <c r="F6" i="29"/>
  <c r="G6" i="29"/>
  <c r="K22" i="5"/>
  <c r="K7" i="5"/>
  <c r="L22" i="5"/>
  <c r="M22" i="5"/>
  <c r="L7" i="5"/>
  <c r="M7" i="5"/>
  <c r="G15" i="29"/>
  <c r="C5" i="29"/>
  <c r="F5" i="29"/>
  <c r="G5" i="29"/>
  <c r="C34" i="29"/>
  <c r="F34" i="29"/>
  <c r="G34" i="29"/>
  <c r="K16" i="23"/>
  <c r="J16" i="23"/>
  <c r="I16" i="23"/>
  <c r="N38" i="7" l="1"/>
  <c r="C16" i="29" s="1"/>
  <c r="F16" i="29" s="1"/>
  <c r="G16" i="29" s="1"/>
  <c r="G11" i="30" s="1"/>
  <c r="H11" i="30" s="1"/>
  <c r="H27" i="30" s="1"/>
</calcChain>
</file>

<file path=xl/sharedStrings.xml><?xml version="1.0" encoding="utf-8"?>
<sst xmlns="http://schemas.openxmlformats.org/spreadsheetml/2006/main" count="1894" uniqueCount="334">
  <si>
    <t>PESQUISA NO PAINEL DE PREÇOS -  ESFERA FEDERAL</t>
  </si>
  <si>
    <t>REGIÃO NORDESTE</t>
  </si>
  <si>
    <t>SPLIT 9000 BTU</t>
  </si>
  <si>
    <t>CÁLCULO DA MÉDIA SANEADA</t>
  </si>
  <si>
    <t>Modalidade</t>
  </si>
  <si>
    <t>Código do CATMAT</t>
  </si>
  <si>
    <t>Unidade de Fornecimento</t>
  </si>
  <si>
    <t>Quantidade Ofertada</t>
  </si>
  <si>
    <t>Valor Unitário</t>
  </si>
  <si>
    <t>Fornecedor</t>
  </si>
  <si>
    <t>UASG - Unidade Gestora</t>
  </si>
  <si>
    <t>Data da Compra</t>
  </si>
  <si>
    <t>Desvio padrão</t>
  </si>
  <si>
    <t>Coeficiente de variação (CV)</t>
  </si>
  <si>
    <t>Limite superior</t>
  </si>
  <si>
    <t>Limite inferior</t>
  </si>
  <si>
    <t>Média saneada</t>
  </si>
  <si>
    <t>Pregão</t>
  </si>
  <si>
    <t>UNIDADE</t>
  </si>
  <si>
    <t>FUTURA
 CLIMATIZACAO E
 ENERGIA
 RENOVAVEL
 DISTRIBUIDORA
 COMERCIO E
 SERVICOS LTDA</t>
  </si>
  <si>
    <t>153038 
UNIVERSIDADE
 FEDERAL DA BAHIA
UF/BA</t>
  </si>
  <si>
    <t>VENTISOL DA
 AMAZONIA
 INDUSTRIA DE
 APARELHOS
 ELETRICOS LTDA</t>
  </si>
  <si>
    <t>120631 - BASE
 AEREA DE NATAL 
BANT</t>
  </si>
  <si>
    <t>M FELIPE GALVAO
 LTDA</t>
  </si>
  <si>
    <t>160175 
ADMINISTRATIVA DA
 GUARNICÃO DE JOÃO
 PESSOA</t>
  </si>
  <si>
    <t>IMPERIO COMERCIO
 LTDA</t>
  </si>
  <si>
    <t xml:space="preserve"> ECOMMERCE HN
 LTDA</t>
  </si>
  <si>
    <t>389184 - CONSELHO
 REGIONAL DE
 MEDICINA - PB</t>
  </si>
  <si>
    <t>Valor médio</t>
  </si>
  <si>
    <t>REGIÃO CENTRO OESTE</t>
  </si>
  <si>
    <t>P A P AR
 CONDICIONADO
 LTDA</t>
  </si>
  <si>
    <t>155904 - HOSPITAL DAS
 CLINICAS DE GOIÁS</t>
  </si>
  <si>
    <t xml:space="preserve">Unidade </t>
  </si>
  <si>
    <t>IMPERIO
 COMERCIO LTDA</t>
  </si>
  <si>
    <t>160146 - COMANDO DA
 18 BRIG DE INFANTARIA
 DE PANTANAL</t>
  </si>
  <si>
    <t>ONIX COMERCIO
 LTDA</t>
  </si>
  <si>
    <t>160095 - 58 BATALHAO
 DE INFANTARIA
 MOTORIZADO-MEX/GO</t>
  </si>
  <si>
    <t>REGIÃO SUDESTE</t>
  </si>
  <si>
    <t>EXCELLENCE
 COMERCIAL LTDA</t>
  </si>
  <si>
    <t>158121 - INST.FED.DE
 EDUC.,CIÊNC.E TEC.DO
 NORTE DE MG</t>
  </si>
  <si>
    <t>JEB COMERCIO DE
 ELETRONICOS
 LTDA</t>
  </si>
  <si>
    <t>764200 - SERVICO DE
 VETERANOS E
 PENSIONISTAS DA
 MARINH</t>
  </si>
  <si>
    <t>FSP COMERCIO E
 SERVICOS DE AR
 CONDICIONADO
 LTDA</t>
  </si>
  <si>
    <t>153031 - MEC
UNIVERSIDADE FEDERAL
 DE SAO PAULO/SP</t>
  </si>
  <si>
    <t>REGIÃO NORTE</t>
  </si>
  <si>
    <t>SPLIT 12000 BTU</t>
  </si>
  <si>
    <t>J R MACHADO IMP. E EXP.</t>
  </si>
  <si>
    <t>160348 - 5 BATALHAO DE ENGENHARIA DE CONSTRUCAO/RO</t>
  </si>
  <si>
    <t>ELETROMOVEIS
 POPULAR LTDA</t>
  </si>
  <si>
    <t>120637 - BASE
 AÉREA DE BOAVISTA</t>
  </si>
  <si>
    <t>DEVIDO À EXISTÊNCIA DE APENAS UM (1) REGISTRO, NÃO HÁ NECESSIDADE DE SE CALCULAR A MÉDIA SANEADA, PORTANTO, O VALOR UNITÁRIO ENCONTRADO SERÁ UTILIZADO COMO REFERÊNCIA PARA COMPOR O PREÇO FINAL</t>
  </si>
  <si>
    <t>ECOMMERCE HN LTDA</t>
  </si>
  <si>
    <t>389184 CONSELHO REGIONAL DE MEDICINA - PB</t>
  </si>
  <si>
    <t>MAGUCENTER LTDA</t>
  </si>
  <si>
    <t>120638 - BASE
 AÉREA DE
 CAMPOGRANDE</t>
  </si>
  <si>
    <t>120638 - BASE AÉREA DE CAMPOGRANDE</t>
  </si>
  <si>
    <t>MARCOS DE
 OLIVEIRA NOVAIS
 LTDA</t>
  </si>
  <si>
    <t>160146 - COMANDO
 DA 18 BRIG DE
 INFANTARIA DE
 PANTANAL</t>
  </si>
  <si>
    <t>MA COMERCIO DE
 REFRIGERACAO
 LTDA</t>
  </si>
  <si>
    <t>120624 - BASE
 AÉREA DE ANÁPOLIS</t>
  </si>
  <si>
    <t>GMATOS REFRIGERACAO LTDA</t>
  </si>
  <si>
    <t>926089 
CONSELHO
 REGIONAL DE
 EDUCAÇAO FISICA
 4A - SP</t>
  </si>
  <si>
    <t>RG COMERCIO LTDA</t>
  </si>
  <si>
    <t>254501 
INSTITUTO DE
 CIÊNCIA E TEC. EM
 BIOMODELOS</t>
  </si>
  <si>
    <t>SPLIT 18000 BTU</t>
  </si>
  <si>
    <t>51.710.025 FRANCISCO DE ASSIS AVELINO</t>
  </si>
  <si>
    <t>160482 - 1A. BRIGADA DE
 INFANTARIA DE SELVA/RR</t>
  </si>
  <si>
    <t>GRATUS
 EMPREENDIMENTOS
 LTDA</t>
  </si>
  <si>
    <t>160001 - 7 BATALHAO DE
 ENGENHARIA DE
 CONSTRUCAO-MEX/AC</t>
  </si>
  <si>
    <t>VENTISOL DA
AMAZONIA
INDUSTRIA DE
APARELHOS
ELETRICOS LTDA</t>
  </si>
  <si>
    <t>080007 - TRIBUNAL
 REGIONAL DO
 TRABALHO DA
 5A.REGIAO</t>
  </si>
  <si>
    <t>BELMICRO
 TECNOLOGIA S/A</t>
  </si>
  <si>
    <t>070013 - TRIBUNAL
 REGIONAL
 ELEITORAL DA
 BAHIA</t>
  </si>
  <si>
    <t>FUTURA
 CLIMATIZACAO E
 ENERGIA RENOVAVEL
 DISTRIBUIDORA
 COMERCIO E
 SERVICOS LTDA</t>
  </si>
  <si>
    <t>153037 
UNIVERSIDADE
 FEDERAL DE
 ALAGOAS</t>
  </si>
  <si>
    <t>RC LICITACOES LTDA</t>
  </si>
  <si>
    <t>AMENA CLIMATIZACAO LTDA</t>
  </si>
  <si>
    <t>160146 
COMANDO DA 18
 BRIG DE
 INFANTARIA DE
 PANTANAL</t>
  </si>
  <si>
    <t>AMENA
 CLIMATIZACAO LTDA</t>
  </si>
  <si>
    <t>JEB COMERCIO DE
 ELETRONICOS LTDA</t>
  </si>
  <si>
    <t xml:space="preserve"> 03/06/2025</t>
  </si>
  <si>
    <t>S.J. SERVICOS E
 SOLUCOES LTDA</t>
  </si>
  <si>
    <t>173039 - MF-SUSEP
SUPERINT.DE SEGUROS
 PRIVADOS/RJ</t>
  </si>
  <si>
    <t xml:space="preserve"> 22/04/2025</t>
  </si>
  <si>
    <t>JR BRASIL COMERCIO
 &amp; SERVICOS LTDA</t>
  </si>
  <si>
    <t xml:space="preserve"> 160253 - 1 BATALHAO
 DE GUARDA/RJ</t>
  </si>
  <si>
    <t xml:space="preserve"> 24/02/2025</t>
  </si>
  <si>
    <t>ELETRO CENTRO
 COMERCIO DE PECAS
 E
 ELETROELETRONICOS
 LTDA</t>
  </si>
  <si>
    <t xml:space="preserve"> 25/03/2025</t>
  </si>
  <si>
    <t>SPLIT 24000 BTU</t>
  </si>
  <si>
    <t>BIG TECH COMERCIO
 E SERVICOS DE
 APOIO
 ADMINISTRATIVOS
 LTDA</t>
  </si>
  <si>
    <t xml:space="preserve"> 090039 - JUSTICA
 FEDERAL DE 1A.
 INSTANCIA/RR</t>
  </si>
  <si>
    <t>SPLIT SERVICE
 REFRIGERACAO
 COMERCIO E
 SERVICOS LTDA</t>
  </si>
  <si>
    <t>389426 - CONSELHO REG.
 DE ENGENHARIA E
 AGRONOMIA - PA</t>
  </si>
  <si>
    <t>CH3 ELETRO E
 ELETRONICOS LTDA</t>
  </si>
  <si>
    <t>120631 - BASE AEREA DE NATAL - BANT</t>
  </si>
  <si>
    <t xml:space="preserve"> FUTURA
 CLIMATIZACAO E
 ENERGIA
 RENOVAVEL
 DISTRIBUIDORA
 COMERCIO E
 SERVICOS LTDA</t>
  </si>
  <si>
    <t>153038 UNIVERSIDADE FEDERAL DA BAHIA UF/BA</t>
  </si>
  <si>
    <t>070013 - TRIBUNAL REGIONAL ELEITORAL DA BAHIA</t>
  </si>
  <si>
    <t>153037 UNIVERSIDADE FEDERAL DE ALAGOAS</t>
  </si>
  <si>
    <t xml:space="preserve"> RG COMERCIO LTDA</t>
  </si>
  <si>
    <t>160105 - 24º
 BATALHÃO DE
 INFANTARIA DE
 SELVA</t>
  </si>
  <si>
    <t xml:space="preserve">
 METTA
 DISTRIBUIDORA E
 COMERCIO LTDA</t>
  </si>
  <si>
    <t>RC LICITACOES
 LTDA</t>
  </si>
  <si>
    <t>NAVI COMERCIAL
 LTDA</t>
  </si>
  <si>
    <t>120631 - BASE AEREA
 DE NATAL - BANT</t>
  </si>
  <si>
    <t>070013 - TRIBUNAL
 REGIONAL ELEITORAL
 DA BAHIA</t>
  </si>
  <si>
    <t>JN COMERCIAL LTDA</t>
  </si>
  <si>
    <t xml:space="preserve"> MAGUCENTER LTDA</t>
  </si>
  <si>
    <t>DENTECK LTDA</t>
  </si>
  <si>
    <t>160318 - ESCOLA
 DE SARGENTOS DE
 LOGISTICA</t>
  </si>
  <si>
    <t xml:space="preserve"> 02/06/2025</t>
  </si>
  <si>
    <t>SOUL
 DISTRIBUIDORA DE
 PRODUTOS E
 EQUIPAMENTOS
 INDUSTRIAIS LTDA</t>
  </si>
  <si>
    <t>160456 - 22
 BATALHAO
 LOGISTICO</t>
  </si>
  <si>
    <t xml:space="preserve"> METTA
 DISTRIBUIDORA E
 COMERCIO LTDA</t>
  </si>
  <si>
    <t xml:space="preserve"> 158121 
INST.FED.DE
 EDUC.,CIÊNC.E
 TEC.DO NORTE DE
 MG</t>
  </si>
  <si>
    <t>160518 - BASE DE
 AVIACAO DE
 TAUBATE</t>
  </si>
  <si>
    <t xml:space="preserve"> J.L. DO B.
 GUIMARAES - JBX
 PRODUTOS LTDA</t>
  </si>
  <si>
    <t>160265 - 15
 REGIMENTO DE
 CAVALARIA
 MECANIZADA/RJ</t>
  </si>
  <si>
    <t>METTA
 DISTRIBUIDORA E
 COMERCIO LTDA</t>
  </si>
  <si>
    <t>158121 
INST.FED.DE
 EDUC.,CIÊNC.E
 TEC.DO NORTE DE
 MG</t>
  </si>
  <si>
    <t xml:space="preserve"> 14/02/2025</t>
  </si>
  <si>
    <t>CONTROLE
 SERVICOS E
 COMERCIO DE
 INFORMATICA LTDA</t>
  </si>
  <si>
    <t>120633 
GRUPAMENTO DE
 APOIO DE SÃO
 PAULO</t>
  </si>
  <si>
    <t>NÃO FORAM ENCONTRADOS REGISTROS PARA A REGIÃO NORTE</t>
  </si>
  <si>
    <t>SPLIT 30000 BTU</t>
  </si>
  <si>
    <t>ELETRO CENTRO
 COMERCIO DE PECAS E
 ELETROELETRONICOS
 LTDA</t>
  </si>
  <si>
    <t>160498 - 2
 BATALHAO DE
 INFANTARIA
 LEVE</t>
  </si>
  <si>
    <t>F A COMERCIO LTDA</t>
  </si>
  <si>
    <t>120669 - BASE
 AéREA DE
 SANTA CRUZ</t>
  </si>
  <si>
    <t>LITIMAX SERVICO E
 COMERCIO LTDA</t>
  </si>
  <si>
    <t>NÃO FORAM ENCONTRADOS REGISTROS PARA A REGIÃO SUL</t>
  </si>
  <si>
    <t>SPLIT 60000 BTU</t>
  </si>
  <si>
    <t>A2M COMERCIO E SERVICOS LTDA</t>
  </si>
  <si>
    <t>160241 ODONTOCLINICA CENTRAL DO EXERCITO</t>
  </si>
  <si>
    <t>S.J. SERVICOS E
 SOLUCOES
 LTDA</t>
  </si>
  <si>
    <t>791580 - BASE
 ALMIRANTE CASTRO E
 SILVA</t>
  </si>
  <si>
    <t>A2M COMERCIO
 E SERVICOS
 LTDA</t>
  </si>
  <si>
    <t>PESQUISA NO PAINEL DE PREÇOS -  ESFERA ESTADUAL</t>
  </si>
  <si>
    <t>NÃO FORAM ENCONTRADOS REGISTROS PARA A REGIÃO NORDESTE</t>
  </si>
  <si>
    <t>NÃO FORAM ENCONTRADOS REGISTROS PARA A REGIÃO CENTRO OESTE</t>
  </si>
  <si>
    <t>NÃO FORAM ENCONTRADOS REGISTROS PARA A REGIÃO SUDESTE</t>
  </si>
  <si>
    <t>926092 
PROCURADORIA
 GERAL DE JUSTIÇA
 DO PIAUI</t>
  </si>
  <si>
    <t>29//04/2025</t>
  </si>
  <si>
    <t>TECNOBLU
 COMERCIO DE
 REFRIGERACAO
 LTDA</t>
  </si>
  <si>
    <t>FSP COMERCIO E
SERVICOS DE AR
CONDICIONADO
LTDA</t>
  </si>
  <si>
    <t>102322 - ESP-UNESPINSTIT.DE BIOCIENCIASC.RIO CLARO_x000D_</t>
  </si>
  <si>
    <t>MA COMERCIO DE
REFRIGERACAO
LTDA_x000D_</t>
  </si>
  <si>
    <t>980780 - PREFEITURA
MUNICIPAL DE PORTO
REAL</t>
  </si>
  <si>
    <t>SEAOPEN
REFRIGERACAO E
MOVEIS LTDA_x000D_</t>
  </si>
  <si>
    <t>927919 - DEFENSORIA
PÚBLICA DO EST DO RIO
DE JANEIRO</t>
  </si>
  <si>
    <t>PESQUISA DE MERCADO SPLIT 9000 BTU</t>
  </si>
  <si>
    <t>PESQUISA DE MERCADO - NORDESTE</t>
  </si>
  <si>
    <t>AMAZON</t>
  </si>
  <si>
    <t>AMERICANAS</t>
  </si>
  <si>
    <t>CARREFOUR</t>
  </si>
  <si>
    <t>DATA DA PESQUISA</t>
  </si>
  <si>
    <t>Endereço eletrônico</t>
  </si>
  <si>
    <t>https://www.amazon.com.br/Condicionado-Split-LG-Inverter-Compact/dp/B0CG6NK4V8</t>
  </si>
  <si>
    <t>https://www.americanas.com.br/produto/7476043635/ar-condicionado-split-inverter-9000-btus-springer-midea-airvolution-connect-high-wall-so-frio-42afvci09s5-38tvci09s5-220v?pfm_index=2&amp;pfm_page=category&amp;pfm_pos=grid&amp;pfm_type=category_page&amp;voltagem=220V&amp;condition=NEW</t>
  </si>
  <si>
    <t>https://www.carrefour.com.br/ar-condicionado-split-hi-wall-inverter-lg-voice-ia-r-32-9000-btu-h-frio-s3nq09aa31aeb2gam1-220-volts-mp935299372/p</t>
  </si>
  <si>
    <t>REGIÃO</t>
  </si>
  <si>
    <t>VALOR UNITÁRIO</t>
  </si>
  <si>
    <t>FRETE</t>
  </si>
  <si>
    <t>VALOR TOTAL</t>
  </si>
  <si>
    <t>NORDESTE</t>
  </si>
  <si>
    <t>Média final</t>
  </si>
  <si>
    <t>Valor Médio</t>
  </si>
  <si>
    <t>PESQUISA DE MERCADO - CENTRO OESTE</t>
  </si>
  <si>
    <t>CENTRO OESTE</t>
  </si>
  <si>
    <t/>
  </si>
  <si>
    <t>PESQUISA DE MERCADO - SUDESTE</t>
  </si>
  <si>
    <t>SUDESTE</t>
  </si>
  <si>
    <t>FRETE SPLIT 9000  BTU</t>
  </si>
  <si>
    <t>FRETE - NORDESTE</t>
  </si>
  <si>
    <t>ESTADO</t>
  </si>
  <si>
    <t>MÉDIA POR ESTADO</t>
  </si>
  <si>
    <t>VALOR</t>
  </si>
  <si>
    <t>CE</t>
  </si>
  <si>
    <t>FRETE -CENTRO OESTE</t>
  </si>
  <si>
    <t>MS</t>
  </si>
  <si>
    <t>FRETE - SUDESTE</t>
  </si>
  <si>
    <t>MG</t>
  </si>
  <si>
    <t>PESQUISA DE MERCADO SPLIT 12000 BTU</t>
  </si>
  <si>
    <t>PESQUISA DE MERCADO - NORTE</t>
  </si>
  <si>
    <t>FAST SHOP</t>
  </si>
  <si>
    <t>https://site.fastshop.com.br/ar-condicionado-split-hi-wall-inverter-lg-dual-compact--ia-r-32-12000-btu-h-frio-s3nq12jaqal-eb2gam1---220-volts-42762-44112/p</t>
  </si>
  <si>
    <t>https://www.americanas.com.br/produto/7499473169/ar-condicionado-lg-dual-inverter-voice-ai-12-000-btus-frio-s3-q12ja33k-220v?pfm_carac=split-inverter-12000&amp;pfm_index=6&amp;pfm_page=search&amp;pfm_pos=grid&amp;pfm_type=search_page&amp;offerId=66de85f8f85575c569992010</t>
  </si>
  <si>
    <t>https://www.carrefour.com.br/ar-condicionado-split-hi-wall-inverter-lg-dual-compact-r-32-12000-btu-h-frio-s3nq12jaqal-eb2gam1-220-mp935276013/p</t>
  </si>
  <si>
    <t>NORTE</t>
  </si>
  <si>
    <t xml:space="preserve">https://www.americanas.com.br/produto/7499473169/ar-condicionado-lg-dual-inverter-voice-ai-12-000-btus-frio-s3-q12ja33k-220v?pfm_carac=split-inverter-12000&amp;pfm_index=6&amp;pfm_page=search&amp;pfm_pos=grid&amp;pfm_type=search_page&amp;offerId=66de85f8f85575c569992010		
</t>
  </si>
  <si>
    <t xml:space="preserve">https://www.americanas.com.br/produto/7499473169/ar-condicionado-lg-dual-inverter-voice-ai-12-000-btus-frio-s3-q12ja33k-220v?pfm_carac=split-inverter-12000&amp;pfm_index=6&amp;pfm_page=search&amp;pfm_pos=grid&amp;pfm_type=search_page&amp;offerId=66de85f8f85575c569992010		</t>
  </si>
  <si>
    <t>FRETE SPLIT 12000  BTU</t>
  </si>
  <si>
    <t>FRETE - NORTE</t>
  </si>
  <si>
    <t>PA</t>
  </si>
  <si>
    <t>AL</t>
  </si>
  <si>
    <t>PB</t>
  </si>
  <si>
    <t>BA</t>
  </si>
  <si>
    <t>GO</t>
  </si>
  <si>
    <t>ES</t>
  </si>
  <si>
    <t>Pato de Minas</t>
  </si>
  <si>
    <t>SP</t>
  </si>
  <si>
    <t>PESQUISA DE MERCADO SPLIT 18000 BTU</t>
  </si>
  <si>
    <t>https://site.fastshop.com.br/ar-condicionado-split-hi-wall-inverter-lg-dual-compact--ia-r-32-18000-btu-h-frio-s3nq18klqal-eb2gam1--220-volts-42767-44117/p</t>
  </si>
  <si>
    <t>https://www.americanas.com.br/produto/7494259966/ar-condicionado-split-hw-inverter-lg-dual-voice-ia-19000-btus-frio-220v-s3nq18kl31b-eb2gam1?offerId=662912e717c6b5c0e1a9d28f&amp;opn=YSMESP&amp;epar=bp_pl_px_go_pmax_clima_3p_split_pa_2&amp;gclsrc=aw.ds&amp;gad_source=1&amp;gclid=Cj0KCQjwt4a2BhD6ARIsALgH7DovNWnVUWp-NIFYW-82FRhepnbStlcKEAHKBB2FS185kWVPE7tZYMUaAn6xEALw_wcB&amp;cor=Branco%2Fbranco&amp;voltagem=220V%2F220V&amp;condition=NEW</t>
  </si>
  <si>
    <t>https://www.carrefour.com.br/ar-condicionado-split-hi-wall-inverter-lg-dual-compact-r-32-18000-btu-h-frio-s3nq18klqal-eb2gam1-220-mp935410129/p</t>
  </si>
  <si>
    <t>FRETE SPLIT 18000  BTU</t>
  </si>
  <si>
    <t>AM</t>
  </si>
  <si>
    <t>TO</t>
  </si>
  <si>
    <t>MA</t>
  </si>
  <si>
    <t xml:space="preserve">SP </t>
  </si>
  <si>
    <t>PESQUISA DE MERCADO SPLIT 24000 BTU</t>
  </si>
  <si>
    <t>https://site.fastshop.com.br/ar-condicionado-split-hi-wall-elgin-eco-inverter-24000-btu-h-frio-45hjfi24c2wc---220-volts-79991-83476/p</t>
  </si>
  <si>
    <t>https://www.americanas.com.br/produto/7514466852/ar-condicionado-split-hi-wall-elgin-r-32-eco-inverter-ii-wifi-24000-btus-frio-220v-monofasico?pfm_carac=split-inverter-24000&amp;pfm_index=1&amp;pfm_page=search&amp;pfm_pos=grid&amp;pfm_type=search_page&amp;offerId=6787a7cbf85575c569c5c570&amp;cor=Bege%2Fbranca&amp;voltagem=220V%2F220V&amp;condition=NEW</t>
  </si>
  <si>
    <t>https://www.carrefour.com.br/ar-condicionado-split-elgin-eco-inverter-ii-wi-fi-24000-btus-frio-220v-hjfe24c2cc-mp940300509/p</t>
  </si>
  <si>
    <t>FRETE SPLIT 24000  BTU</t>
  </si>
  <si>
    <t>PESQUISA DE MERCADO SPLIT 30000 BTU</t>
  </si>
  <si>
    <t>FRIGELAR</t>
  </si>
  <si>
    <t>MAGAZINE LUIZA</t>
  </si>
  <si>
    <t>PONTO FRIO</t>
  </si>
  <si>
    <t>https://www.frigelar.com.br/ar-condicionado-split-inverter-30000-btus-springer-midea-xtreme-save-connect-high-wall-frio-42agvcc30m5-38agvcc30m5-220v/p/kit10301?gad_source=1&amp;gclid=Cj0KCQjw2ou2BhCCARIsANAwM2GbgsfqmS3gDEmnXUUPuOR-KCWEF_Am0aT9BxQStM3Ao1CKUXINpZkaAvWvEALw_wcB</t>
  </si>
  <si>
    <t>https://www.magazineluiza.com.br/ar-condicionado-split-hi-wall-inverter-elgin-30000-btus-frio-eco-inverter-ii-wi-fi-220v/p/fb8fhej6d4/ar/arsp/</t>
  </si>
  <si>
    <t>https://www.pontofrio.com.br/ar-condicionado-split-inverter-30000-btus-springer-midea-xtreme-save-connect-high-wall-so-frio-42agvcc30m5-38agvcc30m5-220v-1568628135/p/1568628135?utm_medium=cpc&amp;utm_source=GP_PLA&amp;IdSku=1568628135&amp;idLojista=26460&amp;tipoLojista=3P&amp;gclsrc=aw.ds&amp;&amp;utm_campaign=3p_gg_pmax_arve&amp;gad_source=1&amp;gclid=Cj0KCQjw2ou2BhCCARIsANAwM2GC5xxUS4osAF9XfR6cKZskcay5uimxl6v76W1diSHdzs8-ABtpCfQaAiTrEALw_wcB</t>
  </si>
  <si>
    <t>FRETE SPLIT 30000  BTU</t>
  </si>
  <si>
    <t>PESQUISA DE MERCADO SPLIT 60000 BTU</t>
  </si>
  <si>
    <t>PESQUISA DE MERCADO - SUL</t>
  </si>
  <si>
    <t>MAGALU</t>
  </si>
  <si>
    <t>CENTRALAR</t>
  </si>
  <si>
    <t>https://www.carrefour.com.br/ar-condicionado-split-teto-carrier-xperience-60000-btu-h-frio-trifasico-42zqb60c5-220-volts-mp936647752/p?utm_medium=sem&amp;utm_source=google_pmax_3p&amp;utm_campaign=3p_performancemax_todos_os_produtos&amp;gad_source=1&amp;gclid=CjwKCAiA-ty8BhA_EiwAkyoa34M8-GUFNaVIVRTj6_D7nkGFlhpoKGHFsyd5leUv_yA3oxeJHJwEhxoC9d8QAvD_BwE</t>
  </si>
  <si>
    <t>https://www.magazineluiza.com.br/ar-condicionado-split-inverter-piso-teto-60000-btus-philco-so-frio-pac60000ipfm15-220v/p/fkg0ff68c0/ar/aciv/?seller_id=arprixdistribuidora&amp;region_id=123481&amp;utm_source=google&amp;utm_medium=cpc&amp;utm_term=76911&amp;utm_campaign=google_eco_per_ven_pla_arp_sor_3p_ar-b&amp;utm_content=&amp;partner_id=76911&amp;gclsrc=aw.ds&amp;gad_source=1&amp;gclid=CjwKCAiA-ty8BhA_EiwAkyoa36XwiJoSPpNJDwETqHpw-ljPYSNOXuegPY66KrO7pHJ065bBc2bIDxoCsOEQAvD_BwE</t>
  </si>
  <si>
    <t>https://www.americanas.com.br/produto/7504190682/ar-condicionado-split-piso-teto-inverter-gree-60000-btus-frio-g-prime-plus-220v-monofasico?pfm_carac=ar-condicionado-60000-btus&amp;pfm_index=19&amp;pfm_page=search&amp;pfm_pos=grid&amp;pfm_type=search_page&amp;offerId=66c33d92f85575c5699c8175&amp;cor=Branco&amp;voltagem=220V&amp;condition=NEW</t>
  </si>
  <si>
    <t>SUL</t>
  </si>
  <si>
    <t>FRETE SPLIT 60000  BTU</t>
  </si>
  <si>
    <t>FRETE - SUL</t>
  </si>
  <si>
    <t>carrefour</t>
  </si>
  <si>
    <t>LEVEROS</t>
  </si>
  <si>
    <t>americanas</t>
  </si>
  <si>
    <t>SC</t>
  </si>
  <si>
    <t>MÉDIA MERCADO</t>
  </si>
  <si>
    <t xml:space="preserve">INSTALAÇÃO </t>
  </si>
  <si>
    <t>VALOR (R$</t>
  </si>
  <si>
    <t xml:space="preserve">      RESUMO DO CUSTO DE INSTALAÇÃO DE EQUIPAMENTOS - PREÇOS SINAPI - ANEXO II</t>
  </si>
  <si>
    <t>BTU</t>
  </si>
  <si>
    <t>CASAS BAHIA</t>
  </si>
  <si>
    <t>MÉDIA</t>
  </si>
  <si>
    <t>9000 BTU</t>
  </si>
  <si>
    <t>12000 A 18000 BTUS2</t>
  </si>
  <si>
    <t>24000 a 60000 BTUS2</t>
  </si>
  <si>
    <t>CENTRO-OESTE</t>
  </si>
  <si>
    <t>Observação:</t>
  </si>
  <si>
    <t>Fonte de preços: SINAPI JUNHO 2025</t>
  </si>
  <si>
    <t>Distância de instalação: 7,20 metros.</t>
  </si>
  <si>
    <t>INFERÊNCIA SINAPI</t>
  </si>
  <si>
    <t>INFERÊNCIA MERCADO</t>
  </si>
  <si>
    <t>9000</t>
  </si>
  <si>
    <t>12000</t>
  </si>
  <si>
    <t>18000</t>
  </si>
  <si>
    <t>24000</t>
  </si>
  <si>
    <t>30000</t>
  </si>
  <si>
    <t>60000</t>
  </si>
  <si>
    <t>-</t>
  </si>
  <si>
    <t>MÉDIA REGIONALIZADA</t>
  </si>
  <si>
    <t>MÉDIA FINAL REGIÃO NORTE</t>
  </si>
  <si>
    <t>ITEM</t>
  </si>
  <si>
    <t>MODELO</t>
  </si>
  <si>
    <t>PREÇOS -ESFERA 
 FEDERAL</t>
  </si>
  <si>
    <t>PREÇOS - ESFERA
 ESTADUAL</t>
  </si>
  <si>
    <t>PREÇOS -  MERCADO</t>
  </si>
  <si>
    <t>MÉDIA FINAL</t>
  </si>
  <si>
    <t>MÉDIA FINAL 
COM
 INSTALAÇÃO</t>
  </si>
  <si>
    <t>SPLIT 12.000 BTUS; INVERTER;
 SELO PROCEL A; GÁS R 410-A</t>
  </si>
  <si>
    <t>NÃO</t>
  </si>
  <si>
    <t>SPLIT 18.000 BTUS; INVERTER;
 SELO PROCEL A; GÁS R 410-A</t>
  </si>
  <si>
    <t>SPLIT 24.000 BTUS; INVERTER;
 SELO PROCEL A; GÁS R 410-A</t>
  </si>
  <si>
    <t>SPLIT  30.000 BTUS; INVERTER;
 SELO PROCEL A; GÁS R 410-A</t>
  </si>
  <si>
    <t>não</t>
  </si>
  <si>
    <t>MÉDIA FINAL REGIÃO NORDESTE</t>
  </si>
  <si>
    <t>PREÇOS -ESFERA  
FEDERAL</t>
  </si>
  <si>
    <t>MÉDIA FINAL
 COM INSTALAÇÃO</t>
  </si>
  <si>
    <t>SPLIT 9.000 BTUS; INVERTER; SELO PROCEL A; GÁS R 410-A</t>
  </si>
  <si>
    <t>SPLIT 12.000 BTUS; INVERTER; SELO PROCEL A; GÁS R 410-A</t>
  </si>
  <si>
    <t>SPLIT 18.000 BTUS; INVERTER; SELO PROCEL A; GÁS R 410-A</t>
  </si>
  <si>
    <t>SPLIT 24.000 BTUS; INVERTER; SELO PROCEL A; GÁS R 410-A</t>
  </si>
  <si>
    <t>MÉDIA FINAL REGIÃO CENTRO OESTE</t>
  </si>
  <si>
    <t>PREÇOS - ESFERA 
ESTADUAL</t>
  </si>
  <si>
    <t>MÉDIA FINAL 
COM INSTALAÇÃO</t>
  </si>
  <si>
    <t>SPLIT  9.000 BTUS; INVERTER; SELO PROCEL A; GÁS R 410-A</t>
  </si>
  <si>
    <t>SPLIT 60.000 BTUS; INVERTER; SELO PROCEL A; GÁS R 410-A</t>
  </si>
  <si>
    <t>NAO</t>
  </si>
  <si>
    <t>MÉDIA FINAL REGIÃO SUDESTE</t>
  </si>
  <si>
    <t>PREÇOS -ESFERA
  FEDERAL</t>
  </si>
  <si>
    <t>SPLIT 30.000 BTUS; INVERTER; SELO PROCEL A; GÁS R 410-A</t>
  </si>
  <si>
    <t>MÉDIA FINAL REGIÃO SUL</t>
  </si>
  <si>
    <t>PREÇOS - ESFERA ESTADUAL</t>
  </si>
  <si>
    <t>RESUMO DOS ITENS DA LICITAÇÃO</t>
  </si>
  <si>
    <t>DESCRIÇÃO/DESCRIÇÃO (REGIÃO NORTE)</t>
  </si>
  <si>
    <t>IDENTIFICAÇÃO 
CATMAT</t>
  </si>
  <si>
    <t>Unidade de Medida</t>
  </si>
  <si>
    <t>Requisição Mínima</t>
  </si>
  <si>
    <t>QUANTIDADE</t>
  </si>
  <si>
    <r>
      <t>AR CONDICIONADO TIPO SPLIT 12.000 BTUS:</t>
    </r>
    <r>
      <rPr>
        <sz val="11"/>
        <color rgb="FF000000"/>
        <rFont val="Calibri"/>
        <family val="2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EQUIPAMENTO.</t>
    </r>
    <r>
      <rPr>
        <b/>
        <sz val="11"/>
        <color theme="1"/>
        <rFont val="Calibri"/>
        <family val="2"/>
        <scheme val="minor"/>
      </rPr>
      <t xml:space="preserve"> - FORNECIMENTO E INSTALAÇÃO NA CIDADE DE BELÉM/PA </t>
    </r>
  </si>
  <si>
    <t>UNID.</t>
  </si>
  <si>
    <r>
      <t>AR CONDICIONADO TIPO SPLIT 18.000 BTUS:</t>
    </r>
    <r>
      <rPr>
        <sz val="11"/>
        <color rgb="FF000000"/>
        <rFont val="Calibri"/>
        <family val="2"/>
      </rPr>
      <t xml:space="preserve"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DO EQUIPAMENTO; </t>
    </r>
    <r>
      <rPr>
        <b/>
        <sz val="11"/>
        <color rgb="FF000000"/>
        <rFont val="Calibri"/>
        <family val="2"/>
      </rPr>
      <t xml:space="preserve">  - FORNECIMENTO E INSTALAÇÃO NAS CIDADES D MANAUS/AM, , BELÉM/PA E PALMAS/TO </t>
    </r>
  </si>
  <si>
    <r>
      <t>AR CONDICIONADO TIPO SPLIT 24.000 BTUS</t>
    </r>
    <r>
      <rPr>
        <sz val="11"/>
        <color rgb="FF000000"/>
        <rFont val="Calibri"/>
        <family val="2"/>
      </rPr>
      <t>: 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EQUIPAMENTO;</t>
    </r>
    <r>
      <rPr>
        <b/>
        <sz val="11"/>
        <color rgb="FF000000"/>
        <rFont val="Calibri"/>
        <family val="2"/>
      </rPr>
      <t xml:space="preserve">  -FORNECIMENTO E  INSTALAÇÃO NAS CIDADES DE  MANAUS/AM E BELÉM/PA </t>
    </r>
  </si>
  <si>
    <r>
      <t>AR CONDICIONADO TIPO SPLIT 30.000 BTUS</t>
    </r>
    <r>
      <rPr>
        <sz val="11"/>
        <color rgb="FF000000"/>
        <rFont val="Calibri"/>
        <family val="2"/>
      </rPr>
      <t>: 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EQUIPAMENTO;</t>
    </r>
    <r>
      <rPr>
        <b/>
        <sz val="11"/>
        <color rgb="FF000000"/>
        <rFont val="Calibri"/>
        <family val="2"/>
      </rPr>
      <t xml:space="preserve">  -FORNECIMENTO E  INSTALAÇÃO NAS CIDADE DE BELÉM/PA </t>
    </r>
  </si>
  <si>
    <t>DESCRIÇÃO/DESCRIÇÃO (REGIÃO NORDESTE)</t>
  </si>
  <si>
    <r>
      <t>AR CONDICIONADO TIPO SPLIT 9.000 BTUS:</t>
    </r>
    <r>
      <rPr>
        <sz val="11"/>
        <color rgb="FF000000"/>
        <rFont val="Calibri"/>
        <family val="2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EQUIPAMENTO. -</t>
    </r>
    <r>
      <rPr>
        <b/>
        <sz val="11"/>
        <color rgb="FF000000"/>
        <rFont val="Calibri"/>
        <family val="2"/>
      </rPr>
      <t xml:space="preserve"> FORNECIMENTO E INSTALAÇÃO NAS CIDADE DE FORTALEZA/CE</t>
    </r>
  </si>
  <si>
    <r>
      <rPr>
        <b/>
        <sz val="11"/>
        <color rgb="FF000000"/>
        <rFont val="Calibri"/>
        <scheme val="minor"/>
      </rPr>
      <t>AR CONDICIONADO TIPO SPLIT 12.000 BTUS:</t>
    </r>
    <r>
      <rPr>
        <sz val="11"/>
        <color rgb="FF000000"/>
        <rFont val="Calibri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EQUIPAMENTO. -</t>
    </r>
    <r>
      <rPr>
        <b/>
        <sz val="11"/>
        <color rgb="FF000000"/>
        <rFont val="Calibri"/>
      </rPr>
      <t xml:space="preserve"> FORNECIMENTO E INSTALAÇÃO NAS CIDADES DE , FORTALEZA/CE, CAMPINA GRANDE/PB,SALVADOR E MACEIO/AL</t>
    </r>
  </si>
  <si>
    <r>
      <rPr>
        <b/>
        <sz val="11"/>
        <color rgb="FF000000"/>
        <rFont val="Calibri"/>
        <scheme val="minor"/>
      </rPr>
      <t>AR CONDICIONADO TIPO SPLIT 18.000 BTUS:</t>
    </r>
    <r>
      <rPr>
        <sz val="11"/>
        <color rgb="FF000000"/>
        <rFont val="Calibri"/>
      </rPr>
      <t xml:space="preserve"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DO EQUIPAMENTO; </t>
    </r>
    <r>
      <rPr>
        <b/>
        <sz val="11"/>
        <color rgb="FF000000"/>
        <rFont val="Calibri"/>
      </rPr>
      <t>- FORNECIMENTO E INSTALAÇÃO NAS CIDADES DE  FORTALEZA/CE, CAMPINA GRANDE/PB E SÃO LUIS/MA</t>
    </r>
  </si>
  <si>
    <r>
      <t>AR CONDICIONADO TIPO SPLIT 24.000 BTUS</t>
    </r>
    <r>
      <rPr>
        <sz val="11"/>
        <color rgb="FF000000"/>
        <rFont val="Calibri"/>
        <family val="2"/>
      </rPr>
      <t>: 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EQUIPAMENTO;</t>
    </r>
    <r>
      <rPr>
        <b/>
        <sz val="11"/>
        <color rgb="FF000000"/>
        <rFont val="Calibri"/>
        <family val="2"/>
      </rPr>
      <t xml:space="preserve"> - FORNECIMENTO E INSTALAÇÃO NAS CIDADE DE SAO LUIS/MA</t>
    </r>
  </si>
  <si>
    <t>DESCRIÇÃO/DESCRIÇÃO (REGIÃO CENTRO-OESTE)</t>
  </si>
  <si>
    <t>IDENTIFICAÇÃO CATMAT</t>
  </si>
  <si>
    <r>
      <t>AR CONDICIONADO TIPO SPLIT 9.000 BTUS:</t>
    </r>
    <r>
      <rPr>
        <sz val="11"/>
        <color rgb="FF000000"/>
        <rFont val="Calibri"/>
        <family val="2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EQUIPAMENTO. -</t>
    </r>
    <r>
      <rPr>
        <b/>
        <sz val="11"/>
        <color rgb="FF000000"/>
        <rFont val="Calibri"/>
        <family val="2"/>
      </rPr>
      <t xml:space="preserve"> FORNECIMENTO E</t>
    </r>
    <r>
      <rPr>
        <sz val="11"/>
        <color rgb="FF000000"/>
        <rFont val="Calibri"/>
        <family val="2"/>
      </rPr>
      <t xml:space="preserve"> </t>
    </r>
    <r>
      <rPr>
        <b/>
        <sz val="11"/>
        <color rgb="FF000000"/>
        <rFont val="Calibri"/>
        <family val="2"/>
      </rPr>
      <t xml:space="preserve">INSTALAÇÃO NA CIDADE DE CAMPO GRANDE/MS </t>
    </r>
  </si>
  <si>
    <r>
      <t>AR CONDICIONADO TIPO SPLIT 12.000 BTUS:</t>
    </r>
    <r>
      <rPr>
        <sz val="11"/>
        <color rgb="FF000000"/>
        <rFont val="Calibri"/>
        <family val="2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EQUIPAMENTO. -</t>
    </r>
    <r>
      <rPr>
        <b/>
        <sz val="11"/>
        <color rgb="FF000000"/>
        <rFont val="Calibri"/>
        <family val="2"/>
      </rPr>
      <t xml:space="preserve"> FORNECIMENTO E</t>
    </r>
    <r>
      <rPr>
        <sz val="11"/>
        <color rgb="FF000000"/>
        <rFont val="Calibri"/>
        <family val="2"/>
      </rPr>
      <t xml:space="preserve"> </t>
    </r>
    <r>
      <rPr>
        <b/>
        <sz val="11"/>
        <color rgb="FF000000"/>
        <rFont val="Calibri"/>
        <family val="2"/>
      </rPr>
      <t>INSTALAÇÃO NAS CIDADES DE CAMPO GRANDE/MS E GOIÂNIA/GO.</t>
    </r>
  </si>
  <si>
    <r>
      <t>AR CONDICIONADO TIPO SPLIT 18.000 BTUS:</t>
    </r>
    <r>
      <rPr>
        <sz val="11"/>
        <color rgb="FF000000"/>
        <rFont val="Calibri"/>
        <family val="2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DO EQUIPAMENTO;</t>
    </r>
    <r>
      <rPr>
        <b/>
        <sz val="11"/>
        <color theme="1"/>
        <rFont val="Calibri"/>
        <family val="2"/>
        <scheme val="minor"/>
      </rPr>
      <t xml:space="preserve"> FORNECIMENTO E INSTALAÇÃO NAS CIDADES DE CAMPO GRANDE/MS E GOIÂNIA/GO.</t>
    </r>
  </si>
  <si>
    <r>
      <t>AR CONDICIONADO TIPO SPLIT 60.000 BTUS</t>
    </r>
    <r>
      <rPr>
        <sz val="11"/>
        <color rgb="FF000000"/>
        <rFont val="Calibri"/>
        <family val="2"/>
      </rPr>
      <t>: 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EQUIPAMENTO;</t>
    </r>
    <r>
      <rPr>
        <b/>
        <sz val="11"/>
        <color theme="1"/>
        <rFont val="Calibri"/>
        <family val="2"/>
        <scheme val="minor"/>
      </rPr>
      <t xml:space="preserve"> INSTALAÇÃO NAS CIDADE</t>
    </r>
    <r>
      <rPr>
        <sz val="11"/>
        <color theme="1"/>
        <rFont val="Calibri"/>
        <family val="2"/>
        <scheme val="minor"/>
      </rPr>
      <t xml:space="preserve"> DE</t>
    </r>
    <r>
      <rPr>
        <b/>
        <sz val="11"/>
        <color theme="1"/>
        <rFont val="Calibri"/>
        <family val="2"/>
        <scheme val="minor"/>
      </rPr>
      <t xml:space="preserve"> GOIÂNIA/GO.</t>
    </r>
  </si>
  <si>
    <t>DESCRIÇÃO/DESCRIÇÃO (REGIÃO SUDESTE)</t>
  </si>
  <si>
    <r>
      <t>AR CONDICIONADO TIPO SPLIT 9.000 BTUS:</t>
    </r>
    <r>
      <rPr>
        <sz val="11"/>
        <color rgb="FF000000"/>
        <rFont val="Calibri"/>
        <family val="2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EQUIPAMENTO.</t>
    </r>
    <r>
      <rPr>
        <b/>
        <sz val="11"/>
        <color theme="1"/>
        <rFont val="Calibri"/>
        <family val="2"/>
        <scheme val="minor"/>
      </rPr>
      <t xml:space="preserve"> - FORNECIMENTO E INSTALAÇÃO DOS EQUIPAMENTOS  CIDADE DE BELO HORIZONTE/MG</t>
    </r>
  </si>
  <si>
    <r>
      <rPr>
        <b/>
        <sz val="11"/>
        <color rgb="FF000000"/>
        <rFont val="Calibri"/>
        <scheme val="minor"/>
      </rPr>
      <t>AR CONDICIONADO TIPO SPLIT 12.000 BTUS:</t>
    </r>
    <r>
      <rPr>
        <sz val="11"/>
        <color rgb="FF000000"/>
        <rFont val="Calibri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EQUIPAMENTO.</t>
    </r>
    <r>
      <rPr>
        <b/>
        <sz val="11"/>
        <color rgb="FF000000"/>
        <rFont val="Calibri"/>
        <scheme val="minor"/>
      </rPr>
      <t xml:space="preserve"> - FORNECIMENTO E INSTALAÇÃO DOS EQUIPAMENTOS NAS CIDADES DE BELO HORIZONTE/MG, PATO DE MINAS/MG E SÃO PAULO/SP</t>
    </r>
  </si>
  <si>
    <r>
      <rPr>
        <b/>
        <sz val="11"/>
        <color rgb="FF000000"/>
        <rFont val="Calibri"/>
        <scheme val="minor"/>
      </rPr>
      <t>AR CONDICIONADO TIPO SPLIT 18.000 BTUS:</t>
    </r>
    <r>
      <rPr>
        <sz val="11"/>
        <color rgb="FF000000"/>
        <rFont val="Calibri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DO EQUIPAMENTO;</t>
    </r>
    <r>
      <rPr>
        <b/>
        <sz val="11"/>
        <color rgb="FF000000"/>
        <rFont val="Calibri"/>
        <scheme val="minor"/>
      </rPr>
      <t xml:space="preserve"> - FORNECIMENTO E INSTALAÇÃO DOS EQUIPAMENTOS NAS CIDADES DE BELO HORIZONTE/MG E SÃO PAULO/SP</t>
    </r>
  </si>
  <si>
    <r>
      <rPr>
        <b/>
        <sz val="11"/>
        <color rgb="FF000000"/>
        <rFont val="Calibri"/>
        <scheme val="minor"/>
      </rPr>
      <t>AR CONDICIONADO TIPO SPLIT 24.000 BTUS</t>
    </r>
    <r>
      <rPr>
        <sz val="11"/>
        <color rgb="FF000000"/>
        <rFont val="Calibri"/>
      </rPr>
      <t>: 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EQUIPAMENTO;</t>
    </r>
    <r>
      <rPr>
        <b/>
        <sz val="11"/>
        <color rgb="FF000000"/>
        <rFont val="Calibri"/>
        <scheme val="minor"/>
      </rPr>
      <t xml:space="preserve"> - FORNECIMENTO E INSTALAÇÃO DOS EQUIPAMENTOS NAS CIDADES DE BELO HORIZONTE/MG, E SÃO PAULO/SP</t>
    </r>
  </si>
  <si>
    <r>
      <rPr>
        <b/>
        <sz val="11"/>
        <color rgb="FF000000"/>
        <rFont val="Calibri"/>
        <scheme val="minor"/>
      </rPr>
      <t>AR CONDICIONADO TIPO SPLIT 30.000 BTUS</t>
    </r>
    <r>
      <rPr>
        <sz val="11"/>
        <color rgb="FF000000"/>
        <rFont val="Calibri"/>
      </rPr>
      <t>: 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EQUIPAMENTO;</t>
    </r>
    <r>
      <rPr>
        <b/>
        <sz val="11"/>
        <color rgb="FF000000"/>
        <rFont val="Calibri"/>
        <scheme val="minor"/>
      </rPr>
      <t xml:space="preserve"> - FORNECIMENTO E INSTALAÇÃO DOS EQUIPAMENTOS NAS CIDADES DE BELO HORIZONTE/MG,  E SÃO PAULO/SP</t>
    </r>
  </si>
  <si>
    <r>
      <rPr>
        <b/>
        <sz val="11"/>
        <color rgb="FF000000"/>
        <rFont val="Calibri"/>
        <scheme val="minor"/>
      </rPr>
      <t>AR CONDICIONADO TIPO SPLIT 60.000 BTUS</t>
    </r>
    <r>
      <rPr>
        <sz val="11"/>
        <color rgb="FF000000"/>
        <rFont val="Calibri"/>
      </rPr>
      <t>: 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EQUIPAMENTO;</t>
    </r>
    <r>
      <rPr>
        <b/>
        <sz val="11"/>
        <color rgb="FF000000"/>
        <rFont val="Calibri"/>
        <scheme val="minor"/>
      </rPr>
      <t xml:space="preserve"> - FORNECIMENTO E INSTALAÇÃO DOS EQUIPAMENTOS NAS CIDADES DE BELO HORIZONTE/MG,  E SÃO PAULO/SP</t>
    </r>
  </si>
  <si>
    <t>DESCRIÇÃO/DESCRIÇÃO (REGIÃO SUL)</t>
  </si>
  <si>
    <r>
      <t>AR CONDICIONADO TIPO SPLIT 60.000 BTUS:</t>
    </r>
    <r>
      <rPr>
        <sz val="11"/>
        <color rgb="FF000000"/>
        <rFont val="Calibri"/>
        <family val="2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EQUIPAMENTO.</t>
    </r>
    <r>
      <rPr>
        <b/>
        <sz val="11"/>
        <color theme="1"/>
        <rFont val="Calibri"/>
        <family val="2"/>
        <scheme val="minor"/>
      </rPr>
      <t xml:space="preserve"> - FORNECIMENTO E INSTALAÇÃO DE EQUIPAMENTOS NA CIDADE DE FLORIANÓPOLIS/SC</t>
    </r>
  </si>
  <si>
    <t>VALOR UNITÁRIO MÁXIMO ACEITÁVEL (R$)</t>
  </si>
  <si>
    <t>VALOR MÁXIMO ACEITÁVEL (R$)</t>
  </si>
  <si>
    <r>
      <rPr>
        <b/>
        <sz val="11"/>
        <color rgb="FF000000"/>
        <rFont val="Calibri"/>
        <scheme val="minor"/>
      </rPr>
      <t>AR CONDICIONADO TIPO SPLIT 12.000 BTUS:</t>
    </r>
    <r>
      <rPr>
        <sz val="11"/>
        <color rgb="FF000000"/>
        <rFont val="Calibri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EQUIPAMENTO. -</t>
    </r>
    <r>
      <rPr>
        <b/>
        <sz val="11"/>
        <color rgb="FF000000"/>
        <rFont val="Calibri"/>
      </rPr>
      <t xml:space="preserve"> FORNECIMENTO E INSTALAÇÃO NAS CIDADES DE , FORTALEZA/CE, CAMPINA GRANDE/PB ,SALVADOR/BA E MACEIO/AL</t>
    </r>
  </si>
  <si>
    <r>
      <rPr>
        <b/>
        <sz val="11"/>
        <color rgb="FF000000"/>
        <rFont val="Calibri"/>
        <scheme val="minor"/>
      </rPr>
      <t>AR CONDICIONADO TIPO SPLIT 12.000 BTUS:</t>
    </r>
    <r>
      <rPr>
        <sz val="11"/>
        <color rgb="FF000000"/>
        <rFont val="Calibri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EQUIPAMENTO.</t>
    </r>
    <r>
      <rPr>
        <b/>
        <sz val="11"/>
        <color rgb="FF000000"/>
        <rFont val="Calibri"/>
        <scheme val="minor"/>
      </rPr>
      <t xml:space="preserve"> - FORNECIMENTO E INSTALAÇÃO DOS EQUIPAMENTOS NAS CIDADES DE BELO HORIZONTE/MG E PATO DE MINAS/MG</t>
    </r>
  </si>
  <si>
    <r>
      <rPr>
        <b/>
        <sz val="11"/>
        <color rgb="FF000000"/>
        <rFont val="Calibri"/>
        <scheme val="minor"/>
      </rPr>
      <t>AR CONDICIONADO TIPO SPLIT 18.000 BTUS:</t>
    </r>
    <r>
      <rPr>
        <sz val="11"/>
        <color rgb="FF000000"/>
        <rFont val="Calibri"/>
      </rPr>
      <t> 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DO EQUIPAMENTO;</t>
    </r>
    <r>
      <rPr>
        <b/>
        <sz val="11"/>
        <color rgb="FF000000"/>
        <rFont val="Calibri"/>
        <scheme val="minor"/>
      </rPr>
      <t xml:space="preserve"> - FORNECIMENTO E INSTALAÇÃO DOS EQUIPAMENTOS NAS CIDADES DE BELO HORIZONTE/MG  E SÃO PAULO/SP</t>
    </r>
  </si>
  <si>
    <r>
      <t>AR CONDICIONADO TIPO SPLIT 24.000 BTUS</t>
    </r>
    <r>
      <rPr>
        <sz val="11"/>
        <color rgb="FF000000"/>
        <rFont val="Calibri"/>
        <family val="2"/>
      </rPr>
      <t>: 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EQUIPAMENTO;</t>
    </r>
    <r>
      <rPr>
        <b/>
        <sz val="11"/>
        <color theme="1"/>
        <rFont val="Calibri"/>
        <family val="2"/>
        <scheme val="minor"/>
      </rPr>
      <t xml:space="preserve"> - FORNECIMENTO E INSTALAÇÃO DOS EQUIPAMENTOS NAS CIDADES DE BELO HORIZONTE/MG</t>
    </r>
  </si>
  <si>
    <r>
      <t>AR CONDICIONADO TIPO SPLIT 30.000 BTUS</t>
    </r>
    <r>
      <rPr>
        <sz val="11"/>
        <color rgb="FF000000"/>
        <rFont val="Calibri"/>
        <family val="2"/>
      </rPr>
      <t>: 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EQUIPAMENTO;</t>
    </r>
    <r>
      <rPr>
        <b/>
        <sz val="11"/>
        <color theme="1"/>
        <rFont val="Calibri"/>
        <family val="2"/>
        <scheme val="minor"/>
      </rPr>
      <t xml:space="preserve"> - FORNECIMENTO E INSTALAÇÃO DOS EQUIPAMENTOS NAS CIDADES DE BELO HORIZONTE/MG</t>
    </r>
  </si>
  <si>
    <r>
      <t>AR CONDICIONADO TIPO SPLIT 60.000 BTUS</t>
    </r>
    <r>
      <rPr>
        <sz val="11"/>
        <color rgb="FF000000"/>
        <rFont val="Calibri"/>
        <family val="2"/>
      </rPr>
      <t>: INVERTER; SELO PROCEL CATEGORIA A; MODELO HI-WALL; FRIO; COM CONTROLE REMOTO SEM FIO; 220 VOLTS; REGULAGEM DAS  ALETAS POR CONTROLE: VERTICAL  - MÓVEIS;SISTEMA DE FILTRAGEM E TRATAMENTO DE AR COM ELIMINAÇÃO DE ATÉ 90% DAS BACTÉRIAS; FLUÍDO R410-A NÃO INFLAMÁVEL, ATÓXICO; SERPENTINA DE COBRE; INCLUSO INSTALAÇÃO COMPLETA DO EQUIPAMENTO;</t>
    </r>
    <r>
      <rPr>
        <b/>
        <sz val="11"/>
        <color theme="1"/>
        <rFont val="Calibri"/>
        <family val="2"/>
        <scheme val="minor"/>
      </rPr>
      <t xml:space="preserve"> - FORNECIMENTO E INSTALAÇÃO DOS EQUIPAMENTOS NAS CIDADES DE BELO HORIZONTE/MG</t>
    </r>
  </si>
  <si>
    <t xml:space="preserve">                                                                                                                                                          VALOR TOTAL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</si>
</sst>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23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color rgb="FF000000"/>
      <name val="Calibri"/>
    </font>
    <font>
      <u/>
      <sz val="11"/>
      <color theme="10"/>
      <name val="Calibri"/>
    </font>
    <font>
      <sz val="11"/>
      <color rgb="FF000000"/>
      <name val="Calibri"/>
      <family val="2"/>
      <scheme val="minor"/>
    </font>
    <font>
      <b/>
      <sz val="11"/>
      <color rgb="FF000000"/>
      <name val="Calibri"/>
      <scheme val="minor"/>
    </font>
    <font>
      <b/>
      <sz val="11"/>
      <color rgb="FF242424"/>
      <name val="Aptos Narrow"/>
      <charset val="1"/>
    </font>
  </fonts>
  <fills count="12">
    <fill>
      <patternFill patternType="none"/>
    </fill>
    <fill>
      <patternFill patternType="gray125"/>
    </fill>
    <fill>
      <patternFill patternType="solid">
        <fgColor rgb="FFCCCCC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340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0" fillId="0" borderId="0" xfId="0" applyNumberFormat="1"/>
    <xf numFmtId="0" fontId="8" fillId="0" borderId="0" xfId="0" applyFont="1"/>
    <xf numFmtId="0" fontId="6" fillId="0" borderId="0" xfId="0" applyFont="1"/>
    <xf numFmtId="0" fontId="5" fillId="4" borderId="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164" fontId="0" fillId="0" borderId="12" xfId="0" applyNumberFormat="1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8" fillId="7" borderId="1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vertical="center"/>
    </xf>
    <xf numFmtId="0" fontId="7" fillId="0" borderId="26" xfId="8" applyFont="1" applyBorder="1" applyAlignment="1">
      <alignment vertical="center" wrapText="1"/>
    </xf>
    <xf numFmtId="0" fontId="2" fillId="0" borderId="0" xfId="8"/>
    <xf numFmtId="0" fontId="2" fillId="0" borderId="27" xfId="8" applyBorder="1" applyAlignment="1">
      <alignment vertical="center" wrapText="1"/>
    </xf>
    <xf numFmtId="0" fontId="7" fillId="0" borderId="0" xfId="8" applyFont="1" applyAlignment="1">
      <alignment horizontal="right"/>
    </xf>
    <xf numFmtId="43" fontId="7" fillId="0" borderId="0" xfId="8" applyNumberFormat="1" applyFont="1"/>
    <xf numFmtId="164" fontId="0" fillId="8" borderId="1" xfId="0" applyNumberFormat="1" applyFill="1" applyBorder="1" applyAlignment="1">
      <alignment horizontal="center" vertical="center"/>
    </xf>
    <xf numFmtId="164" fontId="0" fillId="8" borderId="1" xfId="0" applyNumberFormat="1" applyFill="1" applyBorder="1" applyAlignment="1">
      <alignment horizontal="center"/>
    </xf>
    <xf numFmtId="164" fontId="8" fillId="8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0" fillId="0" borderId="1" xfId="0" applyBorder="1"/>
    <xf numFmtId="164" fontId="0" fillId="0" borderId="1" xfId="0" applyNumberFormat="1" applyBorder="1"/>
    <xf numFmtId="14" fontId="0" fillId="0" borderId="0" xfId="0" applyNumberFormat="1"/>
    <xf numFmtId="0" fontId="2" fillId="0" borderId="0" xfId="8" applyAlignment="1">
      <alignment vertical="center" wrapText="1"/>
    </xf>
    <xf numFmtId="0" fontId="7" fillId="0" borderId="0" xfId="8" applyFont="1" applyAlignment="1">
      <alignment vertical="center" wrapText="1"/>
    </xf>
    <xf numFmtId="43" fontId="7" fillId="0" borderId="0" xfId="8" applyNumberFormat="1" applyFont="1" applyAlignment="1">
      <alignment vertical="center" wrapText="1"/>
    </xf>
    <xf numFmtId="0" fontId="0" fillId="6" borderId="0" xfId="0" applyFill="1"/>
    <xf numFmtId="0" fontId="7" fillId="0" borderId="28" xfId="8" applyFont="1" applyBorder="1" applyAlignment="1">
      <alignment vertical="center" wrapText="1"/>
    </xf>
    <xf numFmtId="0" fontId="0" fillId="0" borderId="32" xfId="0" applyBorder="1"/>
    <xf numFmtId="0" fontId="0" fillId="0" borderId="5" xfId="0" applyBorder="1"/>
    <xf numFmtId="0" fontId="0" fillId="0" borderId="33" xfId="0" applyBorder="1"/>
    <xf numFmtId="44" fontId="0" fillId="0" borderId="1" xfId="7" applyFont="1" applyBorder="1"/>
    <xf numFmtId="0" fontId="0" fillId="0" borderId="35" xfId="0" applyBorder="1"/>
    <xf numFmtId="44" fontId="0" fillId="0" borderId="6" xfId="7" applyFont="1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6" borderId="24" xfId="0" applyFill="1" applyBorder="1"/>
    <xf numFmtId="0" fontId="0" fillId="6" borderId="25" xfId="0" applyFill="1" applyBorder="1"/>
    <xf numFmtId="0" fontId="10" fillId="3" borderId="4" xfId="0" applyFont="1" applyFill="1" applyBorder="1"/>
    <xf numFmtId="0" fontId="5" fillId="0" borderId="17" xfId="0" applyFont="1" applyBorder="1"/>
    <xf numFmtId="44" fontId="5" fillId="0" borderId="15" xfId="7" applyFont="1" applyFill="1" applyBorder="1"/>
    <xf numFmtId="44" fontId="8" fillId="0" borderId="4" xfId="7" applyFont="1" applyFill="1" applyBorder="1"/>
    <xf numFmtId="0" fontId="0" fillId="0" borderId="15" xfId="0" applyBorder="1"/>
    <xf numFmtId="0" fontId="0" fillId="0" borderId="4" xfId="0" applyBorder="1"/>
    <xf numFmtId="0" fontId="0" fillId="0" borderId="37" xfId="0" applyBorder="1"/>
    <xf numFmtId="164" fontId="0" fillId="0" borderId="3" xfId="0" applyNumberForma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14" fillId="8" borderId="1" xfId="0" applyNumberFormat="1" applyFont="1" applyFill="1" applyBorder="1" applyAlignment="1">
      <alignment horizontal="center" vertical="center"/>
    </xf>
    <xf numFmtId="164" fontId="8" fillId="0" borderId="1" xfId="0" quotePrefix="1" applyNumberFormat="1" applyFon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164" fontId="0" fillId="9" borderId="1" xfId="0" applyNumberForma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4" fontId="0" fillId="9" borderId="1" xfId="0" applyNumberForma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14" fillId="9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1" xfId="0" applyFont="1" applyBorder="1"/>
    <xf numFmtId="44" fontId="5" fillId="0" borderId="1" xfId="7" applyFont="1" applyFill="1" applyBorder="1"/>
    <xf numFmtId="0" fontId="0" fillId="0" borderId="3" xfId="0" applyBorder="1"/>
    <xf numFmtId="44" fontId="16" fillId="10" borderId="3" xfId="7" applyFont="1" applyFill="1" applyBorder="1"/>
    <xf numFmtId="44" fontId="0" fillId="0" borderId="0" xfId="0" applyNumberFormat="1"/>
    <xf numFmtId="44" fontId="16" fillId="10" borderId="0" xfId="7" applyFont="1" applyFill="1" applyBorder="1"/>
    <xf numFmtId="0" fontId="5" fillId="0" borderId="0" xfId="0" applyFont="1" applyAlignment="1">
      <alignment horizontal="center"/>
    </xf>
    <xf numFmtId="0" fontId="10" fillId="3" borderId="0" xfId="0" applyFont="1" applyFill="1" applyAlignment="1">
      <alignment horizontal="center"/>
    </xf>
    <xf numFmtId="44" fontId="5" fillId="0" borderId="0" xfId="7" applyFont="1" applyFill="1" applyBorder="1"/>
    <xf numFmtId="0" fontId="2" fillId="0" borderId="28" xfId="8" applyBorder="1" applyAlignment="1">
      <alignment vertical="center" wrapText="1"/>
    </xf>
    <xf numFmtId="0" fontId="7" fillId="9" borderId="27" xfId="8" applyFont="1" applyFill="1" applyBorder="1" applyAlignment="1">
      <alignment vertical="center" wrapText="1"/>
    </xf>
    <xf numFmtId="0" fontId="2" fillId="9" borderId="27" xfId="8" applyFill="1" applyBorder="1" applyAlignment="1">
      <alignment horizontal="center" vertical="center" wrapText="1"/>
    </xf>
    <xf numFmtId="43" fontId="0" fillId="9" borderId="27" xfId="9" applyFont="1" applyFill="1" applyBorder="1" applyAlignment="1">
      <alignment vertical="center" wrapText="1"/>
    </xf>
    <xf numFmtId="0" fontId="2" fillId="9" borderId="28" xfId="8" applyFill="1" applyBorder="1" applyAlignment="1">
      <alignment horizontal="center" vertical="center" wrapText="1"/>
    </xf>
    <xf numFmtId="43" fontId="0" fillId="9" borderId="28" xfId="9" applyFont="1" applyFill="1" applyBorder="1" applyAlignment="1">
      <alignment vertical="center" wrapText="1"/>
    </xf>
    <xf numFmtId="0" fontId="2" fillId="0" borderId="26" xfId="8" applyBorder="1" applyAlignment="1">
      <alignment vertical="center" wrapText="1"/>
    </xf>
    <xf numFmtId="43" fontId="0" fillId="9" borderId="26" xfId="9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7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center" vertical="center"/>
    </xf>
    <xf numFmtId="0" fontId="8" fillId="0" borderId="6" xfId="0" applyFont="1" applyBorder="1" applyAlignment="1">
      <alignment horizontal="justify" vertical="top" wrapText="1"/>
    </xf>
    <xf numFmtId="0" fontId="5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top"/>
    </xf>
    <xf numFmtId="0" fontId="0" fillId="0" borderId="1" xfId="0" applyBorder="1" applyAlignment="1">
      <alignment horizontal="justify" vertical="top"/>
    </xf>
    <xf numFmtId="0" fontId="0" fillId="0" borderId="6" xfId="0" applyBorder="1" applyAlignment="1">
      <alignment horizontal="justify" vertical="top"/>
    </xf>
    <xf numFmtId="0" fontId="8" fillId="0" borderId="6" xfId="0" applyFont="1" applyBorder="1" applyAlignment="1">
      <alignment horizontal="justify" vertical="top"/>
    </xf>
    <xf numFmtId="0" fontId="8" fillId="0" borderId="3" xfId="0" applyFont="1" applyBorder="1" applyAlignment="1">
      <alignment horizontal="justify" vertical="top"/>
    </xf>
    <xf numFmtId="0" fontId="12" fillId="0" borderId="28" xfId="8" applyFont="1" applyBorder="1" applyAlignment="1">
      <alignment vertical="center" wrapText="1"/>
    </xf>
    <xf numFmtId="0" fontId="7" fillId="0" borderId="27" xfId="8" applyFont="1" applyBorder="1" applyAlignment="1">
      <alignment vertical="center" wrapText="1"/>
    </xf>
    <xf numFmtId="0" fontId="2" fillId="0" borderId="27" xfId="8" applyBorder="1" applyAlignment="1">
      <alignment horizontal="center" vertical="center" wrapText="1"/>
    </xf>
    <xf numFmtId="43" fontId="0" fillId="0" borderId="27" xfId="9" applyFont="1" applyFill="1" applyBorder="1" applyAlignment="1">
      <alignment vertical="center" wrapText="1"/>
    </xf>
    <xf numFmtId="44" fontId="0" fillId="0" borderId="27" xfId="10" applyFont="1" applyFill="1" applyBorder="1" applyAlignment="1">
      <alignment vertical="center" wrapText="1"/>
    </xf>
    <xf numFmtId="0" fontId="2" fillId="0" borderId="28" xfId="8" applyBorder="1" applyAlignment="1">
      <alignment horizontal="center" vertical="center" wrapText="1"/>
    </xf>
    <xf numFmtId="43" fontId="0" fillId="0" borderId="28" xfId="9" applyFont="1" applyFill="1" applyBorder="1" applyAlignment="1">
      <alignment vertical="center" wrapText="1"/>
    </xf>
    <xf numFmtId="0" fontId="12" fillId="0" borderId="26" xfId="8" applyFont="1" applyBorder="1" applyAlignment="1">
      <alignment vertical="center" wrapText="1"/>
    </xf>
    <xf numFmtId="43" fontId="0" fillId="0" borderId="26" xfId="9" applyFont="1" applyFill="1" applyBorder="1" applyAlignment="1">
      <alignment vertical="center" wrapText="1"/>
    </xf>
    <xf numFmtId="44" fontId="7" fillId="0" borderId="0" xfId="10" applyFont="1" applyFill="1" applyBorder="1" applyAlignment="1">
      <alignment vertical="center" wrapText="1"/>
    </xf>
    <xf numFmtId="44" fontId="7" fillId="0" borderId="0" xfId="8" applyNumberFormat="1" applyFont="1"/>
    <xf numFmtId="0" fontId="5" fillId="2" borderId="3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1" borderId="13" xfId="0" applyFill="1" applyBorder="1" applyAlignment="1">
      <alignment horizontal="center" vertical="center" wrapText="1"/>
    </xf>
    <xf numFmtId="164" fontId="0" fillId="11" borderId="27" xfId="0" applyNumberFormat="1" applyFill="1" applyBorder="1" applyAlignment="1">
      <alignment horizontal="center" vertical="center" wrapText="1"/>
    </xf>
    <xf numFmtId="0" fontId="0" fillId="11" borderId="27" xfId="0" applyFill="1" applyBorder="1" applyAlignment="1">
      <alignment wrapText="1"/>
    </xf>
    <xf numFmtId="14" fontId="0" fillId="11" borderId="27" xfId="0" applyNumberFormat="1" applyFill="1" applyBorder="1" applyAlignment="1">
      <alignment horizontal="center" vertical="center" wrapText="1"/>
    </xf>
    <xf numFmtId="0" fontId="8" fillId="11" borderId="27" xfId="0" applyFont="1" applyFill="1" applyBorder="1" applyAlignment="1">
      <alignment horizontal="center" vertical="center" wrapText="1"/>
    </xf>
    <xf numFmtId="14" fontId="8" fillId="11" borderId="27" xfId="0" applyNumberFormat="1" applyFont="1" applyFill="1" applyBorder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 wrapText="1"/>
    </xf>
    <xf numFmtId="0" fontId="8" fillId="9" borderId="27" xfId="0" applyFont="1" applyFill="1" applyBorder="1" applyAlignment="1">
      <alignment horizontal="center" vertical="center" wrapText="1"/>
    </xf>
    <xf numFmtId="14" fontId="0" fillId="9" borderId="27" xfId="0" applyNumberFormat="1" applyFill="1" applyBorder="1" applyAlignment="1">
      <alignment horizontal="center" vertical="center" wrapText="1"/>
    </xf>
    <xf numFmtId="164" fontId="0" fillId="9" borderId="13" xfId="0" applyNumberForma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/>
    </xf>
    <xf numFmtId="164" fontId="17" fillId="6" borderId="0" xfId="0" applyNumberFormat="1" applyFont="1" applyFill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0" fontId="0" fillId="9" borderId="27" xfId="0" applyFill="1" applyBorder="1" applyAlignment="1">
      <alignment horizontal="center" vertical="center" wrapText="1"/>
    </xf>
    <xf numFmtId="164" fontId="0" fillId="9" borderId="27" xfId="0" applyNumberForma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14" fontId="0" fillId="9" borderId="26" xfId="0" applyNumberForma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164" fontId="0" fillId="0" borderId="27" xfId="0" applyNumberFormat="1" applyBorder="1"/>
    <xf numFmtId="0" fontId="0" fillId="0" borderId="27" xfId="0" applyBorder="1"/>
    <xf numFmtId="0" fontId="8" fillId="9" borderId="3" xfId="0" applyFont="1" applyFill="1" applyBorder="1" applyAlignment="1">
      <alignment horizontal="center" vertical="center" wrapText="1"/>
    </xf>
    <xf numFmtId="14" fontId="0" fillId="9" borderId="3" xfId="0" applyNumberFormat="1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18" fillId="0" borderId="0" xfId="0" applyFont="1"/>
    <xf numFmtId="4" fontId="8" fillId="0" borderId="2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4" fontId="0" fillId="8" borderId="1" xfId="7" applyFont="1" applyFill="1" applyBorder="1"/>
    <xf numFmtId="44" fontId="0" fillId="8" borderId="3" xfId="0" applyNumberFormat="1" applyFill="1" applyBorder="1"/>
    <xf numFmtId="0" fontId="0" fillId="9" borderId="1" xfId="0" applyFill="1" applyBorder="1"/>
    <xf numFmtId="44" fontId="0" fillId="9" borderId="1" xfId="7" applyFont="1" applyFill="1" applyBorder="1"/>
    <xf numFmtId="8" fontId="0" fillId="9" borderId="19" xfId="7" applyNumberFormat="1" applyFont="1" applyFill="1" applyBorder="1"/>
    <xf numFmtId="44" fontId="0" fillId="9" borderId="0" xfId="7" applyFont="1" applyFill="1"/>
    <xf numFmtId="44" fontId="20" fillId="9" borderId="22" xfId="7" applyFont="1" applyFill="1" applyBorder="1"/>
    <xf numFmtId="44" fontId="20" fillId="9" borderId="0" xfId="7" applyFont="1" applyFill="1"/>
    <xf numFmtId="44" fontId="8" fillId="9" borderId="0" xfId="7" applyFont="1" applyFill="1"/>
    <xf numFmtId="8" fontId="8" fillId="9" borderId="19" xfId="7" applyNumberFormat="1" applyFont="1" applyFill="1" applyBorder="1"/>
    <xf numFmtId="44" fontId="8" fillId="9" borderId="24" xfId="7" applyFont="1" applyFill="1" applyBorder="1"/>
    <xf numFmtId="44" fontId="0" fillId="9" borderId="24" xfId="7" applyFont="1" applyFill="1" applyBorder="1"/>
    <xf numFmtId="0" fontId="18" fillId="9" borderId="27" xfId="8" applyFont="1" applyFill="1" applyBorder="1" applyAlignment="1">
      <alignment vertical="center" wrapText="1"/>
    </xf>
    <xf numFmtId="0" fontId="18" fillId="0" borderId="27" xfId="8" applyFont="1" applyBorder="1" applyAlignment="1">
      <alignment vertical="center" wrapText="1"/>
    </xf>
    <xf numFmtId="164" fontId="0" fillId="0" borderId="4" xfId="0" applyNumberForma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44" fontId="1" fillId="0" borderId="34" xfId="7" applyFont="1" applyBorder="1"/>
    <xf numFmtId="44" fontId="1" fillId="0" borderId="36" xfId="7" applyFont="1" applyBorder="1"/>
    <xf numFmtId="44" fontId="1" fillId="9" borderId="1" xfId="7" applyFont="1" applyFill="1" applyBorder="1"/>
    <xf numFmtId="44" fontId="1" fillId="0" borderId="0" xfId="7" applyFont="1" applyBorder="1"/>
    <xf numFmtId="44" fontId="1" fillId="0" borderId="1" xfId="7" applyFont="1" applyBorder="1"/>
    <xf numFmtId="44" fontId="1" fillId="9" borderId="22" xfId="7" applyFont="1" applyFill="1" applyBorder="1"/>
    <xf numFmtId="44" fontId="1" fillId="9" borderId="0" xfId="7" applyFont="1" applyFill="1"/>
    <xf numFmtId="44" fontId="1" fillId="9" borderId="25" xfId="7" applyFont="1" applyFill="1" applyBorder="1"/>
    <xf numFmtId="8" fontId="1" fillId="9" borderId="0" xfId="7" applyNumberFormat="1" applyFont="1" applyFill="1" applyBorder="1"/>
    <xf numFmtId="44" fontId="1" fillId="9" borderId="0" xfId="7" applyFont="1" applyFill="1" applyBorder="1"/>
    <xf numFmtId="44" fontId="1" fillId="9" borderId="21" xfId="7" applyFont="1" applyFill="1" applyBorder="1"/>
    <xf numFmtId="8" fontId="1" fillId="9" borderId="0" xfId="7" applyNumberFormat="1" applyFont="1" applyFill="1" applyAlignment="1">
      <alignment wrapText="1"/>
    </xf>
    <xf numFmtId="44" fontId="1" fillId="9" borderId="0" xfId="7" applyFont="1" applyFill="1" applyAlignment="1">
      <alignment wrapText="1"/>
    </xf>
    <xf numFmtId="44" fontId="1" fillId="9" borderId="21" xfId="7" applyFont="1" applyFill="1" applyBorder="1" applyAlignment="1">
      <alignment wrapText="1"/>
    </xf>
    <xf numFmtId="8" fontId="1" fillId="9" borderId="19" xfId="7" applyNumberFormat="1" applyFont="1" applyFill="1" applyBorder="1"/>
    <xf numFmtId="0" fontId="1" fillId="9" borderId="27" xfId="8" applyFont="1" applyFill="1" applyBorder="1" applyAlignment="1">
      <alignment horizontal="center" vertical="center" wrapText="1"/>
    </xf>
    <xf numFmtId="0" fontId="1" fillId="9" borderId="26" xfId="8" applyFont="1" applyFill="1" applyBorder="1" applyAlignment="1">
      <alignment vertical="center" wrapText="1"/>
    </xf>
    <xf numFmtId="0" fontId="1" fillId="0" borderId="26" xfId="8" applyFont="1" applyBorder="1" applyAlignment="1">
      <alignment vertical="center" wrapText="1"/>
    </xf>
    <xf numFmtId="0" fontId="1" fillId="0" borderId="27" xfId="8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164" fontId="0" fillId="11" borderId="0" xfId="0" applyNumberFormat="1" applyFill="1" applyAlignment="1">
      <alignment horizontal="center" vertical="center" wrapText="1"/>
    </xf>
    <xf numFmtId="0" fontId="8" fillId="11" borderId="0" xfId="0" applyFont="1" applyFill="1" applyAlignment="1">
      <alignment horizontal="center" vertical="center" wrapText="1"/>
    </xf>
    <xf numFmtId="14" fontId="0" fillId="11" borderId="0" xfId="0" applyNumberFormat="1" applyFill="1" applyAlignment="1">
      <alignment horizontal="center" vertical="center" wrapText="1"/>
    </xf>
    <xf numFmtId="164" fontId="0" fillId="11" borderId="13" xfId="0" applyNumberForma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wrapText="1"/>
    </xf>
    <xf numFmtId="14" fontId="0" fillId="11" borderId="3" xfId="0" applyNumberFormat="1" applyFill="1" applyBorder="1" applyAlignment="1">
      <alignment horizontal="center" vertical="center" wrapText="1"/>
    </xf>
    <xf numFmtId="164" fontId="0" fillId="0" borderId="27" xfId="0" applyNumberFormat="1" applyBorder="1" applyAlignment="1">
      <alignment vertical="center"/>
    </xf>
    <xf numFmtId="14" fontId="0" fillId="9" borderId="12" xfId="0" applyNumberFormat="1" applyFill="1" applyBorder="1" applyAlignment="1">
      <alignment horizontal="center" vertical="center" wrapText="1"/>
    </xf>
    <xf numFmtId="0" fontId="0" fillId="9" borderId="27" xfId="0" applyFill="1" applyBorder="1"/>
    <xf numFmtId="0" fontId="0" fillId="9" borderId="0" xfId="0" applyFill="1"/>
    <xf numFmtId="0" fontId="0" fillId="9" borderId="13" xfId="0" applyFill="1" applyBorder="1" applyAlignment="1">
      <alignment horizontal="center" vertical="center" wrapText="1"/>
    </xf>
    <xf numFmtId="0" fontId="0" fillId="9" borderId="9" xfId="0" applyFill="1" applyBorder="1" applyAlignment="1">
      <alignment horizontal="center" vertical="center" wrapText="1"/>
    </xf>
    <xf numFmtId="164" fontId="0" fillId="9" borderId="38" xfId="0" applyNumberFormat="1" applyFill="1" applyBorder="1" applyAlignment="1">
      <alignment horizontal="center" vertical="center" wrapText="1"/>
    </xf>
    <xf numFmtId="164" fontId="0" fillId="9" borderId="40" xfId="0" applyNumberFormat="1" applyFill="1" applyBorder="1" applyAlignment="1">
      <alignment horizontal="center" vertical="center" wrapText="1"/>
    </xf>
    <xf numFmtId="0" fontId="8" fillId="9" borderId="43" xfId="0" applyFont="1" applyFill="1" applyBorder="1" applyAlignment="1">
      <alignment horizontal="center" vertical="center" wrapText="1"/>
    </xf>
    <xf numFmtId="164" fontId="0" fillId="9" borderId="42" xfId="0" applyNumberFormat="1" applyFill="1" applyBorder="1" applyAlignment="1">
      <alignment horizontal="center" vertical="center" wrapText="1"/>
    </xf>
    <xf numFmtId="0" fontId="0" fillId="9" borderId="26" xfId="0" applyFill="1" applyBorder="1"/>
    <xf numFmtId="0" fontId="8" fillId="9" borderId="38" xfId="0" applyFont="1" applyFill="1" applyBorder="1" applyAlignment="1">
      <alignment horizontal="center" vertical="center" wrapText="1"/>
    </xf>
    <xf numFmtId="14" fontId="0" fillId="9" borderId="0" xfId="0" applyNumberFormat="1" applyFill="1" applyAlignment="1">
      <alignment horizontal="center"/>
    </xf>
    <xf numFmtId="0" fontId="0" fillId="9" borderId="27" xfId="0" applyFill="1" applyBorder="1" applyAlignment="1">
      <alignment horizontal="center"/>
    </xf>
    <xf numFmtId="0" fontId="0" fillId="9" borderId="12" xfId="0" applyFill="1" applyBorder="1" applyAlignment="1">
      <alignment horizontal="center" vertical="center" wrapText="1"/>
    </xf>
    <xf numFmtId="0" fontId="0" fillId="9" borderId="1" xfId="0" quotePrefix="1" applyFill="1" applyBorder="1" applyAlignment="1">
      <alignment horizontal="center" vertical="center" wrapText="1"/>
    </xf>
    <xf numFmtId="14" fontId="0" fillId="9" borderId="0" xfId="0" applyNumberFormat="1" applyFill="1" applyAlignment="1">
      <alignment horizontal="center" vertical="center" wrapText="1"/>
    </xf>
    <xf numFmtId="164" fontId="0" fillId="9" borderId="15" xfId="0" applyNumberFormat="1" applyFill="1" applyBorder="1" applyAlignment="1">
      <alignment horizontal="center" vertical="center" wrapText="1"/>
    </xf>
    <xf numFmtId="0" fontId="8" fillId="9" borderId="26" xfId="0" applyFont="1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/>
    </xf>
    <xf numFmtId="0" fontId="22" fillId="0" borderId="0" xfId="0" applyFont="1"/>
    <xf numFmtId="164" fontId="8" fillId="9" borderId="1" xfId="0" applyNumberFormat="1" applyFont="1" applyFill="1" applyBorder="1" applyAlignment="1">
      <alignment horizontal="center" vertical="center"/>
    </xf>
    <xf numFmtId="0" fontId="18" fillId="6" borderId="27" xfId="8" applyFont="1" applyFill="1" applyBorder="1" applyAlignment="1">
      <alignment vertical="center" wrapText="1"/>
    </xf>
    <xf numFmtId="0" fontId="20" fillId="6" borderId="27" xfId="8" applyFont="1" applyFill="1" applyBorder="1" applyAlignment="1">
      <alignment horizontal="center" vertical="center" wrapText="1"/>
    </xf>
    <xf numFmtId="43" fontId="0" fillId="6" borderId="27" xfId="9" applyFont="1" applyFill="1" applyBorder="1" applyAlignment="1">
      <alignment vertical="center" wrapText="1"/>
    </xf>
    <xf numFmtId="44" fontId="0" fillId="6" borderId="27" xfId="1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4" fontId="0" fillId="0" borderId="40" xfId="0" applyNumberFormat="1" applyBorder="1" applyAlignment="1">
      <alignment horizontal="center" vertical="center"/>
    </xf>
    <xf numFmtId="4" fontId="0" fillId="0" borderId="39" xfId="0" applyNumberFormat="1" applyBorder="1" applyAlignment="1">
      <alignment horizontal="center" vertical="center"/>
    </xf>
    <xf numFmtId="4" fontId="0" fillId="0" borderId="41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0" fillId="0" borderId="26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8" fillId="8" borderId="3" xfId="0" applyNumberFormat="1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164" fontId="0" fillId="8" borderId="3" xfId="0" applyNumberFormat="1" applyFill="1" applyBorder="1" applyAlignment="1">
      <alignment horizontal="center" vertical="center"/>
    </xf>
    <xf numFmtId="164" fontId="0" fillId="8" borderId="2" xfId="0" applyNumberFormat="1" applyFill="1" applyBorder="1" applyAlignment="1">
      <alignment horizontal="center" vertical="center"/>
    </xf>
    <xf numFmtId="164" fontId="0" fillId="8" borderId="4" xfId="0" applyNumberFormat="1" applyFill="1" applyBorder="1" applyAlignment="1">
      <alignment horizontal="center" vertical="center"/>
    </xf>
    <xf numFmtId="2" fontId="8" fillId="8" borderId="3" xfId="0" applyNumberFormat="1" applyFont="1" applyFill="1" applyBorder="1" applyAlignment="1">
      <alignment horizontal="center" vertical="center"/>
    </xf>
    <xf numFmtId="2" fontId="8" fillId="8" borderId="2" xfId="0" applyNumberFormat="1" applyFont="1" applyFill="1" applyBorder="1" applyAlignment="1">
      <alignment horizontal="center" vertical="center"/>
    </xf>
    <xf numFmtId="2" fontId="8" fillId="8" borderId="4" xfId="0" applyNumberFormat="1" applyFont="1" applyFill="1" applyBorder="1" applyAlignment="1">
      <alignment horizontal="center" vertical="center"/>
    </xf>
    <xf numFmtId="14" fontId="0" fillId="8" borderId="3" xfId="0" applyNumberFormat="1" applyFill="1" applyBorder="1" applyAlignment="1">
      <alignment horizontal="center" vertical="center"/>
    </xf>
    <xf numFmtId="14" fontId="0" fillId="8" borderId="2" xfId="0" applyNumberFormat="1" applyFill="1" applyBorder="1" applyAlignment="1">
      <alignment horizontal="center" vertical="center"/>
    </xf>
    <xf numFmtId="0" fontId="19" fillId="6" borderId="8" xfId="11" applyFill="1" applyBorder="1" applyAlignment="1">
      <alignment horizontal="center" vertical="center" wrapText="1"/>
    </xf>
    <xf numFmtId="0" fontId="19" fillId="6" borderId="0" xfId="11" applyFill="1" applyAlignment="1">
      <alignment horizontal="center" vertical="center" wrapText="1"/>
    </xf>
    <xf numFmtId="0" fontId="19" fillId="6" borderId="7" xfId="11" applyFill="1" applyBorder="1" applyAlignment="1">
      <alignment horizontal="center" vertical="center" wrapText="1"/>
    </xf>
    <xf numFmtId="0" fontId="19" fillId="6" borderId="15" xfId="11" applyFill="1" applyBorder="1" applyAlignment="1">
      <alignment horizontal="center" vertical="center" wrapText="1"/>
    </xf>
    <xf numFmtId="0" fontId="19" fillId="6" borderId="16" xfId="11" applyFill="1" applyBorder="1" applyAlignment="1">
      <alignment horizontal="center" vertical="center" wrapText="1"/>
    </xf>
    <xf numFmtId="0" fontId="19" fillId="6" borderId="17" xfId="1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9" fillId="6" borderId="9" xfId="4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9" fillId="6" borderId="9" xfId="11" applyFill="1" applyBorder="1" applyAlignment="1">
      <alignment horizontal="center" vertical="center" wrapText="1"/>
    </xf>
    <xf numFmtId="0" fontId="19" fillId="6" borderId="10" xfId="11" applyFill="1" applyBorder="1" applyAlignment="1">
      <alignment horizontal="center" vertical="center" wrapText="1"/>
    </xf>
    <xf numFmtId="0" fontId="19" fillId="6" borderId="11" xfId="1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4" fontId="0" fillId="8" borderId="1" xfId="0" applyNumberFormat="1" applyFill="1" applyBorder="1" applyAlignment="1">
      <alignment horizontal="center" vertical="center"/>
    </xf>
    <xf numFmtId="2" fontId="8" fillId="6" borderId="3" xfId="0" applyNumberFormat="1" applyFont="1" applyFill="1" applyBorder="1" applyAlignment="1">
      <alignment horizontal="center" vertical="center"/>
    </xf>
    <xf numFmtId="2" fontId="8" fillId="6" borderId="2" xfId="0" applyNumberFormat="1" applyFont="1" applyFill="1" applyBorder="1" applyAlignment="1">
      <alignment horizontal="center" vertical="center"/>
    </xf>
    <xf numFmtId="2" fontId="8" fillId="6" borderId="4" xfId="0" applyNumberFormat="1" applyFont="1" applyFill="1" applyBorder="1" applyAlignment="1">
      <alignment horizontal="center" vertical="center"/>
    </xf>
    <xf numFmtId="164" fontId="8" fillId="6" borderId="3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14" fontId="0" fillId="6" borderId="3" xfId="0" applyNumberFormat="1" applyFill="1" applyBorder="1" applyAlignment="1">
      <alignment horizontal="center" vertical="center"/>
    </xf>
    <xf numFmtId="14" fontId="0" fillId="6" borderId="2" xfId="0" applyNumberForma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9" fillId="6" borderId="8" xfId="4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164" fontId="0" fillId="9" borderId="3" xfId="0" applyNumberFormat="1" applyFill="1" applyBorder="1" applyAlignment="1">
      <alignment horizontal="center" vertical="center"/>
    </xf>
    <xf numFmtId="164" fontId="0" fillId="9" borderId="2" xfId="0" applyNumberFormat="1" applyFill="1" applyBorder="1" applyAlignment="1">
      <alignment horizontal="center" vertical="center"/>
    </xf>
    <xf numFmtId="164" fontId="0" fillId="9" borderId="4" xfId="0" applyNumberFormat="1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13" fillId="0" borderId="29" xfId="8" applyFont="1" applyBorder="1" applyAlignment="1">
      <alignment horizontal="center"/>
    </xf>
    <xf numFmtId="0" fontId="13" fillId="0" borderId="30" xfId="8" applyFont="1" applyBorder="1" applyAlignment="1">
      <alignment horizontal="center"/>
    </xf>
    <xf numFmtId="0" fontId="13" fillId="0" borderId="31" xfId="8" applyFont="1" applyBorder="1" applyAlignment="1">
      <alignment horizontal="center"/>
    </xf>
  </cellXfs>
  <cellStyles count="12">
    <cellStyle name="Hiperligação" xfId="4" builtinId="8"/>
    <cellStyle name="Hyperlink" xfId="11" xr:uid="{00000000-000B-0000-0000-000008000000}"/>
    <cellStyle name="Moeda" xfId="7" builtinId="4"/>
    <cellStyle name="Moeda 2" xfId="3" xr:uid="{F09F4761-300D-41D0-B807-B1B7061170C7}"/>
    <cellStyle name="Moeda 3" xfId="6" xr:uid="{0D45F952-2A7D-4F84-BFA2-30837D2CEBAD}"/>
    <cellStyle name="Moeda 4" xfId="10" xr:uid="{EAC49FBA-9AD4-4F34-AF12-F9D8F29BC4C4}"/>
    <cellStyle name="Normal" xfId="0" builtinId="0"/>
    <cellStyle name="Normal 2" xfId="1" xr:uid="{FFB71285-F343-45EA-A9FB-943A1B47E26C}"/>
    <cellStyle name="Normal 3" xfId="5" xr:uid="{C12AE99A-2C3B-4BFD-A7E6-614BDC215428}"/>
    <cellStyle name="Normal 4" xfId="8" xr:uid="{924835C7-F18B-4315-9134-131CAB7847B5}"/>
    <cellStyle name="Vírgula 2" xfId="2" xr:uid="{7AF61CD3-7793-4F2A-AFCA-D1C355876BAE}"/>
    <cellStyle name="Vírgula 3" xfId="9" xr:uid="{23BB0C7F-C4E1-48E4-A888-B8D44E6F436E}"/>
  </cellStyles>
  <dxfs count="10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R$&quot;\ #,##0.00;[Red]\-&quot;R$&quot;\ #,##0.00"/>
      <fill>
        <patternFill patternType="solid">
          <fgColor indexed="64"/>
          <bgColor rgb="FF92D050"/>
        </patternFill>
      </fill>
    </dxf>
    <dxf>
      <fill>
        <patternFill patternType="none">
          <bgColor auto="1"/>
        </patternFill>
      </fill>
    </dxf>
    <dxf>
      <font>
        <b/>
      </font>
      <fill>
        <patternFill patternType="none"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  <border outline="0">
        <left style="medium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R$&quot;\ #,##0.00;[Red]\-&quot;R$&quot;\ #,##0.00"/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</dxf>
    <dxf>
      <font>
        <b/>
      </font>
      <fill>
        <patternFill patternType="none"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92D050"/>
        </patternFill>
      </fill>
      <border>
        <left style="medium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R$&quot;\ #,##0.00;[Red]\-&quot;R$&quot;\ #,##0.00"/>
      <fill>
        <patternFill patternType="solid">
          <fgColor indexed="64"/>
          <bgColor rgb="FF92D050"/>
        </patternFill>
      </fill>
    </dxf>
    <dxf>
      <fill>
        <patternFill patternType="none">
          <bgColor auto="1"/>
        </patternFill>
      </fill>
    </dxf>
    <dxf>
      <font>
        <b/>
      </font>
      <fill>
        <patternFill patternType="none"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  <border outline="0">
        <left style="medium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R$&quot;\ #,##0.00;[Red]\-&quot;R$&quot;\ #,##0.00"/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</dxf>
    <dxf>
      <font>
        <b/>
      </font>
      <fill>
        <patternFill patternType="none"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  <border outline="0">
        <left style="medium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R$&quot;\ #,##0.00;[Red]\-&quot;R$&quot;\ #,##0.00"/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</dxf>
    <dxf>
      <font>
        <b/>
      </font>
      <fill>
        <patternFill patternType="none"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R$&quot;\ * #,##0.00_-;\-&quot;R$&quot;\ * #,##0.00_-;_-&quot;R$&quot;\ * &quot;-&quot;??_-;_-@_-"/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rgb="FF92D05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rgb="FF92D050"/>
        </patternFill>
      </fill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34" formatCode="_-&quot;R$&quot;\ * #,##0.00_-;\-&quot;R$&quot;\ * #,##0.00_-;_-&quot;R$&quot;\ 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DDEBF7"/>
          <bgColor rgb="FFDDEBF7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5B9BD5"/>
        </top>
      </border>
    </dxf>
    <dxf>
      <font>
        <b/>
        <color rgb="FFFFFFFF"/>
      </font>
      <fill>
        <patternFill patternType="solid">
          <fgColor rgb="FF5B9BD5"/>
          <bgColor rgb="FF5B9BD5"/>
        </patternFill>
      </fill>
    </dxf>
    <dxf>
      <font>
        <color rgb="FF000000"/>
      </font>
      <border>
        <left style="thin">
          <color rgb="FF9BC2E6"/>
        </left>
        <right style="thin">
          <color rgb="FF9BC2E6"/>
        </right>
        <top style="thin">
          <color rgb="FF9BC2E6"/>
        </top>
        <bottom style="thin">
          <color rgb="FF9BC2E6"/>
        </bottom>
        <horizontal style="thin">
          <color rgb="FF9BC2E6"/>
        </horizontal>
      </border>
    </dxf>
  </dxfs>
  <tableStyles count="1" defaultTableStyle="TableStyleMedium9">
    <tableStyle name="TableStyleMedium2 2" pivot="0" count="7" xr9:uid="{9000D7C1-488E-4BAD-B6C0-889D49FD242E}">
      <tableStyleElement type="wholeTable" dxfId="102"/>
      <tableStyleElement type="headerRow" dxfId="101"/>
      <tableStyleElement type="totalRow" dxfId="100"/>
      <tableStyleElement type="firstColumn" dxfId="99"/>
      <tableStyleElement type="lastColumn" dxfId="98"/>
      <tableStyleElement type="firstRowStripe" dxfId="97"/>
      <tableStyleElement type="firstColumnStripe" dxfId="9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44</xdr:row>
      <xdr:rowOff>95250</xdr:rowOff>
    </xdr:from>
    <xdr:to>
      <xdr:col>6</xdr:col>
      <xdr:colOff>2124075</xdr:colOff>
      <xdr:row>55</xdr:row>
      <xdr:rowOff>57150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C91B1BFA-D180-4E89-B1E2-AEF1DB4A423A}"/>
            </a:ext>
          </a:extLst>
        </xdr:cNvPr>
        <xdr:cNvSpPr txBox="1"/>
      </xdr:nvSpPr>
      <xdr:spPr>
        <a:xfrm>
          <a:off x="476250" y="10610850"/>
          <a:ext cx="8105775" cy="20574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pt-BR" sz="1100" b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04121F8-8CD9-45EB-98A3-98C49CBD7966}" name="Tabela11" displayName="Tabela11" ref="B4:F10" totalsRowShown="0" headerRowDxfId="95" dataDxfId="94" headerRowBorderDxfId="92" tableBorderDxfId="93" totalsRowBorderDxfId="91" headerRowCellStyle="Moeda" dataCellStyle="Moeda">
  <autoFilter ref="B4:F10" xr:uid="{F7FA27FC-0171-4C8C-BFAF-235DE4FA5D50}"/>
  <tableColumns count="5">
    <tableColumn id="1" xr3:uid="{E3D28AA2-95A9-4226-B269-EF9071E01CF2}" name="BTU" dataDxfId="90"/>
    <tableColumn id="2" xr3:uid="{A868C4E4-6AFA-4072-AE54-70D3B0444BDA}" name="MAGAZINE LUIZA" dataDxfId="89" dataCellStyle="Moeda"/>
    <tableColumn id="3" xr3:uid="{68CCC491-E438-47CD-9FE1-75BC284204A7}" name="CASAS BAHIA" dataDxfId="88" dataCellStyle="Moeda"/>
    <tableColumn id="4" xr3:uid="{328137E4-FD69-45DF-915C-195FE7D48C97}" name="CARREFOUR" dataDxfId="87" dataCellStyle="Moeda"/>
    <tableColumn id="5" xr3:uid="{7F007C18-0EA8-46E8-9558-A500EAD4F4CC}" name="MÉDIA" dataDxfId="86" dataCellStyle="Moeda">
      <calculatedColumnFormula>AVERAGE(Tabela11[[#This Row],[MAGAZINE LUIZA]:[CARREFOUR]])</calculatedColumnFormula>
    </tableColumn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503C54D-1475-4976-8CF6-B36631ECFF39}" name="Tabela36" displayName="Tabela36" ref="A44:G45" totalsRowShown="0" headerRowDxfId="8" dataDxfId="7" dataCellStyle="Moeda">
  <tableColumns count="7">
    <tableColumn id="1" xr3:uid="{B510AE88-75B4-4103-9317-A6B78B66689C}" name="ITEM" dataDxfId="6"/>
    <tableColumn id="2" xr3:uid="{283E4A2A-71CF-4D23-A2C9-B1968E658F46}" name="MODELO" dataDxfId="5"/>
    <tableColumn id="3" xr3:uid="{2817DCE2-172E-42D3-BF2B-EA4A11793211}" name="PREÇOS -ESFERA _x000a_ FEDERAL" dataDxfId="4" dataCellStyle="Moeda"/>
    <tableColumn id="4" xr3:uid="{C5C8DB50-9C2E-4C2B-9CCF-D1AC8D0FDB2E}" name="PREÇOS - ESFERA ESTADUAL" dataDxfId="3" dataCellStyle="Moeda"/>
    <tableColumn id="5" xr3:uid="{FDFD8034-3CBC-4787-8857-669183690785}" name="PREÇOS -  MERCADO" dataDxfId="2" dataCellStyle="Moeda">
      <calculatedColumnFormula>'PESQUISA MERCADO 60000 BTU  '!Q16</calculatedColumnFormula>
    </tableColumn>
    <tableColumn id="6" xr3:uid="{E9806B17-073B-47AF-8407-73C33B306833}" name="MÉDIA FINAL" dataDxfId="1" dataCellStyle="Moeda">
      <calculatedColumnFormula>AVERAGE(Tabela36[[#This Row],[PREÇOS -ESFERA 
 FEDERAL]:[PREÇOS -  MERCADO]])</calculatedColumnFormula>
    </tableColumn>
    <tableColumn id="7" xr3:uid="{E8FABCDF-1113-4C3D-A67B-0229A220E006}" name="MÉDIA FINAL_x000a_ COM INSTALAÇÃO" dataDxfId="0" dataCellStyle="Moeda">
      <calculatedColumnFormula>Tabela36[[#This Row],[MÉDIA FINAL]]+INSTALAÇÃO!H33</calculatedColumn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C72465D-2EDC-47C2-BFC3-3C37C2F44314}" name="Tabela111" displayName="Tabela111" ref="B20:H25" totalsRowShown="0" headerRowDxfId="85" dataDxfId="84" headerRowBorderDxfId="82" tableBorderDxfId="83" dataCellStyle="Moeda">
  <autoFilter ref="B20:H25" xr:uid="{DC72465D-2EDC-47C2-BFC3-3C37C2F44314}"/>
  <tableColumns count="7">
    <tableColumn id="1" xr3:uid="{4817C44B-281E-4B83-B20E-51C2A5F20E33}" name="REGIÃO" dataDxfId="81"/>
    <tableColumn id="3" xr3:uid="{506449E9-5C65-4E46-9586-6826AF23703C}" name="9000" dataDxfId="80" dataCellStyle="Moeda">
      <calculatedColumnFormula>F5</calculatedColumnFormula>
    </tableColumn>
    <tableColumn id="4" xr3:uid="{57AA0102-E603-46E7-AC5F-33E83CE97C64}" name="12000" dataDxfId="79" dataCellStyle="Moeda">
      <calculatedColumnFormula>F2</calculatedColumnFormula>
    </tableColumn>
    <tableColumn id="2" xr3:uid="{BF843B35-B58D-495F-AE17-98520D0A93B0}" name="18000" dataDxfId="78" dataCellStyle="Moeda"/>
    <tableColumn id="5" xr3:uid="{978908F3-DBDD-4A10-A2A3-3BE911720199}" name="24000" dataDxfId="77" dataCellStyle="Moeda">
      <calculatedColumnFormula>F6</calculatedColumnFormula>
    </tableColumn>
    <tableColumn id="6" xr3:uid="{0E546081-E639-4959-9951-8C10CA28A2F7}" name="30000" dataDxfId="76" dataCellStyle="Moeda"/>
    <tableColumn id="7" xr3:uid="{9CABAADB-E974-4206-A7AA-4433F63C185C}" name="60000" dataDxfId="75" dataCellStyle="Moed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37F204B9-ECEE-43E1-A4CB-3D8574E49E21}" name="Tabela11113" displayName="Tabela11113" ref="K19:Q24" totalsRowShown="0" headerRowDxfId="74" dataDxfId="73" headerRowBorderDxfId="71" tableBorderDxfId="72" dataCellStyle="Moeda">
  <autoFilter ref="K19:Q24" xr:uid="{37F204B9-ECEE-43E1-A4CB-3D8574E49E21}"/>
  <tableColumns count="7">
    <tableColumn id="1" xr3:uid="{C1C364CD-1967-42B1-AC98-76E7C0F5F91A}" name="REGIÃO" dataDxfId="70"/>
    <tableColumn id="3" xr3:uid="{89D4ABAF-F107-467A-9742-6A2D14C80F6F}" name="9000" dataDxfId="69" dataCellStyle="Moeda"/>
    <tableColumn id="4" xr3:uid="{95C4FB71-4A40-4A3E-9FDC-32DDD244258C}" name="12000" dataDxfId="68" dataCellStyle="Moeda"/>
    <tableColumn id="5" xr3:uid="{3DEA7F29-1BD9-4473-8A0F-F3BA3F971D92}" name="18000" dataDxfId="67" dataCellStyle="Moeda"/>
    <tableColumn id="2" xr3:uid="{0FB164F8-2A1F-463A-92B4-95CF434D455F}" name="24000" dataDxfId="66" dataCellStyle="Moeda"/>
    <tableColumn id="6" xr3:uid="{FF42B9EE-DFC3-464F-A418-085727B69B01}" name="30000" dataDxfId="65" dataCellStyle="Moeda"/>
    <tableColumn id="7" xr3:uid="{A3399912-A9E6-4511-9DC2-0941A07B9AAF}" name="60000" dataDxfId="64" dataCellStyle="Moed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14D3464E-D085-482D-B39B-5C3EAE59CF06}" name="Tabela11114" displayName="Tabela11114" ref="B29:H34" totalsRowShown="0" headerRowDxfId="63" dataDxfId="62" headerRowBorderDxfId="60" tableBorderDxfId="61" dataCellStyle="Moeda">
  <autoFilter ref="B29:H34" xr:uid="{14D3464E-D085-482D-B39B-5C3EAE59CF06}"/>
  <tableColumns count="7">
    <tableColumn id="1" xr3:uid="{2CD93774-A7C9-4288-94E6-E178F24548AC}" name="REGIÃO" dataDxfId="59"/>
    <tableColumn id="3" xr3:uid="{467D5A00-F601-4A69-9BE6-99BDC148F403}" name="9000" dataDxfId="58" dataCellStyle="Moeda">
      <calculatedColumnFormula>C21</calculatedColumnFormula>
    </tableColumn>
    <tableColumn id="4" xr3:uid="{6569C291-C223-482C-A014-1CE3E5A56368}" name="12000" dataDxfId="57" dataCellStyle="Moeda">
      <calculatedColumnFormula>D21</calculatedColumnFormula>
    </tableColumn>
    <tableColumn id="2" xr3:uid="{7237843C-D526-4B8F-A2BA-DC8867B7F15E}" name="18000" dataDxfId="56" dataCellStyle="Moeda">
      <calculatedColumnFormula>AVERAGE(E21,N20)</calculatedColumnFormula>
    </tableColumn>
    <tableColumn id="5" xr3:uid="{D2AD6294-5ACC-48A1-B087-F9DDFBB44828}" name="24000" dataDxfId="55" dataCellStyle="Moeda">
      <calculatedColumnFormula>AVERAGE(F21,O20)</calculatedColumnFormula>
    </tableColumn>
    <tableColumn id="6" xr3:uid="{44C06334-58FD-4FED-AB8A-4BD42D4E9BF6}" name="30000" dataDxfId="54" dataCellStyle="Moeda"/>
    <tableColumn id="7" xr3:uid="{EC619DBD-115B-4775-9A14-B33537569E75}" name="60000" dataDxfId="53" dataCellStyle="Moeda">
      <calculatedColumnFormula>MEDIAN(H21,Q20)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F9CE30F-FCB7-4B8E-804E-4A58C53DE09C}" name="Tabela1" displayName="Tabela1" ref="K4:N9" totalsRowShown="0" headerRowDxfId="52" dataDxfId="51" headerRowBorderDxfId="49" tableBorderDxfId="50" dataCellStyle="Moeda">
  <tableColumns count="4">
    <tableColumn id="1" xr3:uid="{6C03E2DF-457B-4844-B1D8-33C8E935B377}" name="REGIÃO" dataDxfId="48"/>
    <tableColumn id="3" xr3:uid="{76C09285-6363-4563-B7AA-1D8F4A637A1A}" name="9000 BTU" dataDxfId="47" dataCellStyle="Moeda"/>
    <tableColumn id="4" xr3:uid="{6F832676-3A6D-4928-846E-ABB3BD9B375D}" name="12000 A 18000 BTUS2" dataDxfId="46" dataCellStyle="Moeda"/>
    <tableColumn id="2" xr3:uid="{A1D3ED17-E61E-4D04-AB6E-D89870A56BF3}" name="24000 a 60000 BTUS2" dataDxfId="45" dataCellStyle="Moeda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31CD78-6B6D-41A1-B103-0B56A4419291}" name="Tabela3" displayName="Tabela3" ref="A3:G7" totalsRowShown="0" headerRowDxfId="44" dataDxfId="43" dataCellStyle="Moeda">
  <autoFilter ref="A3:G7" xr:uid="{CDB271E4-5FBE-4157-805B-11315A104BBC}"/>
  <tableColumns count="7">
    <tableColumn id="1" xr3:uid="{F333BB53-2E7F-4CAC-BA4D-77D19FE0739F}" name="ITEM" dataDxfId="42"/>
    <tableColumn id="2" xr3:uid="{12D7D4F0-4F0B-43E5-8F0A-FD9E97FFC2CE}" name="MODELO" dataDxfId="41"/>
    <tableColumn id="3" xr3:uid="{D74B930C-49F6-4715-B8DB-7D931F3CD6A9}" name="PREÇOS -ESFERA _x000a_ FEDERAL" dataDxfId="40" dataCellStyle="Moeda">
      <calculatedColumnFormula>#REF!</calculatedColumnFormula>
    </tableColumn>
    <tableColumn id="4" xr3:uid="{6C595143-85B9-4D9A-899D-5695153A6D5A}" name="PREÇOS - ESFERA_x000a_ ESTADUAL" dataDxfId="39" dataCellStyle="Moeda">
      <calculatedColumnFormula>#REF!</calculatedColumnFormula>
    </tableColumn>
    <tableColumn id="5" xr3:uid="{B3281C17-B4FD-4C92-A695-667AA0502647}" name="PREÇOS -  MERCADO" dataDxfId="38" dataCellStyle="Moeda">
      <calculatedColumnFormula>#REF!</calculatedColumnFormula>
    </tableColumn>
    <tableColumn id="6" xr3:uid="{0FA45397-A505-44B2-A7DB-B6D20ABE6C6D}" name="MÉDIA FINAL" dataDxfId="37" dataCellStyle="Moeda">
      <calculatedColumnFormula>AVERAGE(Tabela3[[#This Row],[PREÇOS -ESFERA 
 FEDERAL]:[PREÇOS -  MERCADO]])</calculatedColumnFormula>
    </tableColumn>
    <tableColumn id="7" xr3:uid="{DD9454D0-9405-4529-88E3-FFE92FFF7443}" name="MÉDIA FINAL _x000a_COM_x000a_ INSTALAÇÃO" dataDxfId="36" dataCellStyle="Moeda">
      <calculatedColumnFormula>Tabela3[[#This Row],[MÉDIA FINAL]]+INSTALAÇÃO!#REF!</calculatedColumnFormula>
    </tableColumn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D3F386D-3781-44F2-ABB2-63BE92B516C1}" name="Tabela33" displayName="Tabela33" ref="A12:G16" totalsRowShown="0" headerRowDxfId="35" dataDxfId="34" dataCellStyle="Moeda">
  <autoFilter ref="A12:G16" xr:uid="{5E0A12ED-1458-4E76-A7FD-C06A0F1D1E38}"/>
  <tableColumns count="7">
    <tableColumn id="1" xr3:uid="{C6D8FB7C-AA62-49CE-91E7-4ACBA5DEF71A}" name="ITEM" dataDxfId="33"/>
    <tableColumn id="2" xr3:uid="{F5CF3618-9EED-4758-9198-E9C59163A141}" name="MODELO" dataDxfId="32"/>
    <tableColumn id="3" xr3:uid="{654DE035-BCA8-48C2-979F-456A4C0771E9}" name="PREÇOS -ESFERA  _x000a_FEDERAL" dataDxfId="31" dataCellStyle="Moeda">
      <calculatedColumnFormula>#REF!</calculatedColumnFormula>
    </tableColumn>
    <tableColumn id="4" xr3:uid="{16BD3767-2326-4BD8-886B-85E05611F5B1}" name="PREÇOS - ESFERA_x000a_ ESTADUAL" dataDxfId="30" dataCellStyle="Moeda">
      <calculatedColumnFormula>#REF!</calculatedColumnFormula>
    </tableColumn>
    <tableColumn id="5" xr3:uid="{7275B074-125E-48F9-B1A4-1F222161974A}" name="PREÇOS -  MERCADO" dataDxfId="29" dataCellStyle="Moeda">
      <calculatedColumnFormula>#REF!</calculatedColumnFormula>
    </tableColumn>
    <tableColumn id="6" xr3:uid="{39BCE9D4-CB05-4803-9AE1-F339D397DE93}" name="MÉDIA FINAL" dataDxfId="28" dataCellStyle="Moeda">
      <calculatedColumnFormula>AVERAGE(Tabela33[[#This Row],[PREÇOS -ESFERA  
FEDERAL]:[PREÇOS -  MERCADO]])</calculatedColumnFormula>
    </tableColumn>
    <tableColumn id="7" xr3:uid="{4572EAAB-1E0D-48C1-8C0A-E7138E1A6EA9}" name="MÉDIA FINAL_x000a_ COM INSTALAÇÃO" dataDxfId="27" dataCellStyle="Moeda">
      <calculatedColumnFormula>Tabela33[[#This Row],[MÉDIA FINAL]]+INSTALAÇÃO!#REF!</calculatedColumnFormula>
    </tableColumn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EA22867-D84F-49E5-8D65-DF8E93C02358}" name="Tabela34" displayName="Tabela34" ref="A22:G26" totalsRowShown="0" headerRowDxfId="26" dataDxfId="25" dataCellStyle="Moeda">
  <autoFilter ref="A22:G26" xr:uid="{CD7E18EB-8B13-457C-A1A3-27FC492DB6FD}"/>
  <tableColumns count="7">
    <tableColumn id="1" xr3:uid="{F628BEBF-8FB5-44C1-93E5-BFE64C12093D}" name="ITEM" dataDxfId="24"/>
    <tableColumn id="2" xr3:uid="{1056C3E6-05E1-4ED0-8D4F-4A4B96EA60F0}" name="MODELO" dataDxfId="23"/>
    <tableColumn id="3" xr3:uid="{48DB721E-5BCF-425C-B727-6C9F3D8856D9}" name="PREÇOS -ESFERA  _x000a_FEDERAL" dataDxfId="22" dataCellStyle="Moeda">
      <calculatedColumnFormula>#REF!</calculatedColumnFormula>
    </tableColumn>
    <tableColumn id="4" xr3:uid="{707437BF-7DCD-4DB7-AB50-4CD3BAC380E4}" name="PREÇOS - ESFERA _x000a_ESTADUAL" dataDxfId="21" dataCellStyle="Moeda">
      <calculatedColumnFormula>#REF!</calculatedColumnFormula>
    </tableColumn>
    <tableColumn id="5" xr3:uid="{65EFF259-459C-44CE-AD9D-51F51144178A}" name="PREÇOS -  MERCADO" dataDxfId="20" dataCellStyle="Moeda">
      <calculatedColumnFormula>#REF!</calculatedColumnFormula>
    </tableColumn>
    <tableColumn id="6" xr3:uid="{EEE2861E-75AB-4D04-8C9C-3F6F2E1BF9A7}" name="MÉDIA FINAL" dataDxfId="19" dataCellStyle="Moeda">
      <calculatedColumnFormula>AVERAGE(Tabela34[[#This Row],[PREÇOS -ESFERA  
FEDERAL]:[PREÇOS -  MERCADO]])</calculatedColumnFormula>
    </tableColumn>
    <tableColumn id="7" xr3:uid="{058E0910-4F38-4F61-A765-5CB95053128E}" name="MÉDIA FINAL _x000a_COM INSTALAÇÃO" dataDxfId="18" dataCellStyle="Moeda">
      <calculatedColumnFormula>Tabela34[[#This Row],[MÉDIA FINAL]]+INSTALAÇÃO!#REF!</calculatedColumnFormula>
    </tableColumn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B530A0F-4BBC-4A62-947C-72DEB3974B82}" name="Tabela35" displayName="Tabela35" ref="A32:G38" totalsRowShown="0" headerRowDxfId="17" dataDxfId="16" dataCellStyle="Moeda">
  <autoFilter ref="A32:G38" xr:uid="{30245A54-FF29-408C-9DC4-7885975752F0}"/>
  <tableColumns count="7">
    <tableColumn id="1" xr3:uid="{E9FB393D-74D3-4F7C-ADFB-8B1CD015547A}" name="ITEM" dataDxfId="15"/>
    <tableColumn id="2" xr3:uid="{C3EEB610-69B3-4183-B8FF-3A42D50C9846}" name="MODELO" dataDxfId="14"/>
    <tableColumn id="3" xr3:uid="{E439EB84-7B43-46A6-A4CD-2A60753B96F1}" name="PREÇOS -ESFERA_x000a_  FEDERAL" dataDxfId="13" dataCellStyle="Moeda">
      <calculatedColumnFormula>#REF!</calculatedColumnFormula>
    </tableColumn>
    <tableColumn id="4" xr3:uid="{00A7A24D-A985-4C16-94CD-80A78170474B}" name="PREÇOS - ESFERA_x000a_ ESTADUAL" dataDxfId="12" dataCellStyle="Moeda">
      <calculatedColumnFormula>#REF!</calculatedColumnFormula>
    </tableColumn>
    <tableColumn id="5" xr3:uid="{9F044721-C29B-4AD1-AC28-612575A1272C}" name="PREÇOS -  MERCADO" dataDxfId="11" dataCellStyle="Moeda">
      <calculatedColumnFormula>#REF!</calculatedColumnFormula>
    </tableColumn>
    <tableColumn id="6" xr3:uid="{FD1BFD78-7898-4F95-8A5E-0DF23D5C7F41}" name="MÉDIA FINAL" dataDxfId="10" dataCellStyle="Moeda">
      <calculatedColumnFormula>AVERAGE(Tabela35[[#This Row],[PREÇOS -ESFERA
  FEDERAL]:[PREÇOS -  MERCADO]])</calculatedColumnFormula>
    </tableColumn>
    <tableColumn id="7" xr3:uid="{93D02186-9F85-472A-9B20-BDB164986F99}" name="MÉDIA FINAL_x000a_ COM INSTALAÇÃO" dataDxfId="9" dataCellStyle="Moeda">
      <calculatedColumnFormula>Tabela35[[#This Row],[MÉDIA FINAL]]+INSTALAÇÃO!#REF!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arrefour.com.br/ar-condicionado-split-hi-wall-inverter-lg-voice-ia-r-32-9000-btu-h-frio-s3nq09aa31aeb2gam1-220-volts-mp935299372/p" TargetMode="External"/><Relationship Id="rId3" Type="http://schemas.openxmlformats.org/officeDocument/2006/relationships/hyperlink" Target="https://www.amazon.com.br/Condicionado-Split-LG-Inverter-Compact/dp/B0CG6NK4V8" TargetMode="External"/><Relationship Id="rId7" Type="http://schemas.openxmlformats.org/officeDocument/2006/relationships/hyperlink" Target="https://www.americanas.com.br/produto/7476043635/ar-condicionado-split-inverter-9000-btus-springer-midea-airvolution-connect-high-wall-so-frio-42afvci09s5-38tvci09s5-220v?pfm_index=2&amp;pfm_page=category&amp;pfm_pos=grid&amp;pfm_type=category_page&amp;voltagem=220V&amp;condition=NEW" TargetMode="External"/><Relationship Id="rId2" Type="http://schemas.openxmlformats.org/officeDocument/2006/relationships/hyperlink" Target="https://www.amazon.com.br/Condicionado-Split-LG-Inverter-Compact/dp/B0CG6NK4V8" TargetMode="External"/><Relationship Id="rId1" Type="http://schemas.openxmlformats.org/officeDocument/2006/relationships/hyperlink" Target="https://www.amazon.com.br/Condicionado-Split-LG-Inverter-Compact/dp/B0CG6NK4V8" TargetMode="External"/><Relationship Id="rId6" Type="http://schemas.openxmlformats.org/officeDocument/2006/relationships/hyperlink" Target="https://www.americanas.com.br/produto/7476043635/ar-condicionado-split-inverter-9000-btus-springer-midea-airvolution-connect-high-wall-so-frio-42afvci09s5-38tvci09s5-220v?pfm_index=2&amp;pfm_page=category&amp;pfm_pos=grid&amp;pfm_type=category_page&amp;voltagem=220V&amp;condition=NEW" TargetMode="External"/><Relationship Id="rId5" Type="http://schemas.openxmlformats.org/officeDocument/2006/relationships/hyperlink" Target="https://www.americanas.com.br/produto/7476043635/ar-condicionado-split-inverter-9000-btus-springer-midea-airvolution-connect-high-wall-so-frio-42afvci09s5-38tvci09s5-220v?pfm_index=2&amp;pfm_page=category&amp;pfm_pos=grid&amp;pfm_type=category_page&amp;voltagem=220V&amp;condition=NEW" TargetMode="External"/><Relationship Id="rId10" Type="http://schemas.openxmlformats.org/officeDocument/2006/relationships/hyperlink" Target="https://www.carrefour.com.br/ar-condicionado-split-hi-wall-inverter-lg-voice-ia-r-32-9000-btu-h-frio-s3nq09aa31aeb2gam1-220-volts-mp935299372/p" TargetMode="External"/><Relationship Id="rId4" Type="http://schemas.openxmlformats.org/officeDocument/2006/relationships/hyperlink" Target="https://www.amazon.com.br/Condicionado-Split-LG-Inverter-Compact/dp/B0CG6NK4V8" TargetMode="External"/><Relationship Id="rId9" Type="http://schemas.openxmlformats.org/officeDocument/2006/relationships/hyperlink" Target="https://www.carrefour.com.br/ar-condicionado-split-hi-wall-inverter-lg-voice-ia-r-32-9000-btu-h-frio-s3nq09aa31aeb2gam1-220-volts-mp935299372/p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arrefour.com.br/ar-condicionado-split-hi-wall-inverter-lg-dual-compact-r-32-12000-btu-h-frio-s3nq12jaqal-eb2gam1-220-mp935276013/p" TargetMode="External"/><Relationship Id="rId3" Type="http://schemas.openxmlformats.org/officeDocument/2006/relationships/hyperlink" Target="https://site.fastshop.com.br/ar-condicionado-split-hi-wall-inverter-lg-dual-compact--ia-r-32-12000-btu-h-frio-s3nq12jaqal-eb2gam1---220-volts-42762-44112/p" TargetMode="External"/><Relationship Id="rId7" Type="http://schemas.openxmlformats.org/officeDocument/2006/relationships/hyperlink" Target="https://www.americanas.com.br/produto/7499473169/ar-condicionado-lg-dual-inverter-voice-ai-12-000-btus-frio-s3-q12ja33k-220v?pfm_carac=split-inverter-12000&amp;pfm_index=6&amp;pfm_page=search&amp;pfm_pos=grid&amp;pfm_type=search_page&amp;offerId=66de85f8f85575c569992010" TargetMode="External"/><Relationship Id="rId2" Type="http://schemas.openxmlformats.org/officeDocument/2006/relationships/hyperlink" Target="https://site.fastshop.com.br/ar-condicionado-split-hi-wall-inverter-lg-dual-compact--ia-r-32-12000-btu-h-frio-s3nq12jaqal-eb2gam1---220-volts-42762-44112/p" TargetMode="External"/><Relationship Id="rId1" Type="http://schemas.openxmlformats.org/officeDocument/2006/relationships/hyperlink" Target="https://site.fastshop.com.br/ar-condicionado-split-hi-wall-inverter-lg-dual-compact--ia-r-32-12000-btu-h-frio-s3nq12jaqal-eb2gam1---220-volts-42762-44112/p" TargetMode="External"/><Relationship Id="rId6" Type="http://schemas.openxmlformats.org/officeDocument/2006/relationships/hyperlink" Target="https://www.americanas.com.br/produto/7499473169/ar-condicionado-lg-dual-inverter-voice-ai-12-000-btus-frio-s3-q12ja33k-220v?pfm_carac=split-inverter-12000&amp;pfm_index=6&amp;pfm_page=search&amp;pfm_pos=grid&amp;pfm_type=search_page&amp;offerId=66de85f8f85575c569992010" TargetMode="External"/><Relationship Id="rId11" Type="http://schemas.openxmlformats.org/officeDocument/2006/relationships/hyperlink" Target="https://www.carrefour.com.br/ar-condicionado-split-hi-wall-inverter-lg-dual-compact-r-32-12000-btu-h-frio-s3nq12jaqal-eb2gam1-220-mp935276013/p" TargetMode="External"/><Relationship Id="rId5" Type="http://schemas.openxmlformats.org/officeDocument/2006/relationships/hyperlink" Target="https://www.americanas.com.br/produto/7499473169/ar-condicionado-lg-dual-inverter-voice-ai-12-000-btus-frio-s3-q12ja33k-220v?pfm_carac=split-inverter-12000&amp;pfm_index=6&amp;pfm_page=search&amp;pfm_pos=grid&amp;pfm_type=search_page&amp;offerId=66de85f8f85575c569992010" TargetMode="External"/><Relationship Id="rId10" Type="http://schemas.openxmlformats.org/officeDocument/2006/relationships/hyperlink" Target="https://www.carrefour.com.br/ar-condicionado-split-hi-wall-inverter-lg-dual-compact-r-32-12000-btu-h-frio-s3nq12jaqal-eb2gam1-220-mp935276013/p" TargetMode="External"/><Relationship Id="rId4" Type="http://schemas.openxmlformats.org/officeDocument/2006/relationships/hyperlink" Target="https://site.fastshop.com.br/ar-condicionado-split-hi-wall-inverter-lg-dual-compact--ia-r-32-12000-btu-h-frio-s3nq12jaqal-eb2gam1---220-volts-42762-44112/p" TargetMode="External"/><Relationship Id="rId9" Type="http://schemas.openxmlformats.org/officeDocument/2006/relationships/hyperlink" Target="https://www.carrefour.com.br/ar-condicionado-split-hi-wall-inverter-lg-dual-compact-r-32-12000-btu-h-frio-s3nq12jaqal-eb2gam1-220-mp935276013/p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https://site.fastshop.com.br/ar-condicionado-split-hi-wall-inverter-lg-dual-compact--ia-r-32-18000-btu-h-frio-s3nq18klqal-eb2gam1--220-volts-42767-44117/p" TargetMode="External"/><Relationship Id="rId3" Type="http://schemas.openxmlformats.org/officeDocument/2006/relationships/hyperlink" Target="https://www.americanas.com.br/produto/7494259966/ar-condicionado-split-hw-inverter-lg-dual-voice-ia-19000-btus-frio-220v-s3nq18kl31b-eb2gam1?offerId=662912e717c6b5c0e1a9d28f&amp;opn=YSMESP&amp;epar=bp_pl_px_go_pmax_clima_3p_split_pa_2&amp;gclsrc=aw.ds&amp;gad_source=1&amp;gclid=Cj0KCQjwt4a2BhD6ARIsALgH7DovNWnVUWp-NIFYW-82FRhepnbStlcKEAHKBB2FS185kWVPE7tZYMUaAn6xEALw_wcB&amp;cor=Branco%2Fbranco&amp;voltagem=220V%2F220V&amp;condition=NEW" TargetMode="External"/><Relationship Id="rId7" Type="http://schemas.openxmlformats.org/officeDocument/2006/relationships/hyperlink" Target="https://site.fastshop.com.br/ar-condicionado-split-hi-wall-inverter-lg-dual-compact--ia-r-32-18000-btu-h-frio-s3nq18klqal-eb2gam1--220-volts-42767-44117/p" TargetMode="External"/><Relationship Id="rId12" Type="http://schemas.openxmlformats.org/officeDocument/2006/relationships/hyperlink" Target="https://www.carrefour.com.br/ar-condicionado-split-hi-wall-inverter-lg-dual-compact-r-32-18000-btu-h-frio-s3nq18klqal-eb2gam1-220-mp935410129/p" TargetMode="External"/><Relationship Id="rId2" Type="http://schemas.openxmlformats.org/officeDocument/2006/relationships/hyperlink" Target="https://www.americanas.com.br/produto/7494259966/ar-condicionado-split-hw-inverter-lg-dual-voice-ia-19000-btus-frio-220v-s3nq18kl31b-eb2gam1?offerId=662912e717c6b5c0e1a9d28f&amp;opn=YSMESP&amp;epar=bp_pl_px_go_pmax_clima_3p_split_pa_2&amp;gclsrc=aw.ds&amp;gad_source=1&amp;gclid=Cj0KCQjwt4a2BhD6ARIsALgH7DovNWnVUWp-NIFYW-82FRhepnbStlcKEAHKBB2FS185kWVPE7tZYMUaAn6xEALw_wcB&amp;cor=Branco%2Fbranco&amp;voltagem=220V%2F220V&amp;condition=NEW" TargetMode="External"/><Relationship Id="rId1" Type="http://schemas.openxmlformats.org/officeDocument/2006/relationships/hyperlink" Target="https://www.americanas.com.br/produto/7494259966/ar-condicionado-split-hw-inverter-lg-dual-voice-ia-19000-btus-frio-220v-s3nq18kl31b-eb2gam1?offerId=662912e717c6b5c0e1a9d28f&amp;opn=YSMESP&amp;epar=bp_pl_px_go_pmax_clima_3p_split_pa_2&amp;gclsrc=aw.ds&amp;gad_source=1&amp;gclid=Cj0KCQjwt4a2BhD6ARIsALgH7DovNWnVUWp-NIFYW-82FRhepnbStlcKEAHKBB2FS185kWVPE7tZYMUaAn6xEALw_wcB&amp;cor=Branco%2Fbranco&amp;voltagem=220V%2F220V&amp;condition=NEW" TargetMode="External"/><Relationship Id="rId6" Type="http://schemas.openxmlformats.org/officeDocument/2006/relationships/hyperlink" Target="https://site.fastshop.com.br/ar-condicionado-split-hi-wall-inverter-lg-dual-compact--ia-r-32-18000-btu-h-frio-s3nq18klqal-eb2gam1--220-volts-42767-44117/p" TargetMode="External"/><Relationship Id="rId11" Type="http://schemas.openxmlformats.org/officeDocument/2006/relationships/hyperlink" Target="https://www.carrefour.com.br/ar-condicionado-split-hi-wall-inverter-lg-dual-compact-r-32-18000-btu-h-frio-s3nq18klqal-eb2gam1-220-mp935410129/p" TargetMode="External"/><Relationship Id="rId5" Type="http://schemas.openxmlformats.org/officeDocument/2006/relationships/hyperlink" Target="https://site.fastshop.com.br/ar-condicionado-split-hi-wall-inverter-lg-dual-compact--ia-r-32-18000-btu-h-frio-s3nq18klqal-eb2gam1--220-volts-42767-44117/p" TargetMode="External"/><Relationship Id="rId10" Type="http://schemas.openxmlformats.org/officeDocument/2006/relationships/hyperlink" Target="https://www.carrefour.com.br/ar-condicionado-split-hi-wall-inverter-lg-dual-compact-r-32-18000-btu-h-frio-s3nq18klqal-eb2gam1-220-mp935410129/p" TargetMode="External"/><Relationship Id="rId4" Type="http://schemas.openxmlformats.org/officeDocument/2006/relationships/hyperlink" Target="https://www.americanas.com.br/produto/7494259966/ar-condicionado-split-hw-inverter-lg-dual-voice-ia-19000-btus-frio-220v-s3nq18kl31b-eb2gam1?offerId=662912e717c6b5c0e1a9d28f&amp;opn=YSMESP&amp;epar=bp_pl_px_go_pmax_clima_3p_split_pa_2&amp;gclsrc=aw.ds&amp;gad_source=1&amp;gclid=Cj0KCQjwt4a2BhD6ARIsALgH7DovNWnVUWp-NIFYW-82FRhepnbStlcKEAHKBB2FS185kWVPE7tZYMUaAn6xEALw_wcB&amp;cor=Branco%2Fbranco&amp;voltagem=220V%2F220V&amp;condition=NEW" TargetMode="External"/><Relationship Id="rId9" Type="http://schemas.openxmlformats.org/officeDocument/2006/relationships/hyperlink" Target="https://www.carrefour.com.br/ar-condicionado-split-hi-wall-inverter-lg-dual-compact-r-32-18000-btu-h-frio-s3nq18klqal-eb2gam1-220-mp935410129/p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arrefour.com.br/ar-condicionado-split-elgin-eco-inverter-ii-wi-fi-24000-btus-frio-220v-hjfe24c2cc-mp940300509/p" TargetMode="External"/><Relationship Id="rId3" Type="http://schemas.openxmlformats.org/officeDocument/2006/relationships/hyperlink" Target="https://site.fastshop.com.br/ar-condicionado-split-hi-wall-elgin-eco-inverter-24000-btu-h-frio-45hjfi24c2wc---220-volts-79991-83476/p" TargetMode="External"/><Relationship Id="rId7" Type="http://schemas.openxmlformats.org/officeDocument/2006/relationships/hyperlink" Target="https://www.carrefour.com.br/ar-condicionado-split-elgin-eco-inverter-ii-wi-fi-24000-btus-frio-220v-hjfe24c2cc-mp940300509/p" TargetMode="External"/><Relationship Id="rId2" Type="http://schemas.openxmlformats.org/officeDocument/2006/relationships/hyperlink" Target="https://site.fastshop.com.br/ar-condicionado-split-hi-wall-elgin-eco-inverter-24000-btu-h-frio-45hjfi24c2wc---220-volts-79991-83476/p" TargetMode="External"/><Relationship Id="rId1" Type="http://schemas.openxmlformats.org/officeDocument/2006/relationships/hyperlink" Target="https://site.fastshop.com.br/ar-condicionado-split-hi-wall-elgin-eco-inverter-24000-btu-h-frio-45hjfi24c2wc---220-volts-79991-83476/p" TargetMode="External"/><Relationship Id="rId6" Type="http://schemas.openxmlformats.org/officeDocument/2006/relationships/hyperlink" Target="https://www.americanas.com.br/produto/7514466852/ar-condicionado-split-hi-wall-elgin-r-32-eco-inverter-ii-wifi-24000-btus-frio-220v-monofasico?pfm_carac=split-inverter-24000&amp;pfm_index=1&amp;pfm_page=search&amp;pfm_pos=grid&amp;pfm_type=search_page&amp;offerId=6787a7cbf85575c569c5c570&amp;cor=Bege%2Fbranca&amp;voltagem=220V%2F220V&amp;condition=NEW" TargetMode="External"/><Relationship Id="rId5" Type="http://schemas.openxmlformats.org/officeDocument/2006/relationships/hyperlink" Target="https://www.americanas.com.br/produto/7514466852/ar-condicionado-split-hi-wall-elgin-r-32-eco-inverter-ii-wifi-24000-btus-frio-220v-monofasico?pfm_carac=split-inverter-24000&amp;pfm_index=1&amp;pfm_page=search&amp;pfm_pos=grid&amp;pfm_type=search_page&amp;offerId=6787a7cbf85575c569c5c570&amp;cor=Bege%2Fbranca&amp;voltagem=220V%2F220V&amp;condition=NEW" TargetMode="External"/><Relationship Id="rId4" Type="http://schemas.openxmlformats.org/officeDocument/2006/relationships/hyperlink" Target="https://www.americanas.com.br/produto/7514466852/ar-condicionado-split-hi-wall-elgin-r-32-eco-inverter-ii-wifi-24000-btus-frio-220v-monofasico?pfm_carac=split-inverter-24000&amp;pfm_index=1&amp;pfm_page=search&amp;pfm_pos=grid&amp;pfm_type=search_page&amp;offerId=6787a7cbf85575c569c5c570&amp;cor=Bege%2Fbranca&amp;voltagem=220V%2F220V&amp;condition=NEW" TargetMode="External"/><Relationship Id="rId9" Type="http://schemas.openxmlformats.org/officeDocument/2006/relationships/hyperlink" Target="https://www.carrefour.com.br/ar-condicionado-split-elgin-eco-inverter-ii-wi-fi-24000-btus-frio-220v-hjfe24c2cc-mp940300509/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pontofrio.com.br/ar-condicionado-split-inverter-30000-btus-springer-midea-xtreme-save-connect-high-wall-so-frio-42agvcc30m5-38agvcc30m5-220v-1568628135/p/1568628135?utm_medium=cpc&amp;utm_source=GP_PLA&amp;IdSku=1568628135&amp;idLojista=26460&amp;tipoLojista=3P&amp;gclsrc=aw.ds&amp;&amp;utm_campaign=3p_gg_pmax_arve&amp;gad_source=1&amp;gclid=Cj0KCQjw2ou2BhCCARIsANAwM2GC5xxUS4osAF9XfR6cKZskcay5uimxl6v76W1diSHdzs8-ABtpCfQaAiTrEALw_wcB" TargetMode="External"/><Relationship Id="rId2" Type="http://schemas.openxmlformats.org/officeDocument/2006/relationships/hyperlink" Target="https://www.pontofrio.com.br/ar-condicionado-split-inverter-30000-btus-springer-midea-xtreme-save-connect-high-wall-so-frio-42agvcc30m5-38agvcc30m5-220v-1568628135/p/1568628135?utm_medium=cpc&amp;utm_source=GP_PLA&amp;IdSku=1568628135&amp;idLojista=26460&amp;tipoLojista=3P&amp;gclsrc=aw.ds&amp;&amp;utm_campaign=3p_gg_pmax_arve&amp;gad_source=1&amp;gclid=Cj0KCQjw2ou2BhCCARIsANAwM2GC5xxUS4osAF9XfR6cKZskcay5uimxl6v76W1diSHdzs8-ABtpCfQaAiTrEALw_wcB" TargetMode="External"/><Relationship Id="rId1" Type="http://schemas.openxmlformats.org/officeDocument/2006/relationships/hyperlink" Target="https://www.frigelar.com.br/ar-condicionado-split-inverter-30000-btus-springer-midea-xtreme-save-connect-high-wall-frio-42agvcc30m5-38agvcc30m5-220v/p/kit10301?gad_source=1&amp;gclid=Cj0KCQjw2ou2BhCCARIsANAwM2GbgsfqmS3gDEmnXUUPuOR-KCWEF_Am0aT9BxQStM3Ao1CKUXINpZkaAvWvEALw_wcB" TargetMode="External"/><Relationship Id="rId6" Type="http://schemas.openxmlformats.org/officeDocument/2006/relationships/hyperlink" Target="https://www.magazineluiza.com.br/ar-condicionado-split-hi-wall-inverter-elgin-30000-btus-frio-eco-inverter-ii-wi-fi-220v/p/fb8fhej6d4/ar/arsp/" TargetMode="External"/><Relationship Id="rId5" Type="http://schemas.openxmlformats.org/officeDocument/2006/relationships/hyperlink" Target="https://www.magazineluiza.com.br/ar-condicionado-split-hi-wall-inverter-elgin-30000-btus-frio-eco-inverter-ii-wi-fi-220v/p/fb8fhej6d4/ar/arsp/" TargetMode="External"/><Relationship Id="rId4" Type="http://schemas.openxmlformats.org/officeDocument/2006/relationships/hyperlink" Target="https://www.frigelar.com.br/ar-condicionado-split-inverter-30000-btus-springer-midea-xtreme-save-connect-high-wall-frio-42agvcc30m5-38agvcc30m5-220v/p/kit10301?gad_source=1&amp;gclid=Cj0KCQjw2ou2BhCCARIsANAwM2GbgsfqmS3gDEmnXUUPuOR-KCWEF_Am0aT9BxQStM3Ao1CKUXINpZkaAvWvEALw_wcB" TargetMode="Externa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ericanas.com.br/produto/7504190682/ar-condicionado-split-piso-teto-inverter-gree-60000-btus-frio-g-prime-plus-220v-monofasico?pfm_carac=ar-condicionado-60000-btus&amp;pfm_index=19&amp;pfm_page=search&amp;pfm_pos=grid&amp;pfm_type=search_page&amp;offerId=66c33d92f85575c5699c8175&amp;cor=Branco&amp;voltagem=220V&amp;condition=NEW" TargetMode="External"/><Relationship Id="rId3" Type="http://schemas.openxmlformats.org/officeDocument/2006/relationships/hyperlink" Target="https://www.carrefour.com.br/ar-condicionado-split-teto-carrier-xperience-60000-btu-h-frio-trifasico-42zqb60c5-220-volts-mp936647752/p?utm_medium=sem&amp;utm_source=google_pmax_3p&amp;utm_campaign=3p_performancemax_todos_os_produtos&amp;gad_source=1&amp;gclid=CjwKCAiA-ty8BhA_EiwAkyoa34M8-GUFNaVIVRTj6_D7nkGFlhpoKGHFsyd5leUv_yA3oxeJHJwEhxoC9d8QAvD_BwE" TargetMode="External"/><Relationship Id="rId7" Type="http://schemas.openxmlformats.org/officeDocument/2006/relationships/hyperlink" Target="https://www.americanas.com.br/produto/7504190682/ar-condicionado-split-piso-teto-inverter-gree-60000-btus-frio-g-prime-plus-220v-monofasico?pfm_carac=ar-condicionado-60000-btus&amp;pfm_index=19&amp;pfm_page=search&amp;pfm_pos=grid&amp;pfm_type=search_page&amp;offerId=66c33d92f85575c5699c8175&amp;cor=Branco&amp;voltagem=220V&amp;condition=NEW" TargetMode="External"/><Relationship Id="rId2" Type="http://schemas.openxmlformats.org/officeDocument/2006/relationships/hyperlink" Target="https://www.carrefour.com.br/ar-condicionado-split-teto-carrier-xperience-60000-btu-h-frio-trifasico-42zqb60c5-220-volts-mp936647752/p?utm_medium=sem&amp;utm_source=google_pmax_3p&amp;utm_campaign=3p_performancemax_todos_os_produtos&amp;gad_source=1&amp;gclid=CjwKCAiA-ty8BhA_EiwAkyoa34M8-GUFNaVIVRTj6_D7nkGFlhpoKGHFsyd5leUv_yA3oxeJHJwEhxoC9d8QAvD_BwE" TargetMode="External"/><Relationship Id="rId1" Type="http://schemas.openxmlformats.org/officeDocument/2006/relationships/hyperlink" Target="https://www.carrefour.com.br/ar-condicionado-split-teto-carrier-xperience-60000-btu-h-frio-trifasico-42zqb60c5-220-volts-mp936647752/p?utm_medium=sem&amp;utm_source=google_pmax_3p&amp;utm_campaign=3p_performancemax_todos_os_produtos&amp;gad_source=1&amp;gclid=CjwKCAiA-ty8BhA_EiwAkyoa34M8-GUFNaVIVRTj6_D7nkGFlhpoKGHFsyd5leUv_yA3oxeJHJwEhxoC9d8QAvD_BwE" TargetMode="External"/><Relationship Id="rId6" Type="http://schemas.openxmlformats.org/officeDocument/2006/relationships/hyperlink" Target="https://www.magazineluiza.com.br/ar-condicionado-split-inverter-piso-teto-60000-btus-philco-so-frio-pac60000ipfm15-220v/p/fkg0ff68c0/ar/aciv/?seller_id=arprixdistribuidora&amp;region_id=123481&amp;utm_source=google&amp;utm_medium=cpc&amp;utm_term=76911&amp;utm_campaign=google_eco_per_ven_pla_arp_sor_3p_ar-b&amp;utm_content=&amp;partner_id=76911&amp;gclsrc=aw.ds&amp;gad_source=1&amp;gclid=CjwKCAiA-ty8BhA_EiwAkyoa36XwiJoSPpNJDwETqHpw-ljPYSNOXuegPY66KrO7pHJ065bBc2bIDxoCsOEQAvD_BwE" TargetMode="External"/><Relationship Id="rId5" Type="http://schemas.openxmlformats.org/officeDocument/2006/relationships/hyperlink" Target="https://www.magazineluiza.com.br/ar-condicionado-split-inverter-piso-teto-60000-btus-philco-so-frio-pac60000ipfm15-220v/p/fkg0ff68c0/ar/aciv/?seller_id=arprixdistribuidora&amp;region_id=123481&amp;utm_source=google&amp;utm_medium=cpc&amp;utm_term=76911&amp;utm_campaign=google_eco_per_ven_pla_arp_sor_3p_ar-b&amp;utm_content=&amp;partner_id=76911&amp;gclsrc=aw.ds&amp;gad_source=1&amp;gclid=CjwKCAiA-ty8BhA_EiwAkyoa36XwiJoSPpNJDwETqHpw-ljPYSNOXuegPY66KrO7pHJ065bBc2bIDxoCsOEQAvD_BwE" TargetMode="External"/><Relationship Id="rId4" Type="http://schemas.openxmlformats.org/officeDocument/2006/relationships/hyperlink" Target="https://www.magazineluiza.com.br/ar-condicionado-split-inverter-piso-teto-60000-btus-philco-so-frio-pac60000ipfm15-220v/p/fkg0ff68c0/ar/aciv/?seller_id=arprixdistribuidora&amp;region_id=123481&amp;utm_source=google&amp;utm_medium=cpc&amp;utm_term=76911&amp;utm_campaign=google_eco_per_ven_pla_arp_sor_3p_ar-b&amp;utm_content=&amp;partner_id=76911&amp;gclsrc=aw.ds&amp;gad_source=1&amp;gclid=CjwKCAiA-ty8BhA_EiwAkyoa36XwiJoSPpNJDwETqHpw-ljPYSNOXuegPY66KrO7pHJ065bBc2bIDxoCsOEQAvD_BwE" TargetMode="External"/><Relationship Id="rId9" Type="http://schemas.openxmlformats.org/officeDocument/2006/relationships/hyperlink" Target="https://www.americanas.com.br/produto/7504190682/ar-condicionado-split-piso-teto-inverter-gree-60000-btus-frio-g-prime-plus-220v-monofasico?pfm_carac=ar-condicionado-60000-btus&amp;pfm_index=19&amp;pfm_page=search&amp;pfm_pos=grid&amp;pfm_type=search_page&amp;offerId=66c33d92f85575c5699c8175&amp;cor=Branco&amp;voltagem=220V&amp;condition=NEW" TargetMode="Externa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4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AF006-8977-493C-9C2B-1B7FA5F88470}">
  <sheetPr>
    <tabColor rgb="FF00B050"/>
  </sheetPr>
  <dimension ref="A1:N39"/>
  <sheetViews>
    <sheetView showGridLines="0" topLeftCell="A27" workbookViewId="0">
      <selection activeCell="E51" sqref="E51"/>
    </sheetView>
  </sheetViews>
  <sheetFormatPr defaultRowHeight="15"/>
  <cols>
    <col min="1" max="1" width="13.85546875" customWidth="1"/>
    <col min="3" max="3" width="13.42578125" customWidth="1"/>
    <col min="5" max="5" width="10.85546875" customWidth="1"/>
    <col min="6" max="6" width="24.28515625" customWidth="1"/>
    <col min="7" max="7" width="26.7109375" customWidth="1"/>
    <col min="8" max="8" width="12.7109375" customWidth="1"/>
    <col min="9" max="9" width="1.5703125" customWidth="1"/>
    <col min="11" max="11" width="12" customWidth="1"/>
    <col min="12" max="12" width="11" customWidth="1"/>
    <col min="13" max="13" width="11.42578125" customWidth="1"/>
    <col min="14" max="14" width="11.85546875" customWidth="1"/>
  </cols>
  <sheetData>
    <row r="1" spans="1:14" ht="18.75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6" spans="1:14" ht="21.75" customHeight="1">
      <c r="A6" s="228" t="s">
        <v>1</v>
      </c>
      <c r="B6" s="228"/>
      <c r="C6" s="228"/>
      <c r="D6" s="228"/>
      <c r="E6" s="228"/>
      <c r="F6" s="228"/>
      <c r="G6" s="228"/>
      <c r="H6" s="228"/>
      <c r="J6" s="228" t="s">
        <v>1</v>
      </c>
      <c r="K6" s="228"/>
      <c r="L6" s="228"/>
      <c r="M6" s="228"/>
      <c r="N6" s="228"/>
    </row>
    <row r="7" spans="1:14" ht="24" customHeight="1">
      <c r="A7" s="228" t="s">
        <v>2</v>
      </c>
      <c r="B7" s="228"/>
      <c r="C7" s="228"/>
      <c r="D7" s="228"/>
      <c r="E7" s="228"/>
      <c r="F7" s="228"/>
      <c r="G7" s="228"/>
      <c r="H7" s="228"/>
      <c r="J7" s="229" t="s">
        <v>3</v>
      </c>
      <c r="K7" s="229"/>
      <c r="L7" s="229"/>
      <c r="M7" s="229"/>
      <c r="N7" s="229"/>
    </row>
    <row r="8" spans="1:14" ht="45">
      <c r="A8" s="1" t="s">
        <v>4</v>
      </c>
      <c r="B8" s="1" t="s">
        <v>5</v>
      </c>
      <c r="C8" s="1" t="s">
        <v>6</v>
      </c>
      <c r="D8" s="1" t="s">
        <v>7</v>
      </c>
      <c r="E8" s="125" t="s">
        <v>8</v>
      </c>
      <c r="F8" s="125" t="s">
        <v>9</v>
      </c>
      <c r="G8" s="125" t="s">
        <v>10</v>
      </c>
      <c r="H8" s="125" t="s">
        <v>11</v>
      </c>
      <c r="J8" s="1" t="s">
        <v>12</v>
      </c>
      <c r="K8" s="1" t="s">
        <v>13</v>
      </c>
      <c r="L8" s="1" t="s">
        <v>14</v>
      </c>
      <c r="M8" s="1" t="s">
        <v>15</v>
      </c>
      <c r="N8" s="1" t="s">
        <v>16</v>
      </c>
    </row>
    <row r="9" spans="1:14" ht="106.5">
      <c r="A9" s="126" t="s">
        <v>17</v>
      </c>
      <c r="B9" s="126">
        <v>458194</v>
      </c>
      <c r="C9" s="126" t="s">
        <v>18</v>
      </c>
      <c r="D9" s="127">
        <v>43</v>
      </c>
      <c r="E9" s="128">
        <v>1660</v>
      </c>
      <c r="F9" s="129" t="s">
        <v>19</v>
      </c>
      <c r="G9" s="129" t="s">
        <v>20</v>
      </c>
      <c r="H9" s="130">
        <v>45785</v>
      </c>
      <c r="J9" s="230">
        <f>_xlfn.STDEV.S(E9:E13)</f>
        <v>237.64063274196289</v>
      </c>
      <c r="K9" s="232">
        <f>(J9/E15)*100</f>
        <v>12.504479623812273</v>
      </c>
      <c r="L9" s="230">
        <f>E15+J9</f>
        <v>2138.0846327419627</v>
      </c>
      <c r="M9" s="230">
        <f>E15-J9</f>
        <v>1662.803367258037</v>
      </c>
      <c r="N9" s="8"/>
    </row>
    <row r="10" spans="1:14" ht="76.5">
      <c r="A10" s="126" t="s">
        <v>17</v>
      </c>
      <c r="B10" s="126">
        <v>458194</v>
      </c>
      <c r="C10" s="126" t="s">
        <v>18</v>
      </c>
      <c r="D10" s="127">
        <v>57</v>
      </c>
      <c r="E10" s="128">
        <v>1683.13</v>
      </c>
      <c r="F10" s="129" t="s">
        <v>21</v>
      </c>
      <c r="G10" s="131" t="s">
        <v>22</v>
      </c>
      <c r="H10" s="132">
        <v>45749</v>
      </c>
      <c r="J10" s="231"/>
      <c r="K10" s="233"/>
      <c r="L10" s="231"/>
      <c r="M10" s="231"/>
      <c r="N10" s="8">
        <f>E10</f>
        <v>1683.13</v>
      </c>
    </row>
    <row r="11" spans="1:14" ht="60.75">
      <c r="A11" s="126" t="s">
        <v>17</v>
      </c>
      <c r="B11" s="126">
        <v>458194</v>
      </c>
      <c r="C11" s="126" t="s">
        <v>18</v>
      </c>
      <c r="D11" s="127">
        <v>41</v>
      </c>
      <c r="E11" s="128">
        <v>1950</v>
      </c>
      <c r="F11" s="129" t="s">
        <v>23</v>
      </c>
      <c r="G11" s="131" t="s">
        <v>24</v>
      </c>
      <c r="H11" s="132">
        <v>45800</v>
      </c>
      <c r="J11" s="231"/>
      <c r="K11" s="233"/>
      <c r="L11" s="231"/>
      <c r="M11" s="231"/>
      <c r="N11" s="8">
        <f>E11</f>
        <v>1950</v>
      </c>
    </row>
    <row r="12" spans="1:14" ht="45.75">
      <c r="A12" s="126" t="s">
        <v>17</v>
      </c>
      <c r="B12" s="126">
        <v>458194</v>
      </c>
      <c r="C12" s="126" t="s">
        <v>18</v>
      </c>
      <c r="D12" s="127">
        <v>18</v>
      </c>
      <c r="E12" s="128">
        <v>1972.1</v>
      </c>
      <c r="F12" s="131" t="s">
        <v>25</v>
      </c>
      <c r="G12" s="131" t="s">
        <v>22</v>
      </c>
      <c r="H12" s="132">
        <v>45749</v>
      </c>
      <c r="J12" s="231"/>
      <c r="K12" s="233"/>
      <c r="L12" s="231"/>
      <c r="M12" s="231"/>
      <c r="N12" s="8">
        <f>E12</f>
        <v>1972.1</v>
      </c>
    </row>
    <row r="13" spans="1:14" ht="45.75">
      <c r="A13" s="126" t="s">
        <v>17</v>
      </c>
      <c r="B13" s="126">
        <v>458194</v>
      </c>
      <c r="C13" s="126" t="s">
        <v>18</v>
      </c>
      <c r="D13" s="127">
        <v>6</v>
      </c>
      <c r="E13" s="128">
        <v>2236.9899999999998</v>
      </c>
      <c r="F13" s="131" t="s">
        <v>26</v>
      </c>
      <c r="G13" s="131" t="s">
        <v>27</v>
      </c>
      <c r="H13" s="130">
        <v>45735</v>
      </c>
      <c r="J13" s="235"/>
      <c r="K13" s="236"/>
      <c r="L13" s="235"/>
      <c r="M13" s="235"/>
      <c r="N13" s="8"/>
    </row>
    <row r="14" spans="1:14">
      <c r="A14" s="126"/>
      <c r="B14" s="126"/>
      <c r="C14" s="126"/>
      <c r="D14" s="127"/>
      <c r="E14" s="194"/>
      <c r="F14" s="195"/>
      <c r="G14" s="195"/>
      <c r="H14" s="196"/>
      <c r="J14" s="172"/>
      <c r="K14" s="193"/>
      <c r="L14" s="172"/>
      <c r="M14" s="172"/>
      <c r="N14" s="8"/>
    </row>
    <row r="15" spans="1:14">
      <c r="A15" s="226" t="s">
        <v>28</v>
      </c>
      <c r="B15" s="226"/>
      <c r="C15" s="226"/>
      <c r="D15" s="226"/>
      <c r="E15" s="82">
        <f>AVERAGE(E9:E13)</f>
        <v>1900.444</v>
      </c>
      <c r="J15" s="227" t="s">
        <v>16</v>
      </c>
      <c r="K15" s="227"/>
      <c r="L15" s="227"/>
      <c r="M15" s="227"/>
      <c r="N15" s="2">
        <f>AVERAGE(N9:N13)</f>
        <v>1868.4099999999999</v>
      </c>
    </row>
    <row r="22" spans="1:14">
      <c r="A22" s="228" t="s">
        <v>29</v>
      </c>
      <c r="B22" s="228"/>
      <c r="C22" s="228"/>
      <c r="D22" s="228"/>
      <c r="E22" s="228"/>
      <c r="F22" s="228"/>
      <c r="G22" s="228"/>
      <c r="H22" s="228"/>
      <c r="J22" s="228" t="s">
        <v>29</v>
      </c>
      <c r="K22" s="228"/>
      <c r="L22" s="228"/>
      <c r="M22" s="228"/>
      <c r="N22" s="228"/>
    </row>
    <row r="23" spans="1:14">
      <c r="A23" s="228" t="s">
        <v>2</v>
      </c>
      <c r="B23" s="228"/>
      <c r="C23" s="228"/>
      <c r="D23" s="228"/>
      <c r="E23" s="228"/>
      <c r="F23" s="228"/>
      <c r="G23" s="228"/>
      <c r="H23" s="228"/>
      <c r="J23" s="229" t="s">
        <v>3</v>
      </c>
      <c r="K23" s="229"/>
      <c r="L23" s="229"/>
      <c r="M23" s="229"/>
      <c r="N23" s="229"/>
    </row>
    <row r="24" spans="1:14" ht="45.75">
      <c r="A24" s="1" t="s">
        <v>4</v>
      </c>
      <c r="B24" s="1" t="s">
        <v>5</v>
      </c>
      <c r="C24" s="1" t="s">
        <v>6</v>
      </c>
      <c r="D24" s="1" t="s">
        <v>7</v>
      </c>
      <c r="E24" s="1" t="s">
        <v>8</v>
      </c>
      <c r="F24" s="1" t="s">
        <v>9</v>
      </c>
      <c r="G24" s="1" t="s">
        <v>10</v>
      </c>
      <c r="H24" s="1" t="s">
        <v>11</v>
      </c>
      <c r="J24" s="1" t="s">
        <v>12</v>
      </c>
      <c r="K24" s="1" t="s">
        <v>13</v>
      </c>
      <c r="L24" s="1" t="s">
        <v>14</v>
      </c>
      <c r="M24" s="1" t="s">
        <v>15</v>
      </c>
      <c r="N24" s="125" t="s">
        <v>16</v>
      </c>
    </row>
    <row r="25" spans="1:14" ht="45.75">
      <c r="A25" s="126" t="s">
        <v>17</v>
      </c>
      <c r="B25" s="126">
        <v>458194</v>
      </c>
      <c r="C25" s="126" t="s">
        <v>18</v>
      </c>
      <c r="D25" s="126">
        <v>10</v>
      </c>
      <c r="E25" s="133">
        <v>1800</v>
      </c>
      <c r="F25" s="198" t="s">
        <v>30</v>
      </c>
      <c r="G25" s="198" t="s">
        <v>31</v>
      </c>
      <c r="H25" s="199">
        <v>45700</v>
      </c>
      <c r="J25" s="230">
        <f>_xlfn.STDEV.S(E25:E27)</f>
        <v>150.21234347860147</v>
      </c>
      <c r="K25" s="232">
        <f>(J25/E28)*100</f>
        <v>7.7236879796623592</v>
      </c>
      <c r="L25" s="230">
        <f>E28+J25</f>
        <v>2095.0390101452681</v>
      </c>
      <c r="M25" s="237">
        <f>E28-J25</f>
        <v>1794.6143231880651</v>
      </c>
      <c r="N25" s="200">
        <f>E25</f>
        <v>1800</v>
      </c>
    </row>
    <row r="26" spans="1:14" ht="45.75">
      <c r="A26" s="126" t="s">
        <v>17</v>
      </c>
      <c r="B26" s="126">
        <v>458194</v>
      </c>
      <c r="C26" s="126" t="s">
        <v>32</v>
      </c>
      <c r="D26" s="126">
        <v>16</v>
      </c>
      <c r="E26" s="197">
        <v>1934.58</v>
      </c>
      <c r="F26" s="131" t="s">
        <v>33</v>
      </c>
      <c r="G26" s="131" t="s">
        <v>34</v>
      </c>
      <c r="H26" s="130">
        <v>45744</v>
      </c>
      <c r="J26" s="231"/>
      <c r="K26" s="233"/>
      <c r="L26" s="231"/>
      <c r="M26" s="238"/>
      <c r="N26" s="200">
        <f>E26</f>
        <v>1934.58</v>
      </c>
    </row>
    <row r="27" spans="1:14" ht="45.75">
      <c r="A27" s="126" t="s">
        <v>17</v>
      </c>
      <c r="B27" s="126">
        <v>458194</v>
      </c>
      <c r="C27" s="126" t="s">
        <v>18</v>
      </c>
      <c r="D27" s="126">
        <v>2</v>
      </c>
      <c r="E27" s="197">
        <v>2099.9</v>
      </c>
      <c r="F27" s="131" t="s">
        <v>35</v>
      </c>
      <c r="G27" s="131" t="s">
        <v>36</v>
      </c>
      <c r="H27" s="130">
        <v>45797</v>
      </c>
      <c r="J27" s="235"/>
      <c r="K27" s="236"/>
      <c r="L27" s="235"/>
      <c r="M27" s="239"/>
      <c r="N27" s="200"/>
    </row>
    <row r="28" spans="1:14">
      <c r="A28" s="226" t="s">
        <v>28</v>
      </c>
      <c r="B28" s="226"/>
      <c r="C28" s="226"/>
      <c r="D28" s="226"/>
      <c r="E28" s="6">
        <f>AVERAGE(E25:E27)</f>
        <v>1944.8266666666666</v>
      </c>
      <c r="J28" s="227" t="s">
        <v>16</v>
      </c>
      <c r="K28" s="227"/>
      <c r="L28" s="227"/>
      <c r="M28" s="227"/>
      <c r="N28" s="140">
        <f>AVERAGE(N25:N26)</f>
        <v>1867.29</v>
      </c>
    </row>
    <row r="32" spans="1:14">
      <c r="C32" s="37"/>
    </row>
    <row r="33" spans="1:14">
      <c r="A33" s="228" t="s">
        <v>37</v>
      </c>
      <c r="B33" s="228"/>
      <c r="C33" s="228"/>
      <c r="D33" s="228"/>
      <c r="E33" s="228"/>
      <c r="F33" s="228"/>
      <c r="G33" s="228"/>
      <c r="H33" s="228"/>
      <c r="J33" s="228" t="s">
        <v>1</v>
      </c>
      <c r="K33" s="228"/>
      <c r="L33" s="228"/>
      <c r="M33" s="228"/>
      <c r="N33" s="228"/>
    </row>
    <row r="34" spans="1:14">
      <c r="A34" s="228" t="s">
        <v>2</v>
      </c>
      <c r="B34" s="228"/>
      <c r="C34" s="228"/>
      <c r="D34" s="228"/>
      <c r="E34" s="228"/>
      <c r="F34" s="228"/>
      <c r="G34" s="228"/>
      <c r="H34" s="228"/>
      <c r="J34" s="229" t="s">
        <v>3</v>
      </c>
      <c r="K34" s="229"/>
      <c r="L34" s="229"/>
      <c r="M34" s="229"/>
      <c r="N34" s="229"/>
    </row>
    <row r="35" spans="1:14" ht="45">
      <c r="A35" s="1" t="s">
        <v>4</v>
      </c>
      <c r="B35" s="1" t="s">
        <v>5</v>
      </c>
      <c r="C35" s="1" t="s">
        <v>6</v>
      </c>
      <c r="D35" s="1" t="s">
        <v>7</v>
      </c>
      <c r="E35" s="125" t="s">
        <v>8</v>
      </c>
      <c r="F35" s="125" t="s">
        <v>9</v>
      </c>
      <c r="G35" s="125" t="s">
        <v>10</v>
      </c>
      <c r="H35" s="125" t="s">
        <v>11</v>
      </c>
      <c r="J35" s="1" t="s">
        <v>12</v>
      </c>
      <c r="K35" s="1" t="s">
        <v>13</v>
      </c>
      <c r="L35" s="1" t="s">
        <v>14</v>
      </c>
      <c r="M35" s="1" t="s">
        <v>15</v>
      </c>
      <c r="N35" s="1" t="s">
        <v>16</v>
      </c>
    </row>
    <row r="36" spans="1:14" ht="45.75">
      <c r="A36" s="126" t="s">
        <v>17</v>
      </c>
      <c r="B36" s="126">
        <v>458194</v>
      </c>
      <c r="C36" s="126" t="s">
        <v>18</v>
      </c>
      <c r="D36" s="127">
        <v>5</v>
      </c>
      <c r="E36" s="128">
        <v>1996</v>
      </c>
      <c r="F36" s="129" t="s">
        <v>38</v>
      </c>
      <c r="G36" s="129" t="s">
        <v>39</v>
      </c>
      <c r="H36" s="130">
        <v>45702</v>
      </c>
      <c r="J36" s="230">
        <f>_xlfn.STDEV.S(E36:E38)</f>
        <v>497.33188114175829</v>
      </c>
      <c r="K36" s="232">
        <f>(J36/E39)*100</f>
        <v>20.126745493393699</v>
      </c>
      <c r="L36" s="230">
        <f>E39+J36</f>
        <v>2968.3318811417585</v>
      </c>
      <c r="M36" s="230">
        <f>E39-J36</f>
        <v>1973.6681188582418</v>
      </c>
      <c r="N36" s="8">
        <f>E36</f>
        <v>1996</v>
      </c>
    </row>
    <row r="37" spans="1:14" ht="60.75">
      <c r="A37" s="126" t="s">
        <v>17</v>
      </c>
      <c r="B37" s="126">
        <v>458194</v>
      </c>
      <c r="C37" s="126" t="s">
        <v>18</v>
      </c>
      <c r="D37" s="127">
        <v>5</v>
      </c>
      <c r="E37" s="128">
        <v>2429</v>
      </c>
      <c r="F37" s="129" t="s">
        <v>40</v>
      </c>
      <c r="G37" s="131" t="s">
        <v>41</v>
      </c>
      <c r="H37" s="132">
        <v>45741</v>
      </c>
      <c r="J37" s="231"/>
      <c r="K37" s="233"/>
      <c r="L37" s="231"/>
      <c r="M37" s="231"/>
      <c r="N37" s="8">
        <f>E37</f>
        <v>2429</v>
      </c>
    </row>
    <row r="38" spans="1:14" ht="60.75">
      <c r="A38" s="126" t="s">
        <v>17</v>
      </c>
      <c r="B38" s="126">
        <v>458194</v>
      </c>
      <c r="C38" s="126" t="s">
        <v>18</v>
      </c>
      <c r="D38" s="127">
        <v>6</v>
      </c>
      <c r="E38" s="128">
        <v>2988</v>
      </c>
      <c r="F38" s="129" t="s">
        <v>42</v>
      </c>
      <c r="G38" s="131" t="s">
        <v>43</v>
      </c>
      <c r="H38" s="132">
        <v>45700</v>
      </c>
      <c r="J38" s="231"/>
      <c r="K38" s="233"/>
      <c r="L38" s="231"/>
      <c r="M38" s="231"/>
      <c r="N38" s="8"/>
    </row>
    <row r="39" spans="1:14">
      <c r="A39" s="226" t="s">
        <v>28</v>
      </c>
      <c r="B39" s="226"/>
      <c r="C39" s="226"/>
      <c r="D39" s="226"/>
      <c r="E39" s="82">
        <f>AVERAGE(E36:E38)</f>
        <v>2471</v>
      </c>
      <c r="J39" s="227" t="s">
        <v>16</v>
      </c>
      <c r="K39" s="227"/>
      <c r="L39" s="227"/>
      <c r="M39" s="227"/>
      <c r="N39" s="2">
        <f>AVERAGE(N36:N38)</f>
        <v>2212.5</v>
      </c>
    </row>
  </sheetData>
  <mergeCells count="31">
    <mergeCell ref="A22:H22"/>
    <mergeCell ref="J22:N22"/>
    <mergeCell ref="A23:H23"/>
    <mergeCell ref="J23:N23"/>
    <mergeCell ref="A28:D28"/>
    <mergeCell ref="J28:M28"/>
    <mergeCell ref="J25:J27"/>
    <mergeCell ref="K25:K27"/>
    <mergeCell ref="L25:L27"/>
    <mergeCell ref="M25:M27"/>
    <mergeCell ref="A1:N1"/>
    <mergeCell ref="A15:D15"/>
    <mergeCell ref="J15:M15"/>
    <mergeCell ref="A6:H6"/>
    <mergeCell ref="J6:N6"/>
    <mergeCell ref="A7:H7"/>
    <mergeCell ref="J7:N7"/>
    <mergeCell ref="J9:J13"/>
    <mergeCell ref="K9:K13"/>
    <mergeCell ref="L9:L13"/>
    <mergeCell ref="M9:M13"/>
    <mergeCell ref="A39:D39"/>
    <mergeCell ref="J39:M39"/>
    <mergeCell ref="A33:H33"/>
    <mergeCell ref="J33:N33"/>
    <mergeCell ref="A34:H34"/>
    <mergeCell ref="J34:N34"/>
    <mergeCell ref="J36:J38"/>
    <mergeCell ref="K36:K38"/>
    <mergeCell ref="L36:L38"/>
    <mergeCell ref="M36:M38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79428-C7C2-4B3D-B443-A162B1CD6494}">
  <sheetPr>
    <tabColor rgb="FF00B050"/>
  </sheetPr>
  <dimension ref="A1:N20"/>
  <sheetViews>
    <sheetView workbookViewId="0"/>
  </sheetViews>
  <sheetFormatPr defaultRowHeight="15"/>
  <cols>
    <col min="1" max="1" width="15" customWidth="1"/>
    <col min="2" max="2" width="11.5703125" customWidth="1"/>
    <col min="3" max="3" width="14.85546875" customWidth="1"/>
    <col min="4" max="4" width="12" customWidth="1"/>
    <col min="5" max="5" width="12.42578125" customWidth="1"/>
    <col min="6" max="6" width="31" customWidth="1"/>
    <col min="7" max="7" width="36.140625" customWidth="1"/>
    <col min="8" max="8" width="14.140625" customWidth="1"/>
    <col min="9" max="9" width="1.7109375" customWidth="1"/>
    <col min="10" max="10" width="11.28515625" customWidth="1"/>
    <col min="11" max="11" width="13.5703125" customWidth="1"/>
    <col min="12" max="12" width="13.7109375" customWidth="1"/>
    <col min="13" max="13" width="12.85546875" customWidth="1"/>
    <col min="14" max="14" width="14.140625" customWidth="1"/>
  </cols>
  <sheetData>
    <row r="1" spans="1:14" ht="18.75">
      <c r="A1" s="234" t="s">
        <v>138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3" spans="1:14">
      <c r="D3" s="37" t="s">
        <v>124</v>
      </c>
    </row>
    <row r="6" spans="1:14">
      <c r="D6" s="37" t="s">
        <v>139</v>
      </c>
    </row>
    <row r="8" spans="1:14">
      <c r="D8" s="37" t="s">
        <v>141</v>
      </c>
    </row>
    <row r="14" spans="1:14">
      <c r="D14" s="37"/>
    </row>
    <row r="20" spans="4:7">
      <c r="D20" s="37"/>
      <c r="E20" s="37"/>
      <c r="F20" s="37"/>
      <c r="G20" s="37"/>
    </row>
  </sheetData>
  <mergeCells count="1">
    <mergeCell ref="A1:N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25C44-6B32-4801-B0AD-E2B06973CDEE}">
  <sheetPr>
    <tabColor rgb="FF00B050"/>
  </sheetPr>
  <dimension ref="A1:N7"/>
  <sheetViews>
    <sheetView showGridLines="0" workbookViewId="0">
      <selection activeCell="D6" sqref="D6"/>
    </sheetView>
  </sheetViews>
  <sheetFormatPr defaultRowHeight="15"/>
  <cols>
    <col min="1" max="1" width="13.85546875" customWidth="1"/>
    <col min="3" max="3" width="13.42578125" customWidth="1"/>
    <col min="5" max="5" width="10.85546875" customWidth="1"/>
    <col min="6" max="6" width="24.28515625" customWidth="1"/>
    <col min="7" max="7" width="26.7109375" customWidth="1"/>
    <col min="8" max="8" width="12.7109375" customWidth="1"/>
    <col min="9" max="9" width="1.5703125" customWidth="1"/>
    <col min="11" max="11" width="12" customWidth="1"/>
    <col min="12" max="12" width="11" customWidth="1"/>
    <col min="13" max="13" width="11.42578125" customWidth="1"/>
    <col min="14" max="14" width="11.85546875" customWidth="1"/>
  </cols>
  <sheetData>
    <row r="1" spans="1:14" ht="18.75">
      <c r="A1" s="234" t="s">
        <v>138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5" spans="1:14">
      <c r="D5" s="155" t="s">
        <v>124</v>
      </c>
    </row>
    <row r="7" spans="1:14">
      <c r="D7" s="37" t="s">
        <v>141</v>
      </c>
      <c r="E7" s="37"/>
      <c r="F7" s="37"/>
      <c r="G7" s="37"/>
    </row>
  </sheetData>
  <mergeCells count="1">
    <mergeCell ref="A1:N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E0A66-346E-4DE1-B6D3-A9BDA319F991}">
  <sheetPr>
    <tabColor rgb="FF00B050"/>
  </sheetPr>
  <dimension ref="A1:N8"/>
  <sheetViews>
    <sheetView showGridLines="0" workbookViewId="0">
      <selection activeCell="H12" sqref="H12"/>
    </sheetView>
  </sheetViews>
  <sheetFormatPr defaultRowHeight="15"/>
  <cols>
    <col min="1" max="1" width="13.85546875" customWidth="1"/>
    <col min="3" max="3" width="13.42578125" customWidth="1"/>
    <col min="5" max="5" width="10.85546875" customWidth="1"/>
    <col min="6" max="6" width="24.28515625" customWidth="1"/>
    <col min="7" max="7" width="26.7109375" customWidth="1"/>
    <col min="8" max="8" width="12.7109375" customWidth="1"/>
    <col min="9" max="9" width="1.5703125" customWidth="1"/>
    <col min="11" max="11" width="12" customWidth="1"/>
    <col min="12" max="12" width="11" customWidth="1"/>
    <col min="13" max="13" width="11.42578125" customWidth="1"/>
    <col min="14" max="14" width="11.85546875" customWidth="1"/>
  </cols>
  <sheetData>
    <row r="1" spans="1:14" ht="18.75">
      <c r="A1" s="234" t="s">
        <v>138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4" spans="1:14">
      <c r="E4" s="37" t="s">
        <v>140</v>
      </c>
    </row>
    <row r="6" spans="1:14">
      <c r="E6" s="37" t="s">
        <v>131</v>
      </c>
      <c r="F6" s="37"/>
      <c r="G6" s="37"/>
    </row>
    <row r="7" spans="1:14">
      <c r="E7" s="37"/>
      <c r="F7" s="37"/>
      <c r="G7" s="37"/>
    </row>
    <row r="8" spans="1:14">
      <c r="E8" s="37" t="s">
        <v>141</v>
      </c>
      <c r="F8" s="37"/>
      <c r="G8" s="37"/>
    </row>
  </sheetData>
  <mergeCells count="1">
    <mergeCell ref="A1:N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83736-9C9C-4500-A9BC-525CA0E1BD7F}">
  <sheetPr>
    <tabColor rgb="FFFF0000"/>
  </sheetPr>
  <dimension ref="A1:V39"/>
  <sheetViews>
    <sheetView topLeftCell="A28" zoomScaleNormal="100" workbookViewId="0">
      <selection activeCell="B20" sqref="B20:D21"/>
    </sheetView>
  </sheetViews>
  <sheetFormatPr defaultRowHeight="15"/>
  <cols>
    <col min="1" max="1" width="18" customWidth="1"/>
    <col min="2" max="2" width="15.7109375" customWidth="1"/>
    <col min="3" max="4" width="15.28515625" customWidth="1"/>
    <col min="5" max="5" width="18.5703125" customWidth="1"/>
    <col min="6" max="7" width="21.5703125" customWidth="1"/>
    <col min="8" max="8" width="19.140625" customWidth="1"/>
    <col min="9" max="10" width="20.28515625" customWidth="1"/>
    <col min="11" max="11" width="18.7109375" customWidth="1"/>
    <col min="14" max="14" width="11.85546875" customWidth="1"/>
    <col min="15" max="15" width="11.28515625" customWidth="1"/>
    <col min="16" max="16" width="11.5703125" customWidth="1"/>
    <col min="17" max="17" width="10.7109375" bestFit="1" customWidth="1"/>
  </cols>
  <sheetData>
    <row r="1" spans="1:22" ht="18.75">
      <c r="C1" s="16"/>
      <c r="D1" s="16"/>
      <c r="E1" s="16"/>
      <c r="F1" s="17" t="s">
        <v>151</v>
      </c>
      <c r="G1" s="17"/>
      <c r="H1" s="17"/>
      <c r="I1" s="17"/>
      <c r="J1" s="17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</row>
    <row r="4" spans="1:22">
      <c r="A4" s="283" t="s">
        <v>152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5"/>
    </row>
    <row r="5" spans="1:22">
      <c r="A5" s="19"/>
      <c r="B5" s="297" t="s">
        <v>153</v>
      </c>
      <c r="C5" s="298"/>
      <c r="D5" s="299"/>
      <c r="E5" s="297" t="s">
        <v>154</v>
      </c>
      <c r="F5" s="298"/>
      <c r="G5" s="299"/>
      <c r="H5" s="300" t="s">
        <v>155</v>
      </c>
      <c r="I5" s="301"/>
      <c r="J5" s="302"/>
      <c r="K5" s="280" t="s">
        <v>156</v>
      </c>
      <c r="M5" s="282" t="s">
        <v>3</v>
      </c>
      <c r="N5" s="282"/>
      <c r="O5" s="282"/>
      <c r="P5" s="282"/>
      <c r="Q5" s="282"/>
    </row>
    <row r="6" spans="1:22" ht="15" customHeight="1">
      <c r="A6" s="286" t="s">
        <v>157</v>
      </c>
      <c r="B6" s="294" t="s">
        <v>158</v>
      </c>
      <c r="C6" s="295"/>
      <c r="D6" s="296"/>
      <c r="E6" s="294" t="s">
        <v>159</v>
      </c>
      <c r="F6" s="295"/>
      <c r="G6" s="296"/>
      <c r="H6" s="272" t="s">
        <v>160</v>
      </c>
      <c r="I6" s="273"/>
      <c r="J6" s="274"/>
      <c r="K6" s="280"/>
      <c r="M6" s="12"/>
      <c r="N6" s="12"/>
      <c r="O6" s="12"/>
      <c r="P6" s="12"/>
      <c r="Q6" s="12"/>
    </row>
    <row r="7" spans="1:22" ht="86.25" customHeight="1">
      <c r="A7" s="287"/>
      <c r="B7" s="275"/>
      <c r="C7" s="276"/>
      <c r="D7" s="277"/>
      <c r="E7" s="275"/>
      <c r="F7" s="276"/>
      <c r="G7" s="277"/>
      <c r="H7" s="275"/>
      <c r="I7" s="276"/>
      <c r="J7" s="277"/>
      <c r="K7" s="280"/>
      <c r="M7" s="12"/>
      <c r="N7" s="12"/>
      <c r="O7" s="12"/>
      <c r="P7" s="12"/>
      <c r="Q7" s="12"/>
    </row>
    <row r="8" spans="1:22" ht="45">
      <c r="A8" s="21" t="s">
        <v>161</v>
      </c>
      <c r="B8" s="20" t="s">
        <v>162</v>
      </c>
      <c r="C8" s="9" t="s">
        <v>163</v>
      </c>
      <c r="D8" s="19" t="s">
        <v>164</v>
      </c>
      <c r="E8" s="20" t="s">
        <v>162</v>
      </c>
      <c r="F8" s="9" t="s">
        <v>163</v>
      </c>
      <c r="G8" s="19" t="s">
        <v>164</v>
      </c>
      <c r="H8" s="20" t="s">
        <v>162</v>
      </c>
      <c r="I8" s="9" t="s">
        <v>163</v>
      </c>
      <c r="J8" s="19" t="s">
        <v>164</v>
      </c>
      <c r="K8" s="281"/>
      <c r="M8" s="1" t="s">
        <v>12</v>
      </c>
      <c r="N8" s="1" t="s">
        <v>13</v>
      </c>
      <c r="O8" s="1" t="s">
        <v>14</v>
      </c>
      <c r="P8" s="1" t="s">
        <v>15</v>
      </c>
      <c r="Q8" s="1" t="s">
        <v>16</v>
      </c>
    </row>
    <row r="9" spans="1:22">
      <c r="A9" s="278" t="s">
        <v>165</v>
      </c>
      <c r="B9" s="264">
        <v>3200.51</v>
      </c>
      <c r="C9" s="264">
        <f>'FRETE 9000 BTU'!L11</f>
        <v>155.63333333333335</v>
      </c>
      <c r="D9" s="264">
        <f>SUM(B9:C14)</f>
        <v>3356.1433333333334</v>
      </c>
      <c r="E9" s="264">
        <v>2467.83</v>
      </c>
      <c r="F9" s="267">
        <f>C9</f>
        <v>155.63333333333335</v>
      </c>
      <c r="G9" s="261">
        <f>SUM(E9:F14)</f>
        <v>2623.4633333333331</v>
      </c>
      <c r="H9" s="264">
        <v>2568.9</v>
      </c>
      <c r="I9" s="267">
        <f>F9</f>
        <v>155.63333333333335</v>
      </c>
      <c r="J9" s="261">
        <f>SUM(H9:I14)</f>
        <v>2724.5333333333333</v>
      </c>
      <c r="K9" s="270">
        <v>45676</v>
      </c>
      <c r="M9" s="230">
        <f>_xlfn.STDEV.S(D9,G9,J9)</f>
        <v>397.06555281632626</v>
      </c>
      <c r="N9" s="257">
        <f>(M9/K15)*100</f>
        <v>13.685403250050884</v>
      </c>
      <c r="O9" s="230">
        <f>K15+M9</f>
        <v>3298.4455528163257</v>
      </c>
      <c r="P9" s="230">
        <f>K15-M9</f>
        <v>2504.3144471836736</v>
      </c>
      <c r="Q9" s="23"/>
    </row>
    <row r="10" spans="1:22">
      <c r="A10" s="279"/>
      <c r="B10" s="265"/>
      <c r="C10" s="265"/>
      <c r="D10" s="265"/>
      <c r="E10" s="265"/>
      <c r="F10" s="268"/>
      <c r="G10" s="262"/>
      <c r="H10" s="265"/>
      <c r="I10" s="268"/>
      <c r="J10" s="262"/>
      <c r="K10" s="271"/>
      <c r="M10" s="231"/>
      <c r="N10" s="258"/>
      <c r="O10" s="231"/>
      <c r="P10" s="231"/>
      <c r="Q10" s="24">
        <f>G9</f>
        <v>2623.4633333333331</v>
      </c>
    </row>
    <row r="11" spans="1:22">
      <c r="A11" s="279"/>
      <c r="B11" s="265"/>
      <c r="C11" s="265"/>
      <c r="D11" s="265"/>
      <c r="E11" s="265"/>
      <c r="F11" s="268"/>
      <c r="G11" s="262"/>
      <c r="H11" s="265"/>
      <c r="I11" s="268"/>
      <c r="J11" s="262"/>
      <c r="K11" s="271"/>
      <c r="M11" s="231"/>
      <c r="N11" s="258"/>
      <c r="O11" s="231"/>
      <c r="P11" s="231"/>
      <c r="Q11" s="24">
        <f>J9</f>
        <v>2724.5333333333333</v>
      </c>
    </row>
    <row r="12" spans="1:22">
      <c r="A12" s="279"/>
      <c r="B12" s="265"/>
      <c r="C12" s="265"/>
      <c r="D12" s="265"/>
      <c r="E12" s="265"/>
      <c r="F12" s="268"/>
      <c r="G12" s="262"/>
      <c r="H12" s="265"/>
      <c r="I12" s="268"/>
      <c r="J12" s="262"/>
      <c r="K12" s="271"/>
      <c r="M12" s="231"/>
      <c r="N12" s="258"/>
      <c r="O12" s="231"/>
      <c r="P12" s="231"/>
      <c r="Q12" s="24"/>
    </row>
    <row r="13" spans="1:22">
      <c r="A13" s="279"/>
      <c r="B13" s="265"/>
      <c r="C13" s="265"/>
      <c r="D13" s="265"/>
      <c r="E13" s="265"/>
      <c r="F13" s="268"/>
      <c r="G13" s="262"/>
      <c r="H13" s="265"/>
      <c r="I13" s="268"/>
      <c r="J13" s="262"/>
      <c r="K13" s="271"/>
      <c r="M13" s="231"/>
      <c r="N13" s="258"/>
      <c r="O13" s="231"/>
      <c r="P13" s="231"/>
      <c r="Q13" s="24"/>
    </row>
    <row r="14" spans="1:22">
      <c r="A14" s="305"/>
      <c r="B14" s="266"/>
      <c r="C14" s="266"/>
      <c r="D14" s="266"/>
      <c r="E14" s="266"/>
      <c r="F14" s="269"/>
      <c r="G14" s="263"/>
      <c r="H14" s="266"/>
      <c r="I14" s="269"/>
      <c r="J14" s="263"/>
      <c r="K14" s="271"/>
      <c r="M14" s="235"/>
      <c r="N14" s="259"/>
      <c r="O14" s="235"/>
      <c r="P14" s="235"/>
      <c r="Q14" s="25"/>
    </row>
    <row r="15" spans="1:22">
      <c r="A15" s="260" t="s">
        <v>166</v>
      </c>
      <c r="B15" s="260"/>
      <c r="C15" s="260"/>
      <c r="D15" s="260"/>
      <c r="E15" s="260"/>
      <c r="F15" s="260"/>
      <c r="G15" s="11"/>
      <c r="H15" s="11"/>
      <c r="I15" s="11"/>
      <c r="J15" s="11" t="s">
        <v>167</v>
      </c>
      <c r="K15" s="27">
        <f>AVERAGE(D9,G9,J9)</f>
        <v>2901.3799999999997</v>
      </c>
      <c r="L15" s="15"/>
      <c r="M15" s="227" t="s">
        <v>16</v>
      </c>
      <c r="N15" s="227"/>
      <c r="O15" s="227"/>
      <c r="P15" s="227"/>
      <c r="Q15" s="2">
        <f>AVERAGE(Q9:Q14)</f>
        <v>2673.998333333333</v>
      </c>
    </row>
    <row r="18" spans="1:17">
      <c r="A18" s="283" t="s">
        <v>168</v>
      </c>
      <c r="B18" s="284"/>
      <c r="C18" s="284"/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5"/>
    </row>
    <row r="19" spans="1:17">
      <c r="A19" s="19"/>
      <c r="B19" s="297" t="s">
        <v>153</v>
      </c>
      <c r="C19" s="298"/>
      <c r="D19" s="299"/>
      <c r="E19" s="297" t="s">
        <v>154</v>
      </c>
      <c r="F19" s="298"/>
      <c r="G19" s="299"/>
      <c r="H19" s="300" t="s">
        <v>155</v>
      </c>
      <c r="I19" s="301"/>
      <c r="J19" s="302"/>
      <c r="K19" s="280" t="s">
        <v>156</v>
      </c>
      <c r="M19" s="282" t="s">
        <v>3</v>
      </c>
      <c r="N19" s="282"/>
      <c r="O19" s="282"/>
      <c r="P19" s="282"/>
      <c r="Q19" s="282"/>
    </row>
    <row r="20" spans="1:17" ht="15" customHeight="1">
      <c r="A20" s="286" t="s">
        <v>157</v>
      </c>
      <c r="B20" s="288" t="s">
        <v>158</v>
      </c>
      <c r="C20" s="289"/>
      <c r="D20" s="290"/>
      <c r="E20" s="294" t="s">
        <v>159</v>
      </c>
      <c r="F20" s="295"/>
      <c r="G20" s="296"/>
      <c r="H20" s="272" t="s">
        <v>160</v>
      </c>
      <c r="I20" s="273"/>
      <c r="J20" s="274"/>
      <c r="K20" s="280"/>
      <c r="M20" s="12"/>
      <c r="N20" s="12"/>
      <c r="O20" s="12"/>
      <c r="P20" s="12"/>
      <c r="Q20" s="12"/>
    </row>
    <row r="21" spans="1:17" ht="74.25" customHeight="1">
      <c r="A21" s="287"/>
      <c r="B21" s="291"/>
      <c r="C21" s="292"/>
      <c r="D21" s="293"/>
      <c r="E21" s="275"/>
      <c r="F21" s="276"/>
      <c r="G21" s="277"/>
      <c r="H21" s="275"/>
      <c r="I21" s="276"/>
      <c r="J21" s="277"/>
      <c r="K21" s="280"/>
      <c r="M21" s="12"/>
      <c r="N21" s="12"/>
      <c r="O21" s="12"/>
      <c r="P21" s="12"/>
      <c r="Q21" s="12"/>
    </row>
    <row r="22" spans="1:17" ht="45">
      <c r="A22" s="21" t="s">
        <v>161</v>
      </c>
      <c r="B22" s="20" t="s">
        <v>162</v>
      </c>
      <c r="C22" s="9" t="s">
        <v>163</v>
      </c>
      <c r="D22" s="19" t="s">
        <v>164</v>
      </c>
      <c r="E22" s="20" t="s">
        <v>162</v>
      </c>
      <c r="F22" s="9" t="s">
        <v>163</v>
      </c>
      <c r="G22" s="19" t="s">
        <v>164</v>
      </c>
      <c r="H22" s="20" t="s">
        <v>162</v>
      </c>
      <c r="I22" s="9" t="s">
        <v>163</v>
      </c>
      <c r="J22" s="19" t="s">
        <v>164</v>
      </c>
      <c r="K22" s="281"/>
      <c r="M22" s="1" t="s">
        <v>12</v>
      </c>
      <c r="N22" s="1" t="s">
        <v>13</v>
      </c>
      <c r="O22" s="1" t="s">
        <v>14</v>
      </c>
      <c r="P22" s="1" t="s">
        <v>15</v>
      </c>
      <c r="Q22" s="1" t="s">
        <v>16</v>
      </c>
    </row>
    <row r="23" spans="1:17">
      <c r="A23" s="303" t="s">
        <v>169</v>
      </c>
      <c r="B23" s="264">
        <v>3200.51</v>
      </c>
      <c r="C23" s="264">
        <f>'FRETE 9000 BTU'!L17</f>
        <v>113.83333333333333</v>
      </c>
      <c r="D23" s="264">
        <f>SUM(B23:C25)</f>
        <v>3314.3433333333337</v>
      </c>
      <c r="E23" s="264">
        <v>2467.83</v>
      </c>
      <c r="F23" s="267">
        <f>C23</f>
        <v>113.83333333333333</v>
      </c>
      <c r="G23" s="261">
        <f>SUM(E23:F25)</f>
        <v>2581.6633333333334</v>
      </c>
      <c r="H23" s="264">
        <v>2568.9</v>
      </c>
      <c r="I23" s="267">
        <f>F23</f>
        <v>113.83333333333333</v>
      </c>
      <c r="J23" s="261">
        <f>SUM(H23:I25)</f>
        <v>2682.7333333333336</v>
      </c>
      <c r="K23" s="270">
        <v>45676</v>
      </c>
      <c r="M23" s="230">
        <f>_xlfn.STDEV.S(D23,G23,J23)</f>
        <v>397.06555281631927</v>
      </c>
      <c r="N23" s="257">
        <f>(M23/K26)*100</f>
        <v>13.885450059670273</v>
      </c>
      <c r="O23" s="230">
        <f>K26+M23</f>
        <v>3256.6455528163197</v>
      </c>
      <c r="P23" s="230">
        <f>K26-M23</f>
        <v>2462.5144471836811</v>
      </c>
      <c r="Q23" s="8">
        <f>G23</f>
        <v>2581.6633333333334</v>
      </c>
    </row>
    <row r="24" spans="1:17">
      <c r="A24" s="304"/>
      <c r="B24" s="265"/>
      <c r="C24" s="265"/>
      <c r="D24" s="265"/>
      <c r="E24" s="265"/>
      <c r="F24" s="268"/>
      <c r="G24" s="262"/>
      <c r="H24" s="265"/>
      <c r="I24" s="268"/>
      <c r="J24" s="262"/>
      <c r="K24" s="271"/>
      <c r="M24" s="231"/>
      <c r="N24" s="258"/>
      <c r="O24" s="231"/>
      <c r="P24" s="231"/>
      <c r="Q24" s="15">
        <f>J23</f>
        <v>2682.7333333333336</v>
      </c>
    </row>
    <row r="25" spans="1:17">
      <c r="A25" s="304"/>
      <c r="B25" s="266"/>
      <c r="C25" s="266"/>
      <c r="D25" s="266"/>
      <c r="E25" s="266"/>
      <c r="F25" s="269"/>
      <c r="G25" s="263"/>
      <c r="H25" s="266"/>
      <c r="I25" s="269"/>
      <c r="J25" s="263"/>
      <c r="K25" s="271"/>
      <c r="M25" s="235"/>
      <c r="N25" s="259"/>
      <c r="O25" s="235"/>
      <c r="P25" s="235"/>
      <c r="Q25" s="75" t="s">
        <v>170</v>
      </c>
    </row>
    <row r="26" spans="1:17">
      <c r="A26" s="260"/>
      <c r="B26" s="260"/>
      <c r="C26" s="260"/>
      <c r="D26" s="260"/>
      <c r="E26" s="260"/>
      <c r="F26" s="260"/>
      <c r="G26" s="11"/>
      <c r="H26" s="11"/>
      <c r="I26" s="11"/>
      <c r="J26" s="11" t="s">
        <v>167</v>
      </c>
      <c r="K26" s="27">
        <f>AVERAGE(D23,G23,J23)</f>
        <v>2859.5800000000004</v>
      </c>
      <c r="L26" s="15"/>
      <c r="M26" s="227" t="s">
        <v>16</v>
      </c>
      <c r="N26" s="227"/>
      <c r="O26" s="227"/>
      <c r="P26" s="227"/>
      <c r="Q26" s="2">
        <f>AVERAGE(Q23:Q25)</f>
        <v>2632.1983333333337</v>
      </c>
    </row>
    <row r="31" spans="1:17">
      <c r="A31" s="283" t="s">
        <v>171</v>
      </c>
      <c r="B31" s="284"/>
      <c r="C31" s="284"/>
      <c r="D31" s="284"/>
      <c r="E31" s="284"/>
      <c r="F31" s="284"/>
      <c r="G31" s="284"/>
      <c r="H31" s="284"/>
      <c r="I31" s="284"/>
      <c r="J31" s="284"/>
      <c r="K31" s="284"/>
      <c r="L31" s="284"/>
      <c r="M31" s="284"/>
      <c r="N31" s="284"/>
      <c r="O31" s="284"/>
      <c r="P31" s="284"/>
      <c r="Q31" s="285"/>
    </row>
    <row r="32" spans="1:17">
      <c r="A32" s="19"/>
      <c r="B32" s="297" t="s">
        <v>153</v>
      </c>
      <c r="C32" s="298"/>
      <c r="D32" s="299"/>
      <c r="E32" s="297" t="s">
        <v>154</v>
      </c>
      <c r="F32" s="298"/>
      <c r="G32" s="299"/>
      <c r="H32" s="300" t="s">
        <v>155</v>
      </c>
      <c r="I32" s="301"/>
      <c r="J32" s="302"/>
      <c r="K32" s="280" t="s">
        <v>156</v>
      </c>
      <c r="M32" s="282" t="s">
        <v>3</v>
      </c>
      <c r="N32" s="282"/>
      <c r="O32" s="282"/>
      <c r="P32" s="282"/>
      <c r="Q32" s="282"/>
    </row>
    <row r="33" spans="1:17">
      <c r="A33" s="286" t="s">
        <v>157</v>
      </c>
      <c r="B33" s="288" t="s">
        <v>158</v>
      </c>
      <c r="C33" s="289"/>
      <c r="D33" s="290"/>
      <c r="E33" s="294" t="s">
        <v>159</v>
      </c>
      <c r="F33" s="295"/>
      <c r="G33" s="296"/>
      <c r="H33" s="272" t="s">
        <v>160</v>
      </c>
      <c r="I33" s="273"/>
      <c r="J33" s="274"/>
      <c r="K33" s="280"/>
      <c r="M33" s="12"/>
      <c r="N33" s="12"/>
      <c r="O33" s="12"/>
      <c r="P33" s="12"/>
      <c r="Q33" s="12"/>
    </row>
    <row r="34" spans="1:17" ht="102.75" customHeight="1">
      <c r="A34" s="287"/>
      <c r="B34" s="291"/>
      <c r="C34" s="292"/>
      <c r="D34" s="293"/>
      <c r="E34" s="275"/>
      <c r="F34" s="276"/>
      <c r="G34" s="277"/>
      <c r="H34" s="275"/>
      <c r="I34" s="276"/>
      <c r="J34" s="277"/>
      <c r="K34" s="280"/>
      <c r="M34" s="12"/>
      <c r="N34" s="12"/>
      <c r="O34" s="12"/>
      <c r="P34" s="12"/>
      <c r="Q34" s="12"/>
    </row>
    <row r="35" spans="1:17" ht="45">
      <c r="A35" s="21" t="s">
        <v>161</v>
      </c>
      <c r="B35" s="20" t="s">
        <v>162</v>
      </c>
      <c r="C35" s="9" t="s">
        <v>163</v>
      </c>
      <c r="D35" s="19" t="s">
        <v>164</v>
      </c>
      <c r="E35" s="20" t="s">
        <v>162</v>
      </c>
      <c r="F35" s="9" t="s">
        <v>163</v>
      </c>
      <c r="G35" s="19" t="s">
        <v>164</v>
      </c>
      <c r="H35" s="20" t="s">
        <v>162</v>
      </c>
      <c r="I35" s="9" t="s">
        <v>163</v>
      </c>
      <c r="J35" s="19" t="s">
        <v>164</v>
      </c>
      <c r="K35" s="281"/>
      <c r="M35" s="1" t="s">
        <v>12</v>
      </c>
      <c r="N35" s="1" t="s">
        <v>13</v>
      </c>
      <c r="O35" s="1" t="s">
        <v>14</v>
      </c>
      <c r="P35" s="1" t="s">
        <v>15</v>
      </c>
      <c r="Q35" s="1" t="s">
        <v>16</v>
      </c>
    </row>
    <row r="36" spans="1:17">
      <c r="A36" s="278" t="s">
        <v>172</v>
      </c>
      <c r="B36" s="264">
        <v>3200.51</v>
      </c>
      <c r="C36" s="264">
        <f>'FRETE 9000 BTU'!L27</f>
        <v>124.45333333333333</v>
      </c>
      <c r="D36" s="264">
        <f>SUM(B36:C38)</f>
        <v>3324.9633333333336</v>
      </c>
      <c r="E36" s="264">
        <v>2467.83</v>
      </c>
      <c r="F36" s="267">
        <f>C36</f>
        <v>124.45333333333333</v>
      </c>
      <c r="G36" s="261">
        <f>SUM(E36:F38)</f>
        <v>2592.2833333333333</v>
      </c>
      <c r="H36" s="264">
        <v>2568.9</v>
      </c>
      <c r="I36" s="267">
        <f>F36</f>
        <v>124.45333333333333</v>
      </c>
      <c r="J36" s="261">
        <f>SUM(H36:I38)</f>
        <v>2693.3533333333335</v>
      </c>
      <c r="K36" s="270">
        <v>45676</v>
      </c>
      <c r="M36" s="230">
        <f>_xlfn.STDEV.S(D36,G36,J36)</f>
        <v>397.06555281632393</v>
      </c>
      <c r="N36" s="257">
        <f>(M36/K39)*100</f>
        <v>13.834072636621976</v>
      </c>
      <c r="O36" s="230">
        <f>K39+M36</f>
        <v>3267.2655528163241</v>
      </c>
      <c r="P36" s="230">
        <f>K39-M36</f>
        <v>2473.1344471836765</v>
      </c>
      <c r="Q36" s="8"/>
    </row>
    <row r="37" spans="1:17">
      <c r="A37" s="279"/>
      <c r="B37" s="265"/>
      <c r="C37" s="265"/>
      <c r="D37" s="265"/>
      <c r="E37" s="265"/>
      <c r="F37" s="268"/>
      <c r="G37" s="262"/>
      <c r="H37" s="265"/>
      <c r="I37" s="268"/>
      <c r="J37" s="262"/>
      <c r="K37" s="271"/>
      <c r="M37" s="231"/>
      <c r="N37" s="258"/>
      <c r="O37" s="231"/>
      <c r="P37" s="231"/>
      <c r="Q37" s="8">
        <f>G36</f>
        <v>2592.2833333333333</v>
      </c>
    </row>
    <row r="38" spans="1:17">
      <c r="A38" s="279"/>
      <c r="B38" s="266"/>
      <c r="C38" s="266"/>
      <c r="D38" s="266"/>
      <c r="E38" s="266"/>
      <c r="F38" s="269"/>
      <c r="G38" s="263"/>
      <c r="H38" s="266"/>
      <c r="I38" s="269"/>
      <c r="J38" s="263"/>
      <c r="K38" s="271"/>
      <c r="M38" s="235"/>
      <c r="N38" s="259"/>
      <c r="O38" s="235"/>
      <c r="P38" s="235"/>
      <c r="Q38" s="8">
        <f>J36</f>
        <v>2693.3533333333335</v>
      </c>
    </row>
    <row r="39" spans="1:17">
      <c r="A39" s="260"/>
      <c r="B39" s="260"/>
      <c r="C39" s="260"/>
      <c r="D39" s="260"/>
      <c r="E39" s="260"/>
      <c r="F39" s="260"/>
      <c r="G39" s="11"/>
      <c r="H39" s="11"/>
      <c r="I39" s="11"/>
      <c r="J39" s="11" t="s">
        <v>167</v>
      </c>
      <c r="K39" s="27">
        <f>AVERAGE(D36,G36,J36)</f>
        <v>2870.2000000000003</v>
      </c>
      <c r="L39" s="15"/>
      <c r="M39" s="227" t="s">
        <v>16</v>
      </c>
      <c r="N39" s="227"/>
      <c r="O39" s="227"/>
      <c r="P39" s="227"/>
      <c r="Q39" s="2">
        <f>AVERAGE(Q36:Q38)</f>
        <v>2642.8183333333336</v>
      </c>
    </row>
  </sheetData>
  <mergeCells count="82">
    <mergeCell ref="P9:P14"/>
    <mergeCell ref="K1:V1"/>
    <mergeCell ref="A4:Q4"/>
    <mergeCell ref="B5:D5"/>
    <mergeCell ref="E5:G5"/>
    <mergeCell ref="H5:J5"/>
    <mergeCell ref="K5:K8"/>
    <mergeCell ref="M5:Q5"/>
    <mergeCell ref="A6:A7"/>
    <mergeCell ref="B6:D7"/>
    <mergeCell ref="E6:G7"/>
    <mergeCell ref="H6:J7"/>
    <mergeCell ref="A15:F15"/>
    <mergeCell ref="M15:P15"/>
    <mergeCell ref="I9:I14"/>
    <mergeCell ref="J9:J14"/>
    <mergeCell ref="K9:K14"/>
    <mergeCell ref="M9:M14"/>
    <mergeCell ref="N9:N14"/>
    <mergeCell ref="O9:O14"/>
    <mergeCell ref="A9:A14"/>
    <mergeCell ref="B9:B14"/>
    <mergeCell ref="C9:C14"/>
    <mergeCell ref="D9:D14"/>
    <mergeCell ref="E9:E14"/>
    <mergeCell ref="F9:F14"/>
    <mergeCell ref="G9:G14"/>
    <mergeCell ref="H9:H14"/>
    <mergeCell ref="A18:Q18"/>
    <mergeCell ref="B19:D19"/>
    <mergeCell ref="E19:G19"/>
    <mergeCell ref="H19:J19"/>
    <mergeCell ref="K19:K22"/>
    <mergeCell ref="M19:Q19"/>
    <mergeCell ref="A20:A21"/>
    <mergeCell ref="B20:D21"/>
    <mergeCell ref="E20:G21"/>
    <mergeCell ref="H20:J21"/>
    <mergeCell ref="A23:A25"/>
    <mergeCell ref="B23:B25"/>
    <mergeCell ref="C23:C25"/>
    <mergeCell ref="D23:D25"/>
    <mergeCell ref="E23:E25"/>
    <mergeCell ref="F23:F25"/>
    <mergeCell ref="G23:G25"/>
    <mergeCell ref="B32:D32"/>
    <mergeCell ref="E32:G32"/>
    <mergeCell ref="H32:J32"/>
    <mergeCell ref="K32:K35"/>
    <mergeCell ref="M32:Q32"/>
    <mergeCell ref="O23:O25"/>
    <mergeCell ref="P23:P25"/>
    <mergeCell ref="A26:F26"/>
    <mergeCell ref="M26:P26"/>
    <mergeCell ref="A31:Q31"/>
    <mergeCell ref="H23:H25"/>
    <mergeCell ref="I23:I25"/>
    <mergeCell ref="J23:J25"/>
    <mergeCell ref="K23:K25"/>
    <mergeCell ref="M23:M25"/>
    <mergeCell ref="N23:N25"/>
    <mergeCell ref="A33:A34"/>
    <mergeCell ref="B33:D34"/>
    <mergeCell ref="E33:G34"/>
    <mergeCell ref="H33:J34"/>
    <mergeCell ref="A36:A38"/>
    <mergeCell ref="B36:B38"/>
    <mergeCell ref="C36:C38"/>
    <mergeCell ref="D36:D38"/>
    <mergeCell ref="E36:E38"/>
    <mergeCell ref="F36:F38"/>
    <mergeCell ref="N36:N38"/>
    <mergeCell ref="O36:O38"/>
    <mergeCell ref="P36:P38"/>
    <mergeCell ref="A39:F39"/>
    <mergeCell ref="M39:P39"/>
    <mergeCell ref="G36:G38"/>
    <mergeCell ref="H36:H38"/>
    <mergeCell ref="I36:I38"/>
    <mergeCell ref="J36:J38"/>
    <mergeCell ref="K36:K38"/>
    <mergeCell ref="M36:M38"/>
  </mergeCells>
  <hyperlinks>
    <hyperlink ref="B6" r:id="rId1" xr:uid="{9946BD5C-0F9A-48EF-ACE1-B5DD4EACF2C0}"/>
    <hyperlink ref="B20" r:id="rId2" xr:uid="{00DDD2AE-CD5C-40D8-A12A-7F2C1348890F}"/>
    <hyperlink ref="B33" r:id="rId3" xr:uid="{5E2ACFD2-B1EA-41BE-8548-81AF501C9EBE}"/>
    <hyperlink ref="B6:D7" r:id="rId4" display="https://www.amazon.com.br/Condicionado-Split-LG-Inverter-Compact/dp/B0CG6NK4V8" xr:uid="{D325490E-79F0-48B0-8193-6AA3D9EA2417}"/>
    <hyperlink ref="E6:G7" r:id="rId5" display="https://www.americanas.com.br/produto/7476043635/ar-condicionado-split-inverter-9000-btus-springer-midea-airvolution-connect-high-wall-so-frio-42afvci09s5-38tvci09s5-220v?pfm_index=2&amp;pfm_page=category&amp;pfm_pos=grid&amp;pfm_type=category_page&amp;voltagem=220V&amp;condition=NEW" xr:uid="{6C403D65-2867-451E-A3FA-019585CC4B58}"/>
    <hyperlink ref="E20:G21" r:id="rId6" display="https://www.americanas.com.br/produto/7476043635/ar-condicionado-split-inverter-9000-btus-springer-midea-airvolution-connect-high-wall-so-frio-42afvci09s5-38tvci09s5-220v?pfm_index=2&amp;pfm_page=category&amp;pfm_pos=grid&amp;pfm_type=category_page&amp;voltagem=220V&amp;condition=NEW" xr:uid="{67163C1F-A615-49B5-A009-E22E7298961D}"/>
    <hyperlink ref="E33:G34" r:id="rId7" display="https://www.americanas.com.br/produto/7476043635/ar-condicionado-split-inverter-9000-btus-springer-midea-airvolution-connect-high-wall-so-frio-42afvci09s5-38tvci09s5-220v?pfm_index=2&amp;pfm_page=category&amp;pfm_pos=grid&amp;pfm_type=category_page&amp;voltagem=220V&amp;condition=NEW" xr:uid="{A2C5790B-0707-49B4-A53F-8A79A6B6692E}"/>
    <hyperlink ref="H6:J7" r:id="rId8" display="https://www.carrefour.com.br/ar-condicionado-split-hi-wall-inverter-lg-voice-ia-r-32-9000-btu-h-frio-s3nq09aa31aeb2gam1-220-volts-mp935299372/p" xr:uid="{5F38EF24-C7DB-477B-971A-4AAB9697389B}"/>
    <hyperlink ref="H20:J21" r:id="rId9" display="https://www.carrefour.com.br/ar-condicionado-split-hi-wall-inverter-lg-voice-ia-r-32-9000-btu-h-frio-s3nq09aa31aeb2gam1-220-volts-mp935299372/p" xr:uid="{5ADA6060-1D92-4DB0-A324-92DB5FBC7F37}"/>
    <hyperlink ref="H33:J34" r:id="rId10" display="https://www.carrefour.com.br/ar-condicionado-split-hi-wall-inverter-lg-voice-ia-r-32-9000-btu-h-frio-s3nq09aa31aeb2gam1-220-volts-mp935299372/p" xr:uid="{9D8078C5-8F42-40C9-9C8B-FC0417CEC002}"/>
  </hyperlink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0E6AB-6718-42C9-AF7F-5D60BE9148B6}">
  <sheetPr>
    <tabColor rgb="FFFF0000"/>
  </sheetPr>
  <dimension ref="A1:Q27"/>
  <sheetViews>
    <sheetView workbookViewId="0">
      <selection activeCell="E30" sqref="E30"/>
    </sheetView>
  </sheetViews>
  <sheetFormatPr defaultRowHeight="15"/>
  <cols>
    <col min="1" max="1" width="14.85546875" customWidth="1"/>
    <col min="2" max="2" width="13.140625" customWidth="1"/>
    <col min="3" max="3" width="15.28515625" customWidth="1"/>
    <col min="4" max="4" width="29" customWidth="1"/>
    <col min="5" max="5" width="24.140625" customWidth="1"/>
    <col min="6" max="6" width="16.7109375" customWidth="1"/>
    <col min="9" max="9" width="11.85546875" customWidth="1"/>
  </cols>
  <sheetData>
    <row r="1" spans="1:17" ht="18.75">
      <c r="D1" s="17" t="s">
        <v>173</v>
      </c>
      <c r="E1" s="17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</row>
    <row r="8" spans="1:17">
      <c r="A8" s="306" t="s">
        <v>174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</row>
    <row r="9" spans="1:17">
      <c r="A9" s="282" t="s">
        <v>161</v>
      </c>
      <c r="B9" s="282" t="s">
        <v>175</v>
      </c>
      <c r="C9" s="13" t="s">
        <v>153</v>
      </c>
      <c r="D9" s="13" t="s">
        <v>154</v>
      </c>
      <c r="E9" s="18" t="s">
        <v>155</v>
      </c>
      <c r="F9" s="280" t="s">
        <v>176</v>
      </c>
      <c r="H9" s="282" t="s">
        <v>3</v>
      </c>
      <c r="I9" s="282"/>
      <c r="J9" s="282"/>
      <c r="K9" s="282"/>
      <c r="L9" s="282"/>
    </row>
    <row r="10" spans="1:17" ht="45">
      <c r="A10" s="229"/>
      <c r="B10" s="229"/>
      <c r="C10" s="9" t="s">
        <v>177</v>
      </c>
      <c r="D10" s="9" t="s">
        <v>177</v>
      </c>
      <c r="E10" s="9" t="s">
        <v>177</v>
      </c>
      <c r="F10" s="281"/>
      <c r="H10" s="1" t="s">
        <v>12</v>
      </c>
      <c r="I10" s="1" t="s">
        <v>13</v>
      </c>
      <c r="J10" s="1" t="s">
        <v>14</v>
      </c>
      <c r="K10" s="1" t="s">
        <v>15</v>
      </c>
      <c r="L10" s="1" t="s">
        <v>16</v>
      </c>
    </row>
    <row r="11" spans="1:17">
      <c r="A11" s="69" t="s">
        <v>165</v>
      </c>
      <c r="B11" s="10" t="s">
        <v>178</v>
      </c>
      <c r="C11" s="74">
        <v>211.3</v>
      </c>
      <c r="D11" s="33">
        <v>127.8</v>
      </c>
      <c r="E11" s="33">
        <v>127.8</v>
      </c>
      <c r="F11" s="8">
        <f t="shared" ref="F11" si="0">AVERAGE(C11:E11)</f>
        <v>155.63333333333335</v>
      </c>
      <c r="H11" s="67" t="e">
        <f>_xlfn.STDEV.S(F11:F11)</f>
        <v>#DIV/0!</v>
      </c>
      <c r="I11" s="68" t="e">
        <f>(H11/#REF!)*100</f>
        <v>#DIV/0!</v>
      </c>
      <c r="J11" s="67" t="e">
        <f>#REF!+H11</f>
        <v>#REF!</v>
      </c>
      <c r="K11" s="67" t="e">
        <f>#REF!-H11</f>
        <v>#REF!</v>
      </c>
      <c r="L11" s="8">
        <f t="shared" ref="L11" si="1">F11</f>
        <v>155.63333333333335</v>
      </c>
    </row>
    <row r="14" spans="1:17">
      <c r="A14" s="306" t="s">
        <v>179</v>
      </c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</row>
    <row r="15" spans="1:17">
      <c r="A15" s="282" t="s">
        <v>161</v>
      </c>
      <c r="B15" s="282" t="s">
        <v>175</v>
      </c>
      <c r="C15" s="13" t="s">
        <v>153</v>
      </c>
      <c r="D15" s="13" t="s">
        <v>154</v>
      </c>
      <c r="E15" s="18" t="s">
        <v>155</v>
      </c>
      <c r="F15" s="280" t="s">
        <v>176</v>
      </c>
      <c r="H15" s="282" t="s">
        <v>3</v>
      </c>
      <c r="I15" s="282"/>
      <c r="J15" s="282"/>
      <c r="K15" s="282"/>
      <c r="L15" s="282"/>
    </row>
    <row r="16" spans="1:17" ht="45">
      <c r="A16" s="229"/>
      <c r="B16" s="229"/>
      <c r="C16" s="9" t="s">
        <v>177</v>
      </c>
      <c r="D16" s="9" t="s">
        <v>177</v>
      </c>
      <c r="E16" s="9" t="s">
        <v>177</v>
      </c>
      <c r="F16" s="281"/>
      <c r="H16" s="1" t="s">
        <v>12</v>
      </c>
      <c r="I16" s="1" t="s">
        <v>13</v>
      </c>
      <c r="J16" s="1" t="s">
        <v>14</v>
      </c>
      <c r="K16" s="1" t="s">
        <v>15</v>
      </c>
      <c r="L16" s="1" t="s">
        <v>16</v>
      </c>
    </row>
    <row r="17" spans="1:12">
      <c r="A17" s="72" t="s">
        <v>169</v>
      </c>
      <c r="B17" s="14" t="s">
        <v>180</v>
      </c>
      <c r="C17" s="33">
        <v>85.9</v>
      </c>
      <c r="D17" s="33">
        <v>127.8</v>
      </c>
      <c r="E17" s="33">
        <v>127.8</v>
      </c>
      <c r="F17" s="8">
        <f>AVERAGE(C17:E17)</f>
        <v>113.83333333333333</v>
      </c>
      <c r="H17" s="70" t="e">
        <f>_xlfn.STDEV.S(F17:F17)</f>
        <v>#DIV/0!</v>
      </c>
      <c r="I17" s="71" t="e">
        <f>(H17/F18)*100</f>
        <v>#DIV/0!</v>
      </c>
      <c r="J17" s="70" t="e">
        <f>F18+H17</f>
        <v>#DIV/0!</v>
      </c>
      <c r="K17" s="70" t="e">
        <f>F18-H17</f>
        <v>#DIV/0!</v>
      </c>
      <c r="L17" s="8">
        <f>F17</f>
        <v>113.83333333333333</v>
      </c>
    </row>
    <row r="18" spans="1:12">
      <c r="A18" s="260" t="s">
        <v>166</v>
      </c>
      <c r="B18" s="260"/>
      <c r="C18" s="260"/>
      <c r="D18" s="260"/>
      <c r="E18" s="11"/>
      <c r="F18" s="6">
        <f>AVERAGE(F17:F17)</f>
        <v>113.83333333333333</v>
      </c>
      <c r="G18" s="15"/>
      <c r="H18" s="227" t="s">
        <v>16</v>
      </c>
      <c r="I18" s="227"/>
      <c r="J18" s="227"/>
      <c r="K18" s="227"/>
      <c r="L18" s="2">
        <f>AVERAGE(L17:L17)</f>
        <v>113.83333333333333</v>
      </c>
    </row>
    <row r="22" spans="1:12">
      <c r="A22" s="306" t="s">
        <v>181</v>
      </c>
      <c r="B22" s="306"/>
      <c r="C22" s="306"/>
      <c r="D22" s="306"/>
      <c r="E22" s="306"/>
      <c r="F22" s="306"/>
      <c r="G22" s="306"/>
      <c r="H22" s="306"/>
      <c r="I22" s="306"/>
      <c r="J22" s="306"/>
      <c r="K22" s="306"/>
      <c r="L22" s="306"/>
    </row>
    <row r="23" spans="1:12">
      <c r="A23" s="282" t="s">
        <v>161</v>
      </c>
      <c r="B23" s="282" t="s">
        <v>175</v>
      </c>
      <c r="C23" s="13" t="s">
        <v>153</v>
      </c>
      <c r="D23" s="13" t="s">
        <v>154</v>
      </c>
      <c r="E23" s="18" t="s">
        <v>155</v>
      </c>
      <c r="F23" s="280" t="s">
        <v>176</v>
      </c>
      <c r="H23" s="282" t="s">
        <v>3</v>
      </c>
      <c r="I23" s="282"/>
      <c r="J23" s="282"/>
      <c r="K23" s="282"/>
      <c r="L23" s="282"/>
    </row>
    <row r="24" spans="1:12" ht="45">
      <c r="A24" s="229"/>
      <c r="B24" s="229"/>
      <c r="C24" s="9" t="s">
        <v>177</v>
      </c>
      <c r="D24" s="9" t="s">
        <v>177</v>
      </c>
      <c r="E24" s="9" t="s">
        <v>177</v>
      </c>
      <c r="F24" s="281"/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</row>
    <row r="25" spans="1:12">
      <c r="A25" s="278" t="s">
        <v>172</v>
      </c>
      <c r="B25" s="77"/>
      <c r="C25" s="73"/>
      <c r="D25" s="73"/>
      <c r="E25" s="73"/>
      <c r="F25" s="73"/>
      <c r="H25" s="230" t="e">
        <f>_xlfn.STDEV.S(F25:F26)</f>
        <v>#DIV/0!</v>
      </c>
      <c r="I25" s="257" t="e">
        <f>(H25/F27)*100</f>
        <v>#DIV/0!</v>
      </c>
      <c r="J25" s="230" t="e">
        <f>F27+H25</f>
        <v>#DIV/0!</v>
      </c>
      <c r="K25" s="230" t="e">
        <f>F27-H25</f>
        <v>#DIV/0!</v>
      </c>
      <c r="L25" s="8"/>
    </row>
    <row r="26" spans="1:12">
      <c r="A26" s="305"/>
      <c r="B26" s="14" t="s">
        <v>182</v>
      </c>
      <c r="C26" s="34">
        <v>117.9</v>
      </c>
      <c r="D26" s="33">
        <v>127.66</v>
      </c>
      <c r="E26" s="33">
        <v>127.8</v>
      </c>
      <c r="F26" s="8">
        <f>AVERAGE(C26:E26)</f>
        <v>124.45333333333333</v>
      </c>
      <c r="H26" s="235"/>
      <c r="I26" s="259"/>
      <c r="J26" s="235"/>
      <c r="K26" s="235"/>
      <c r="L26" s="8">
        <f>F26</f>
        <v>124.45333333333333</v>
      </c>
    </row>
    <row r="27" spans="1:12">
      <c r="A27" s="260" t="s">
        <v>166</v>
      </c>
      <c r="B27" s="260"/>
      <c r="C27" s="260"/>
      <c r="D27" s="260"/>
      <c r="E27" s="11"/>
      <c r="F27" s="6">
        <f>AVERAGE(F25:F26)</f>
        <v>124.45333333333333</v>
      </c>
      <c r="G27" s="15"/>
      <c r="H27" s="227" t="s">
        <v>16</v>
      </c>
      <c r="I27" s="227"/>
      <c r="J27" s="227"/>
      <c r="K27" s="227"/>
      <c r="L27" s="2">
        <f>AVERAGE(L25:L26)</f>
        <v>124.45333333333333</v>
      </c>
    </row>
  </sheetData>
  <mergeCells count="25">
    <mergeCell ref="F1:Q1"/>
    <mergeCell ref="A8:L8"/>
    <mergeCell ref="A9:A10"/>
    <mergeCell ref="B9:B10"/>
    <mergeCell ref="F9:F10"/>
    <mergeCell ref="H9:L9"/>
    <mergeCell ref="A14:L14"/>
    <mergeCell ref="A15:A16"/>
    <mergeCell ref="B15:B16"/>
    <mergeCell ref="F15:F16"/>
    <mergeCell ref="H15:L15"/>
    <mergeCell ref="A27:D27"/>
    <mergeCell ref="H27:K27"/>
    <mergeCell ref="A18:D18"/>
    <mergeCell ref="H18:K18"/>
    <mergeCell ref="A22:L22"/>
    <mergeCell ref="A23:A24"/>
    <mergeCell ref="B23:B24"/>
    <mergeCell ref="F23:F24"/>
    <mergeCell ref="H23:L23"/>
    <mergeCell ref="A25:A26"/>
    <mergeCell ref="H25:H26"/>
    <mergeCell ref="I25:I26"/>
    <mergeCell ref="J25:J26"/>
    <mergeCell ref="K25:K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57436-A1DE-47DC-AB00-1154587A64A0}">
  <sheetPr>
    <tabColor rgb="FF00B050"/>
  </sheetPr>
  <dimension ref="A1:V55"/>
  <sheetViews>
    <sheetView topLeftCell="B46" zoomScaleNormal="100" workbookViewId="0">
      <selection activeCell="J52" sqref="J52:J54"/>
    </sheetView>
  </sheetViews>
  <sheetFormatPr defaultRowHeight="15"/>
  <cols>
    <col min="1" max="1" width="18" customWidth="1"/>
    <col min="2" max="2" width="15.7109375" customWidth="1"/>
    <col min="3" max="4" width="15.28515625" customWidth="1"/>
    <col min="5" max="5" width="18.5703125" customWidth="1"/>
    <col min="6" max="7" width="21.5703125" customWidth="1"/>
    <col min="8" max="8" width="19.140625" customWidth="1"/>
    <col min="9" max="10" width="20.28515625" customWidth="1"/>
    <col min="11" max="11" width="18.7109375" customWidth="1"/>
    <col min="14" max="14" width="11.85546875" customWidth="1"/>
    <col min="15" max="15" width="11.28515625" customWidth="1"/>
    <col min="16" max="16" width="11.5703125" customWidth="1"/>
    <col min="17" max="17" width="10.7109375" bestFit="1" customWidth="1"/>
  </cols>
  <sheetData>
    <row r="1" spans="1:22" ht="18.75">
      <c r="C1" s="16"/>
      <c r="D1" s="16"/>
      <c r="E1" s="16"/>
      <c r="F1" s="17" t="s">
        <v>183</v>
      </c>
      <c r="G1" s="17"/>
      <c r="H1" s="17"/>
      <c r="I1" s="17"/>
      <c r="J1" s="17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</row>
    <row r="6" spans="1:22">
      <c r="A6" s="283" t="s">
        <v>184</v>
      </c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5"/>
    </row>
    <row r="7" spans="1:22" ht="14.25" customHeight="1">
      <c r="A7" s="19"/>
      <c r="B7" s="297" t="s">
        <v>185</v>
      </c>
      <c r="C7" s="298"/>
      <c r="D7" s="299"/>
      <c r="E7" s="297" t="s">
        <v>154</v>
      </c>
      <c r="F7" s="298"/>
      <c r="G7" s="299"/>
      <c r="H7" s="300" t="s">
        <v>155</v>
      </c>
      <c r="I7" s="301"/>
      <c r="J7" s="302"/>
      <c r="K7" s="280" t="s">
        <v>156</v>
      </c>
      <c r="M7" s="282" t="s">
        <v>3</v>
      </c>
      <c r="N7" s="282"/>
      <c r="O7" s="282"/>
      <c r="P7" s="282"/>
      <c r="Q7" s="282"/>
    </row>
    <row r="8" spans="1:22" ht="14.25" customHeight="1">
      <c r="A8" s="286" t="s">
        <v>157</v>
      </c>
      <c r="B8" s="294" t="s">
        <v>186</v>
      </c>
      <c r="C8" s="295"/>
      <c r="D8" s="296"/>
      <c r="E8" s="294" t="s">
        <v>187</v>
      </c>
      <c r="F8" s="295"/>
      <c r="G8" s="296"/>
      <c r="H8" s="272" t="s">
        <v>188</v>
      </c>
      <c r="I8" s="273"/>
      <c r="J8" s="274"/>
      <c r="K8" s="280"/>
      <c r="M8" s="12"/>
      <c r="N8" s="12"/>
      <c r="O8" s="12"/>
      <c r="P8" s="12"/>
      <c r="Q8" s="12"/>
    </row>
    <row r="9" spans="1:22" ht="153" customHeight="1">
      <c r="A9" s="287"/>
      <c r="B9" s="275"/>
      <c r="C9" s="276"/>
      <c r="D9" s="277"/>
      <c r="E9" s="275"/>
      <c r="F9" s="276"/>
      <c r="G9" s="277"/>
      <c r="H9" s="275"/>
      <c r="I9" s="276"/>
      <c r="J9" s="277"/>
      <c r="K9" s="280"/>
      <c r="M9" s="12"/>
      <c r="N9" s="12"/>
      <c r="O9" s="12"/>
      <c r="P9" s="12"/>
      <c r="Q9" s="12"/>
    </row>
    <row r="10" spans="1:22" ht="56.25" customHeight="1">
      <c r="A10" s="21" t="s">
        <v>161</v>
      </c>
      <c r="B10" s="20" t="s">
        <v>162</v>
      </c>
      <c r="C10" s="9" t="s">
        <v>163</v>
      </c>
      <c r="D10" s="19" t="s">
        <v>164</v>
      </c>
      <c r="E10" s="20" t="s">
        <v>162</v>
      </c>
      <c r="F10" s="9" t="s">
        <v>163</v>
      </c>
      <c r="G10" s="19" t="s">
        <v>164</v>
      </c>
      <c r="H10" s="20" t="s">
        <v>162</v>
      </c>
      <c r="I10" s="9" t="s">
        <v>163</v>
      </c>
      <c r="J10" s="19" t="s">
        <v>164</v>
      </c>
      <c r="K10" s="281"/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</row>
    <row r="11" spans="1:22">
      <c r="A11" s="278" t="s">
        <v>189</v>
      </c>
      <c r="B11" s="264">
        <v>2718.3</v>
      </c>
      <c r="C11" s="264">
        <f>'FRETE 12000 BTU '!L10</f>
        <v>652.18333333333328</v>
      </c>
      <c r="D11" s="264">
        <f>SUM(B11:C15)</f>
        <v>3370.4833333333336</v>
      </c>
      <c r="E11" s="264">
        <v>2802.46</v>
      </c>
      <c r="F11" s="267">
        <f>'FRETE 12000 BTU '!L10</f>
        <v>652.18333333333328</v>
      </c>
      <c r="G11" s="261">
        <f>SUM(E11:F15)</f>
        <v>3454.6433333333334</v>
      </c>
      <c r="H11" s="264">
        <v>2758.16</v>
      </c>
      <c r="I11" s="267">
        <f>'FRETE 12000 BTU '!L10</f>
        <v>652.18333333333328</v>
      </c>
      <c r="J11" s="261">
        <f>SUM(H11:I15)</f>
        <v>3410.3433333333332</v>
      </c>
      <c r="K11" s="309">
        <v>45676</v>
      </c>
      <c r="M11" s="230">
        <f>_xlfn.STDEV.S(D11,G11,J11)</f>
        <v>42.099515436641241</v>
      </c>
      <c r="N11" s="257">
        <f>(M11/K16)*100</f>
        <v>1.2339301107806844</v>
      </c>
      <c r="O11" s="230">
        <f>K16+M11</f>
        <v>3453.9228487699747</v>
      </c>
      <c r="P11" s="230">
        <f>K16-M11</f>
        <v>3369.7238178966927</v>
      </c>
      <c r="Q11" s="23">
        <f>D11</f>
        <v>3370.4833333333336</v>
      </c>
    </row>
    <row r="12" spans="1:22" ht="14.25" customHeight="1">
      <c r="A12" s="279"/>
      <c r="B12" s="265"/>
      <c r="C12" s="265"/>
      <c r="D12" s="265"/>
      <c r="E12" s="265"/>
      <c r="F12" s="268"/>
      <c r="G12" s="262"/>
      <c r="H12" s="265"/>
      <c r="I12" s="268"/>
      <c r="J12" s="262"/>
      <c r="K12" s="309"/>
      <c r="M12" s="231"/>
      <c r="N12" s="258"/>
      <c r="O12" s="231"/>
      <c r="P12" s="231"/>
      <c r="Q12" s="24">
        <f>D11</f>
        <v>3370.4833333333336</v>
      </c>
    </row>
    <row r="13" spans="1:22">
      <c r="A13" s="279"/>
      <c r="B13" s="265"/>
      <c r="C13" s="265"/>
      <c r="D13" s="265"/>
      <c r="E13" s="265"/>
      <c r="F13" s="268"/>
      <c r="G13" s="262"/>
      <c r="H13" s="265"/>
      <c r="I13" s="268"/>
      <c r="J13" s="262"/>
      <c r="K13" s="309"/>
      <c r="M13" s="231"/>
      <c r="N13" s="258"/>
      <c r="O13" s="231"/>
      <c r="P13" s="231"/>
      <c r="Q13" s="24">
        <f>J11</f>
        <v>3410.3433333333332</v>
      </c>
    </row>
    <row r="14" spans="1:22">
      <c r="A14" s="279"/>
      <c r="B14" s="265"/>
      <c r="C14" s="265"/>
      <c r="D14" s="265"/>
      <c r="E14" s="265"/>
      <c r="F14" s="268"/>
      <c r="G14" s="262"/>
      <c r="H14" s="265"/>
      <c r="I14" s="268"/>
      <c r="J14" s="262"/>
      <c r="K14" s="309"/>
      <c r="M14" s="231"/>
      <c r="N14" s="258"/>
      <c r="O14" s="231"/>
      <c r="P14" s="231"/>
      <c r="Q14" s="24"/>
    </row>
    <row r="15" spans="1:22">
      <c r="A15" s="305"/>
      <c r="B15" s="266"/>
      <c r="C15" s="266"/>
      <c r="D15" s="266"/>
      <c r="E15" s="266"/>
      <c r="F15" s="269"/>
      <c r="G15" s="263"/>
      <c r="H15" s="266"/>
      <c r="I15" s="269"/>
      <c r="J15" s="263"/>
      <c r="K15" s="309"/>
      <c r="M15" s="235"/>
      <c r="N15" s="259"/>
      <c r="O15" s="235"/>
      <c r="P15" s="235"/>
      <c r="Q15" s="25"/>
    </row>
    <row r="16" spans="1:22">
      <c r="A16" s="260"/>
      <c r="B16" s="260"/>
      <c r="C16" s="260"/>
      <c r="D16" s="260"/>
      <c r="E16" s="260"/>
      <c r="F16" s="260"/>
      <c r="G16" s="11"/>
      <c r="H16" s="11"/>
      <c r="I16" s="11"/>
      <c r="J16" s="11" t="s">
        <v>167</v>
      </c>
      <c r="K16" s="27">
        <f>AVERAGE(D11,G11,J11)</f>
        <v>3411.8233333333337</v>
      </c>
      <c r="L16" s="15"/>
      <c r="M16" s="227" t="s">
        <v>16</v>
      </c>
      <c r="N16" s="227"/>
      <c r="O16" s="227"/>
      <c r="P16" s="227"/>
      <c r="Q16" s="2">
        <f>AVERAGE(Q11:Q15)</f>
        <v>3383.7700000000004</v>
      </c>
    </row>
    <row r="20" spans="1:17">
      <c r="A20" s="283" t="s">
        <v>152</v>
      </c>
      <c r="B20" s="284"/>
      <c r="C20" s="284"/>
      <c r="D20" s="284"/>
      <c r="E20" s="284"/>
      <c r="F20" s="284"/>
      <c r="G20" s="284"/>
      <c r="H20" s="284"/>
      <c r="I20" s="284"/>
      <c r="J20" s="284"/>
      <c r="K20" s="284"/>
      <c r="L20" s="284"/>
      <c r="M20" s="284"/>
      <c r="N20" s="284"/>
      <c r="O20" s="284"/>
      <c r="P20" s="284"/>
      <c r="Q20" s="285"/>
    </row>
    <row r="21" spans="1:17">
      <c r="A21" s="19"/>
      <c r="B21" s="297" t="s">
        <v>185</v>
      </c>
      <c r="C21" s="298"/>
      <c r="D21" s="299"/>
      <c r="E21" s="297" t="s">
        <v>154</v>
      </c>
      <c r="F21" s="298"/>
      <c r="G21" s="299"/>
      <c r="H21" s="300" t="s">
        <v>155</v>
      </c>
      <c r="I21" s="301"/>
      <c r="J21" s="302"/>
      <c r="K21" s="280" t="s">
        <v>156</v>
      </c>
      <c r="M21" s="282" t="s">
        <v>3</v>
      </c>
      <c r="N21" s="282"/>
      <c r="O21" s="282"/>
      <c r="P21" s="282"/>
      <c r="Q21" s="282"/>
    </row>
    <row r="22" spans="1:17" ht="15" customHeight="1">
      <c r="A22" s="286" t="s">
        <v>157</v>
      </c>
      <c r="B22" s="294" t="s">
        <v>186</v>
      </c>
      <c r="C22" s="295"/>
      <c r="D22" s="296"/>
      <c r="E22" s="294" t="s">
        <v>190</v>
      </c>
      <c r="F22" s="295"/>
      <c r="G22" s="296"/>
      <c r="H22" s="272" t="s">
        <v>188</v>
      </c>
      <c r="I22" s="273"/>
      <c r="J22" s="274"/>
      <c r="K22" s="280"/>
      <c r="M22" s="12"/>
      <c r="N22" s="12"/>
      <c r="O22" s="12"/>
      <c r="P22" s="12"/>
      <c r="Q22" s="12"/>
    </row>
    <row r="23" spans="1:17" ht="172.5" customHeight="1">
      <c r="A23" s="287"/>
      <c r="B23" s="275"/>
      <c r="C23" s="276"/>
      <c r="D23" s="277"/>
      <c r="E23" s="275"/>
      <c r="F23" s="276"/>
      <c r="G23" s="277"/>
      <c r="H23" s="275"/>
      <c r="I23" s="276"/>
      <c r="J23" s="277"/>
      <c r="K23" s="280"/>
      <c r="M23" s="12"/>
      <c r="N23" s="12"/>
      <c r="O23" s="12"/>
      <c r="P23" s="12"/>
      <c r="Q23" s="12"/>
    </row>
    <row r="24" spans="1:17" ht="45">
      <c r="A24" s="21" t="s">
        <v>161</v>
      </c>
      <c r="B24" s="20" t="s">
        <v>162</v>
      </c>
      <c r="C24" s="9" t="s">
        <v>163</v>
      </c>
      <c r="D24" s="19" t="s">
        <v>164</v>
      </c>
      <c r="E24" s="20" t="s">
        <v>162</v>
      </c>
      <c r="F24" s="9" t="s">
        <v>163</v>
      </c>
      <c r="G24" s="19" t="s">
        <v>164</v>
      </c>
      <c r="H24" s="20" t="s">
        <v>162</v>
      </c>
      <c r="I24" s="9" t="s">
        <v>163</v>
      </c>
      <c r="J24" s="19" t="s">
        <v>164</v>
      </c>
      <c r="K24" s="281"/>
      <c r="M24" s="1" t="s">
        <v>12</v>
      </c>
      <c r="N24" s="1" t="s">
        <v>13</v>
      </c>
      <c r="O24" s="1" t="s">
        <v>14</v>
      </c>
      <c r="P24" s="1" t="s">
        <v>15</v>
      </c>
      <c r="Q24" s="1" t="s">
        <v>16</v>
      </c>
    </row>
    <row r="25" spans="1:17">
      <c r="A25" s="278" t="s">
        <v>165</v>
      </c>
      <c r="B25" s="264">
        <v>2718.3</v>
      </c>
      <c r="C25" s="264">
        <f>'FRETE 12000 BTU '!L20</f>
        <v>436.65</v>
      </c>
      <c r="D25" s="264">
        <f>SUM(B25:C30)</f>
        <v>3154.9500000000003</v>
      </c>
      <c r="E25" s="264">
        <v>2802.46</v>
      </c>
      <c r="F25" s="267">
        <f>'FRETE 12000 BTU '!L20</f>
        <v>436.65</v>
      </c>
      <c r="G25" s="261">
        <f>SUM(E25:F30)</f>
        <v>3239.11</v>
      </c>
      <c r="H25" s="264">
        <v>2758.16</v>
      </c>
      <c r="I25" s="267">
        <f>'FRETE 12000 BTU '!L20</f>
        <v>436.65</v>
      </c>
      <c r="J25" s="261">
        <f>SUM(H25:I30)</f>
        <v>3194.81</v>
      </c>
      <c r="K25" s="307">
        <v>45676</v>
      </c>
      <c r="M25" s="230">
        <f>_xlfn.STDEV.S(D25,G25,J25)</f>
        <v>42.099515436641241</v>
      </c>
      <c r="N25" s="257">
        <f>(M25/K31)*100</f>
        <v>1.3171369130035522</v>
      </c>
      <c r="O25" s="230">
        <f>K31+M25</f>
        <v>3238.3895154366419</v>
      </c>
      <c r="P25" s="230">
        <f>K31-M25</f>
        <v>3154.190484563359</v>
      </c>
      <c r="Q25" s="23">
        <f>D25</f>
        <v>3154.9500000000003</v>
      </c>
    </row>
    <row r="26" spans="1:17">
      <c r="A26" s="279"/>
      <c r="B26" s="265"/>
      <c r="C26" s="265"/>
      <c r="D26" s="265"/>
      <c r="E26" s="265"/>
      <c r="F26" s="268"/>
      <c r="G26" s="262"/>
      <c r="H26" s="265"/>
      <c r="I26" s="268"/>
      <c r="J26" s="262"/>
      <c r="K26" s="308"/>
      <c r="M26" s="231"/>
      <c r="N26" s="258"/>
      <c r="O26" s="231"/>
      <c r="P26" s="231"/>
      <c r="Q26" s="24">
        <f>J25</f>
        <v>3194.81</v>
      </c>
    </row>
    <row r="27" spans="1:17">
      <c r="A27" s="279"/>
      <c r="B27" s="265"/>
      <c r="C27" s="265"/>
      <c r="D27" s="265"/>
      <c r="E27" s="265"/>
      <c r="F27" s="268"/>
      <c r="G27" s="262"/>
      <c r="H27" s="265"/>
      <c r="I27" s="268"/>
      <c r="J27" s="262"/>
      <c r="K27" s="308"/>
      <c r="M27" s="231"/>
      <c r="N27" s="258"/>
      <c r="O27" s="231"/>
      <c r="P27" s="231"/>
      <c r="Q27" s="24"/>
    </row>
    <row r="28" spans="1:17">
      <c r="A28" s="279"/>
      <c r="B28" s="265"/>
      <c r="C28" s="265"/>
      <c r="D28" s="265"/>
      <c r="E28" s="265"/>
      <c r="F28" s="268"/>
      <c r="G28" s="262"/>
      <c r="H28" s="265"/>
      <c r="I28" s="268"/>
      <c r="J28" s="262"/>
      <c r="K28" s="308"/>
      <c r="M28" s="231"/>
      <c r="N28" s="258"/>
      <c r="O28" s="231"/>
      <c r="P28" s="231"/>
      <c r="Q28" s="24"/>
    </row>
    <row r="29" spans="1:17">
      <c r="A29" s="279"/>
      <c r="B29" s="265"/>
      <c r="C29" s="265"/>
      <c r="D29" s="265"/>
      <c r="E29" s="265"/>
      <c r="F29" s="268"/>
      <c r="G29" s="262"/>
      <c r="H29" s="265"/>
      <c r="I29" s="268"/>
      <c r="J29" s="262"/>
      <c r="K29" s="308"/>
      <c r="M29" s="231"/>
      <c r="N29" s="258"/>
      <c r="O29" s="231"/>
      <c r="P29" s="231"/>
      <c r="Q29" s="24"/>
    </row>
    <row r="30" spans="1:17">
      <c r="A30" s="305"/>
      <c r="B30" s="266"/>
      <c r="C30" s="266"/>
      <c r="D30" s="266"/>
      <c r="E30" s="266"/>
      <c r="F30" s="269"/>
      <c r="G30" s="263"/>
      <c r="H30" s="266"/>
      <c r="I30" s="269"/>
      <c r="J30" s="263"/>
      <c r="K30" s="308"/>
      <c r="M30" s="235"/>
      <c r="N30" s="259"/>
      <c r="O30" s="235"/>
      <c r="P30" s="235"/>
      <c r="Q30" s="25"/>
    </row>
    <row r="31" spans="1:17">
      <c r="A31" s="260" t="s">
        <v>166</v>
      </c>
      <c r="B31" s="260"/>
      <c r="C31" s="260"/>
      <c r="D31" s="260"/>
      <c r="E31" s="260"/>
      <c r="F31" s="260"/>
      <c r="G31" s="11"/>
      <c r="H31" s="11"/>
      <c r="I31" s="11"/>
      <c r="J31" s="11" t="s">
        <v>167</v>
      </c>
      <c r="K31" s="27">
        <f>AVERAGE(D25,G25,J25)</f>
        <v>3196.2900000000004</v>
      </c>
      <c r="L31" s="15"/>
      <c r="M31" s="227" t="s">
        <v>16</v>
      </c>
      <c r="N31" s="227"/>
      <c r="O31" s="227"/>
      <c r="P31" s="227"/>
      <c r="Q31" s="2">
        <f>AVERAGE(Q25:Q30)</f>
        <v>3174.88</v>
      </c>
    </row>
    <row r="34" spans="1:17">
      <c r="A34" s="283" t="s">
        <v>168</v>
      </c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4"/>
      <c r="P34" s="284"/>
      <c r="Q34" s="285"/>
    </row>
    <row r="35" spans="1:17">
      <c r="A35" s="19"/>
      <c r="B35" s="297" t="s">
        <v>185</v>
      </c>
      <c r="C35" s="298"/>
      <c r="D35" s="299"/>
      <c r="E35" s="297" t="s">
        <v>154</v>
      </c>
      <c r="F35" s="298"/>
      <c r="G35" s="299"/>
      <c r="H35" s="300" t="s">
        <v>155</v>
      </c>
      <c r="I35" s="301"/>
      <c r="J35" s="302"/>
      <c r="K35" s="280" t="s">
        <v>156</v>
      </c>
      <c r="M35" s="282" t="s">
        <v>3</v>
      </c>
      <c r="N35" s="282"/>
      <c r="O35" s="282"/>
      <c r="P35" s="282"/>
      <c r="Q35" s="282"/>
    </row>
    <row r="36" spans="1:17" ht="15" customHeight="1">
      <c r="A36" s="286" t="s">
        <v>157</v>
      </c>
      <c r="B36" s="294" t="s">
        <v>186</v>
      </c>
      <c r="C36" s="295"/>
      <c r="D36" s="296"/>
      <c r="E36" s="294" t="s">
        <v>191</v>
      </c>
      <c r="F36" s="295"/>
      <c r="G36" s="296"/>
      <c r="H36" s="272" t="s">
        <v>188</v>
      </c>
      <c r="I36" s="273"/>
      <c r="J36" s="274"/>
      <c r="K36" s="280"/>
      <c r="M36" s="12"/>
      <c r="N36" s="12"/>
      <c r="O36" s="12"/>
      <c r="P36" s="12"/>
      <c r="Q36" s="12"/>
    </row>
    <row r="37" spans="1:17" ht="153.75" customHeight="1">
      <c r="A37" s="287"/>
      <c r="B37" s="275"/>
      <c r="C37" s="276"/>
      <c r="D37" s="277"/>
      <c r="E37" s="275"/>
      <c r="F37" s="276"/>
      <c r="G37" s="277"/>
      <c r="H37" s="275"/>
      <c r="I37" s="276"/>
      <c r="J37" s="277"/>
      <c r="K37" s="280"/>
      <c r="M37" s="12"/>
      <c r="N37" s="12"/>
      <c r="O37" s="12"/>
      <c r="P37" s="12"/>
      <c r="Q37" s="12"/>
    </row>
    <row r="38" spans="1:17" ht="45">
      <c r="A38" s="21" t="s">
        <v>161</v>
      </c>
      <c r="B38" s="20" t="s">
        <v>162</v>
      </c>
      <c r="C38" s="9" t="s">
        <v>163</v>
      </c>
      <c r="D38" s="19" t="s">
        <v>164</v>
      </c>
      <c r="E38" s="20" t="s">
        <v>162</v>
      </c>
      <c r="F38" s="9" t="s">
        <v>163</v>
      </c>
      <c r="G38" s="19" t="s">
        <v>164</v>
      </c>
      <c r="H38" s="20" t="s">
        <v>162</v>
      </c>
      <c r="I38" s="9" t="s">
        <v>163</v>
      </c>
      <c r="J38" s="19" t="s">
        <v>164</v>
      </c>
      <c r="K38" s="281"/>
      <c r="M38" s="1" t="s">
        <v>12</v>
      </c>
      <c r="N38" s="1" t="s">
        <v>13</v>
      </c>
      <c r="O38" s="1" t="s">
        <v>14</v>
      </c>
      <c r="P38" s="1" t="s">
        <v>15</v>
      </c>
      <c r="Q38" s="1" t="s">
        <v>16</v>
      </c>
    </row>
    <row r="39" spans="1:17">
      <c r="A39" s="303" t="s">
        <v>169</v>
      </c>
      <c r="B39" s="264">
        <v>2718.3</v>
      </c>
      <c r="C39" s="264">
        <f>'FRETE 12000 BTU '!L28</f>
        <v>119.90000000000002</v>
      </c>
      <c r="D39" s="264">
        <f>SUM(B39:C41)</f>
        <v>2838.2000000000003</v>
      </c>
      <c r="E39" s="264">
        <v>2802.46</v>
      </c>
      <c r="F39" s="267">
        <f>'FRETE 12000 BTU '!L28</f>
        <v>119.90000000000002</v>
      </c>
      <c r="G39" s="261">
        <f>SUM(E39:F41)</f>
        <v>2922.36</v>
      </c>
      <c r="H39" s="264">
        <v>2758.16</v>
      </c>
      <c r="I39" s="267">
        <f>'FRETE 12000 BTU '!L28</f>
        <v>119.90000000000002</v>
      </c>
      <c r="J39" s="261">
        <f>SUM(H39:I41)</f>
        <v>2878.06</v>
      </c>
      <c r="K39" s="270">
        <v>45679</v>
      </c>
      <c r="M39" s="230">
        <f>_xlfn.STDEV.S(D39,G39,J39)</f>
        <v>42.099515436641241</v>
      </c>
      <c r="N39" s="257">
        <f>(M39/K42)*100</f>
        <v>1.4620222478813016</v>
      </c>
      <c r="O39" s="230">
        <f>K42+M39</f>
        <v>2921.6395154366419</v>
      </c>
      <c r="P39" s="230">
        <f>K42-M39</f>
        <v>2837.440484563359</v>
      </c>
      <c r="Q39" s="8">
        <f>G39</f>
        <v>2922.36</v>
      </c>
    </row>
    <row r="40" spans="1:17">
      <c r="A40" s="304"/>
      <c r="B40" s="265"/>
      <c r="C40" s="265"/>
      <c r="D40" s="265"/>
      <c r="E40" s="265"/>
      <c r="F40" s="268"/>
      <c r="G40" s="262"/>
      <c r="H40" s="265"/>
      <c r="I40" s="268"/>
      <c r="J40" s="262"/>
      <c r="K40" s="271"/>
      <c r="M40" s="231"/>
      <c r="N40" s="258"/>
      <c r="O40" s="231"/>
      <c r="P40" s="231"/>
      <c r="Q40" s="15">
        <f>J39</f>
        <v>2878.06</v>
      </c>
    </row>
    <row r="41" spans="1:17">
      <c r="A41" s="304"/>
      <c r="B41" s="266"/>
      <c r="C41" s="266"/>
      <c r="D41" s="266"/>
      <c r="E41" s="266"/>
      <c r="F41" s="269"/>
      <c r="G41" s="263"/>
      <c r="H41" s="266"/>
      <c r="I41" s="269"/>
      <c r="J41" s="263"/>
      <c r="K41" s="271"/>
      <c r="M41" s="235"/>
      <c r="N41" s="259"/>
      <c r="O41" s="235"/>
      <c r="P41" s="235"/>
      <c r="Q41" s="75" t="s">
        <v>170</v>
      </c>
    </row>
    <row r="42" spans="1:17">
      <c r="A42" s="260"/>
      <c r="B42" s="260"/>
      <c r="C42" s="260"/>
      <c r="D42" s="260"/>
      <c r="E42" s="260"/>
      <c r="F42" s="260"/>
      <c r="G42" s="11"/>
      <c r="H42" s="11"/>
      <c r="I42" s="11"/>
      <c r="J42" s="11" t="s">
        <v>167</v>
      </c>
      <c r="K42" s="27">
        <f>AVERAGE(D39,G39,J39)</f>
        <v>2879.5400000000004</v>
      </c>
      <c r="L42" s="15"/>
      <c r="M42" s="227" t="s">
        <v>16</v>
      </c>
      <c r="N42" s="227"/>
      <c r="O42" s="227"/>
      <c r="P42" s="227"/>
      <c r="Q42" s="2">
        <f>AVERAGE(Q39:Q41)</f>
        <v>2900.21</v>
      </c>
    </row>
    <row r="47" spans="1:17">
      <c r="A47" s="283" t="s">
        <v>171</v>
      </c>
      <c r="B47" s="284"/>
      <c r="C47" s="284"/>
      <c r="D47" s="284"/>
      <c r="E47" s="284"/>
      <c r="F47" s="284"/>
      <c r="G47" s="284"/>
      <c r="H47" s="284"/>
      <c r="I47" s="284"/>
      <c r="J47" s="284"/>
      <c r="K47" s="284"/>
      <c r="L47" s="284"/>
      <c r="M47" s="284"/>
      <c r="N47" s="284"/>
      <c r="O47" s="284"/>
      <c r="P47" s="284"/>
      <c r="Q47" s="285"/>
    </row>
    <row r="48" spans="1:17">
      <c r="A48" s="19"/>
      <c r="B48" s="297" t="s">
        <v>185</v>
      </c>
      <c r="C48" s="298"/>
      <c r="D48" s="299"/>
      <c r="E48" s="297" t="s">
        <v>154</v>
      </c>
      <c r="F48" s="298"/>
      <c r="G48" s="299"/>
      <c r="H48" s="300" t="s">
        <v>155</v>
      </c>
      <c r="I48" s="301"/>
      <c r="J48" s="302"/>
      <c r="K48" s="280" t="s">
        <v>156</v>
      </c>
      <c r="M48" s="282" t="s">
        <v>3</v>
      </c>
      <c r="N48" s="282"/>
      <c r="O48" s="282"/>
      <c r="P48" s="282"/>
      <c r="Q48" s="282"/>
    </row>
    <row r="49" spans="1:17">
      <c r="A49" s="286" t="s">
        <v>157</v>
      </c>
      <c r="B49" s="294" t="s">
        <v>186</v>
      </c>
      <c r="C49" s="295"/>
      <c r="D49" s="296"/>
      <c r="E49" s="294" t="s">
        <v>187</v>
      </c>
      <c r="F49" s="295"/>
      <c r="G49" s="296"/>
      <c r="H49" s="272" t="s">
        <v>188</v>
      </c>
      <c r="I49" s="273"/>
      <c r="J49" s="274"/>
      <c r="K49" s="280"/>
      <c r="M49" s="12"/>
      <c r="N49" s="12"/>
      <c r="O49" s="12"/>
      <c r="P49" s="12"/>
      <c r="Q49" s="12"/>
    </row>
    <row r="50" spans="1:17" ht="152.25" customHeight="1">
      <c r="A50" s="287"/>
      <c r="B50" s="275"/>
      <c r="C50" s="276"/>
      <c r="D50" s="277"/>
      <c r="E50" s="275"/>
      <c r="F50" s="276"/>
      <c r="G50" s="277"/>
      <c r="H50" s="275"/>
      <c r="I50" s="276"/>
      <c r="J50" s="277"/>
      <c r="K50" s="280"/>
      <c r="M50" s="12"/>
      <c r="N50" s="12"/>
      <c r="O50" s="12"/>
      <c r="P50" s="12"/>
      <c r="Q50" s="12"/>
    </row>
    <row r="51" spans="1:17" ht="45">
      <c r="A51" s="21" t="s">
        <v>161</v>
      </c>
      <c r="B51" s="20" t="s">
        <v>162</v>
      </c>
      <c r="C51" s="9" t="s">
        <v>163</v>
      </c>
      <c r="D51" s="19" t="s">
        <v>164</v>
      </c>
      <c r="E51" s="20" t="s">
        <v>162</v>
      </c>
      <c r="F51" s="9" t="s">
        <v>163</v>
      </c>
      <c r="G51" s="19" t="s">
        <v>164</v>
      </c>
      <c r="H51" s="20" t="s">
        <v>162</v>
      </c>
      <c r="I51" s="9" t="s">
        <v>163</v>
      </c>
      <c r="J51" s="19" t="s">
        <v>164</v>
      </c>
      <c r="K51" s="281"/>
      <c r="M51" s="1" t="s">
        <v>12</v>
      </c>
      <c r="N51" s="1" t="s">
        <v>13</v>
      </c>
      <c r="O51" s="1" t="s">
        <v>14</v>
      </c>
      <c r="P51" s="1" t="s">
        <v>15</v>
      </c>
      <c r="Q51" s="1" t="s">
        <v>16</v>
      </c>
    </row>
    <row r="52" spans="1:17">
      <c r="A52" s="278" t="s">
        <v>172</v>
      </c>
      <c r="B52" s="264">
        <v>2718.3</v>
      </c>
      <c r="C52" s="264">
        <f>'FRETE 12000 BTU '!L39</f>
        <v>123.23333333333335</v>
      </c>
      <c r="D52" s="264">
        <f>SUM(B52:C54)</f>
        <v>2841.5333333333338</v>
      </c>
      <c r="E52" s="264">
        <v>2802.46</v>
      </c>
      <c r="F52" s="267">
        <f>'FRETE 12000 BTU '!L39</f>
        <v>123.23333333333335</v>
      </c>
      <c r="G52" s="261">
        <f>SUM(E52:F54)</f>
        <v>2925.6933333333336</v>
      </c>
      <c r="H52" s="264">
        <v>2758.16</v>
      </c>
      <c r="I52" s="267">
        <f>'FRETE 12000 BTU '!L39</f>
        <v>123.23333333333335</v>
      </c>
      <c r="J52" s="261">
        <f>SUM(H52:I54)</f>
        <v>2881.3933333333334</v>
      </c>
      <c r="K52" s="307">
        <v>45676</v>
      </c>
      <c r="M52" s="230">
        <f>_xlfn.STDEV.S(D52,G52,J52)</f>
        <v>42.099515436641241</v>
      </c>
      <c r="N52" s="257">
        <f>(M52/K55)*100</f>
        <v>1.4603317790575112</v>
      </c>
      <c r="O52" s="230">
        <f>K55+M52</f>
        <v>2924.9728487699749</v>
      </c>
      <c r="P52" s="230">
        <f>K55-M52</f>
        <v>2840.773817896692</v>
      </c>
      <c r="Q52" s="8"/>
    </row>
    <row r="53" spans="1:17">
      <c r="A53" s="279"/>
      <c r="B53" s="265"/>
      <c r="C53" s="265"/>
      <c r="D53" s="265"/>
      <c r="E53" s="265"/>
      <c r="F53" s="268"/>
      <c r="G53" s="262"/>
      <c r="H53" s="265"/>
      <c r="I53" s="268"/>
      <c r="J53" s="262"/>
      <c r="K53" s="308"/>
      <c r="M53" s="231"/>
      <c r="N53" s="258"/>
      <c r="O53" s="231"/>
      <c r="P53" s="231"/>
      <c r="Q53" s="8">
        <f>G52</f>
        <v>2925.6933333333336</v>
      </c>
    </row>
    <row r="54" spans="1:17">
      <c r="A54" s="279"/>
      <c r="B54" s="266"/>
      <c r="C54" s="266"/>
      <c r="D54" s="266"/>
      <c r="E54" s="266"/>
      <c r="F54" s="269"/>
      <c r="G54" s="263"/>
      <c r="H54" s="266"/>
      <c r="I54" s="269"/>
      <c r="J54" s="263"/>
      <c r="K54" s="308"/>
      <c r="M54" s="235"/>
      <c r="N54" s="259"/>
      <c r="O54" s="235"/>
      <c r="P54" s="235"/>
      <c r="Q54" s="8">
        <f>J52</f>
        <v>2881.3933333333334</v>
      </c>
    </row>
    <row r="55" spans="1:17">
      <c r="A55" s="260"/>
      <c r="B55" s="260"/>
      <c r="C55" s="260"/>
      <c r="D55" s="260"/>
      <c r="E55" s="260"/>
      <c r="F55" s="260"/>
      <c r="G55" s="11"/>
      <c r="H55" s="11"/>
      <c r="I55" s="11"/>
      <c r="J55" s="11" t="s">
        <v>167</v>
      </c>
      <c r="K55" s="27">
        <f>AVERAGE(D52,G52,J52)</f>
        <v>2882.8733333333334</v>
      </c>
      <c r="L55" s="15"/>
      <c r="M55" s="227" t="s">
        <v>16</v>
      </c>
      <c r="N55" s="227"/>
      <c r="O55" s="227"/>
      <c r="P55" s="227"/>
      <c r="Q55" s="2">
        <f>AVERAGE(Q52:Q54)</f>
        <v>2903.5433333333335</v>
      </c>
    </row>
  </sheetData>
  <mergeCells count="109">
    <mergeCell ref="A11:A15"/>
    <mergeCell ref="A16:F16"/>
    <mergeCell ref="E11:E15"/>
    <mergeCell ref="F11:F15"/>
    <mergeCell ref="G11:G15"/>
    <mergeCell ref="H11:H15"/>
    <mergeCell ref="I11:I15"/>
    <mergeCell ref="J11:J15"/>
    <mergeCell ref="K11:K15"/>
    <mergeCell ref="B11:B15"/>
    <mergeCell ref="C11:C15"/>
    <mergeCell ref="D11:D15"/>
    <mergeCell ref="K1:V1"/>
    <mergeCell ref="A6:Q6"/>
    <mergeCell ref="B7:D7"/>
    <mergeCell ref="E7:G7"/>
    <mergeCell ref="H7:J7"/>
    <mergeCell ref="K7:K10"/>
    <mergeCell ref="M7:Q7"/>
    <mergeCell ref="A8:A9"/>
    <mergeCell ref="B8:D9"/>
    <mergeCell ref="E8:G9"/>
    <mergeCell ref="H8:J9"/>
    <mergeCell ref="E49:G50"/>
    <mergeCell ref="H49:J50"/>
    <mergeCell ref="M42:P42"/>
    <mergeCell ref="B22:D23"/>
    <mergeCell ref="E22:G23"/>
    <mergeCell ref="H22:J23"/>
    <mergeCell ref="A25:A30"/>
    <mergeCell ref="A31:F31"/>
    <mergeCell ref="M31:P31"/>
    <mergeCell ref="P39:P41"/>
    <mergeCell ref="A47:Q47"/>
    <mergeCell ref="B48:D48"/>
    <mergeCell ref="M35:Q35"/>
    <mergeCell ref="A36:A37"/>
    <mergeCell ref="B36:D37"/>
    <mergeCell ref="E36:G37"/>
    <mergeCell ref="H36:J37"/>
    <mergeCell ref="B35:D35"/>
    <mergeCell ref="E35:G35"/>
    <mergeCell ref="H35:J35"/>
    <mergeCell ref="K35:K38"/>
    <mergeCell ref="A39:A41"/>
    <mergeCell ref="A42:F42"/>
    <mergeCell ref="M48:Q48"/>
    <mergeCell ref="J52:J54"/>
    <mergeCell ref="K52:K54"/>
    <mergeCell ref="M52:M54"/>
    <mergeCell ref="N52:N54"/>
    <mergeCell ref="O52:O54"/>
    <mergeCell ref="P52:P54"/>
    <mergeCell ref="A55:F55"/>
    <mergeCell ref="M55:P55"/>
    <mergeCell ref="A52:A54"/>
    <mergeCell ref="B52:B54"/>
    <mergeCell ref="C52:C54"/>
    <mergeCell ref="D52:D54"/>
    <mergeCell ref="E52:E54"/>
    <mergeCell ref="F52:F54"/>
    <mergeCell ref="G52:G54"/>
    <mergeCell ref="H52:H54"/>
    <mergeCell ref="I52:I54"/>
    <mergeCell ref="E48:G48"/>
    <mergeCell ref="H48:J48"/>
    <mergeCell ref="K48:K51"/>
    <mergeCell ref="A49:A50"/>
    <mergeCell ref="B49:D50"/>
    <mergeCell ref="A34:Q34"/>
    <mergeCell ref="A20:Q20"/>
    <mergeCell ref="B21:D21"/>
    <mergeCell ref="E21:G21"/>
    <mergeCell ref="H21:J21"/>
    <mergeCell ref="K21:K24"/>
    <mergeCell ref="M21:Q21"/>
    <mergeCell ref="A22:A23"/>
    <mergeCell ref="B39:B41"/>
    <mergeCell ref="C39:C41"/>
    <mergeCell ref="D39:D41"/>
    <mergeCell ref="E39:E41"/>
    <mergeCell ref="F39:F41"/>
    <mergeCell ref="G39:G41"/>
    <mergeCell ref="H39:H41"/>
    <mergeCell ref="I39:I41"/>
    <mergeCell ref="J39:J41"/>
    <mergeCell ref="K39:K41"/>
    <mergeCell ref="M39:M41"/>
    <mergeCell ref="N39:N41"/>
    <mergeCell ref="O39:O41"/>
    <mergeCell ref="M11:M15"/>
    <mergeCell ref="N11:N15"/>
    <mergeCell ref="O11:O15"/>
    <mergeCell ref="P11:P15"/>
    <mergeCell ref="B25:B30"/>
    <mergeCell ref="E25:E30"/>
    <mergeCell ref="H25:H30"/>
    <mergeCell ref="O25:O30"/>
    <mergeCell ref="P25:P30"/>
    <mergeCell ref="C25:C30"/>
    <mergeCell ref="D25:D30"/>
    <mergeCell ref="F25:F30"/>
    <mergeCell ref="G25:G30"/>
    <mergeCell ref="I25:I30"/>
    <mergeCell ref="J25:J30"/>
    <mergeCell ref="K25:K30"/>
    <mergeCell ref="M25:M30"/>
    <mergeCell ref="N25:N30"/>
    <mergeCell ref="M16:P16"/>
  </mergeCells>
  <hyperlinks>
    <hyperlink ref="B8:D9" r:id="rId1" display="https://site.fastshop.com.br/ar-condicionado-split-hi-wall-inverter-lg-dual-compact--ia-r-32-12000-btu-h-frio-s3nq12jaqal-eb2gam1---220-volts-42762-44112/p" xr:uid="{52FC3ABA-C727-4130-A443-7940D7F4EA56}"/>
    <hyperlink ref="B22:D23" r:id="rId2" display="https://site.fastshop.com.br/ar-condicionado-split-hi-wall-inverter-lg-dual-compact--ia-r-32-12000-btu-h-frio-s3nq12jaqal-eb2gam1---220-volts-42762-44112/p" xr:uid="{FADEB07E-BC23-4B10-B059-79E3C7BADFF0}"/>
    <hyperlink ref="B36:D37" r:id="rId3" display="https://site.fastshop.com.br/ar-condicionado-split-hi-wall-inverter-lg-dual-compact--ia-r-32-12000-btu-h-frio-s3nq12jaqal-eb2gam1---220-volts-42762-44112/p" xr:uid="{1039B9A8-0037-4807-9193-5B31038594FC}"/>
    <hyperlink ref="B49:D50" r:id="rId4" display="https://site.fastshop.com.br/ar-condicionado-split-hi-wall-inverter-lg-dual-compact--ia-r-32-12000-btu-h-frio-s3nq12jaqal-eb2gam1---220-volts-42762-44112/p" xr:uid="{C5F66DE5-543A-4B94-BEAC-9B27ED62EE5F}"/>
    <hyperlink ref="E8:G9" r:id="rId5" display="https://www.americanas.com.br/produto/7499473169/ar-condicionado-lg-dual-inverter-voice-ai-12-000-btus-frio-s3-q12ja33k-220v?pfm_carac=split-inverter-12000&amp;pfm_index=6&amp;pfm_page=search&amp;pfm_pos=grid&amp;pfm_type=search_page&amp;offerId=66de85f8f85575c569992010" xr:uid="{8827678E-0319-42C5-B61F-2073226C0394}"/>
    <hyperlink ref="E36:G37" r:id="rId6" display="https://www.americanas.com.br/produto/7499473169/ar-condicionado-lg-dual-inverter-voice-ai-12-000-btus-frio-s3-q12ja33k-220v?pfm_carac=split-inverter-12000&amp;pfm_index=6&amp;pfm_page=search&amp;pfm_pos=grid&amp;pfm_type=search_page&amp;offerId=66de85f8f85575c569992010_x0009__x0009_" xr:uid="{8A59EF35-8491-437E-A625-4B0F704D90D1}"/>
    <hyperlink ref="E49:G50" r:id="rId7" display="https://www.americanas.com.br/produto/7499473169/ar-condicionado-lg-dual-inverter-voice-ai-12-000-btus-frio-s3-q12ja33k-220v?pfm_carac=split-inverter-12000&amp;pfm_index=6&amp;pfm_page=search&amp;pfm_pos=grid&amp;pfm_type=search_page&amp;offerId=66de85f8f85575c569992010" xr:uid="{9C3DFD22-5D6C-4926-BDB1-BF800BF84274}"/>
    <hyperlink ref="H8:J9" r:id="rId8" display="https://www.carrefour.com.br/ar-condicionado-split-hi-wall-inverter-lg-dual-compact-r-32-12000-btu-h-frio-s3nq12jaqal-eb2gam1-220-mp935276013/p" xr:uid="{6F0C0620-00C9-470F-87DE-AE7A2BADF6B5}"/>
    <hyperlink ref="H22:J23" r:id="rId9" display="https://www.carrefour.com.br/ar-condicionado-split-hi-wall-inverter-lg-dual-compact-r-32-12000-btu-h-frio-s3nq12jaqal-eb2gam1-220-mp935276013/p" xr:uid="{F3B88847-3F88-4F21-9C78-F91664DB6764}"/>
    <hyperlink ref="H36:J37" r:id="rId10" display="https://www.carrefour.com.br/ar-condicionado-split-hi-wall-inverter-lg-dual-compact-r-32-12000-btu-h-frio-s3nq12jaqal-eb2gam1-220-mp935276013/p" xr:uid="{5150C873-414A-4EA8-93ED-1AAD70699C87}"/>
    <hyperlink ref="H49:J50" r:id="rId11" display="https://www.carrefour.com.br/ar-condicionado-split-hi-wall-inverter-lg-dual-compact-r-32-12000-btu-h-frio-s3nq12jaqal-eb2gam1-220-mp935276013/p" xr:uid="{627ED41D-FAB3-416A-81B4-47524E27E330}"/>
  </hyperlink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BAACC-4514-423B-B68B-ED66C155DE12}">
  <sheetPr>
    <tabColor rgb="FF00B050"/>
  </sheetPr>
  <dimension ref="A1:Q39"/>
  <sheetViews>
    <sheetView workbookViewId="0">
      <selection activeCell="F39" sqref="F39"/>
    </sheetView>
  </sheetViews>
  <sheetFormatPr defaultRowHeight="15"/>
  <cols>
    <col min="1" max="1" width="14.85546875" customWidth="1"/>
    <col min="2" max="2" width="13.140625" customWidth="1"/>
    <col min="3" max="3" width="15.28515625" customWidth="1"/>
    <col min="4" max="4" width="29" customWidth="1"/>
    <col min="5" max="5" width="24.140625" customWidth="1"/>
    <col min="6" max="6" width="16.7109375" customWidth="1"/>
    <col min="9" max="9" width="11.85546875" customWidth="1"/>
  </cols>
  <sheetData>
    <row r="1" spans="1:17" ht="18.75">
      <c r="D1" s="17" t="s">
        <v>192</v>
      </c>
      <c r="E1" s="17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</row>
    <row r="6" spans="1:17">
      <c r="A6" s="306" t="s">
        <v>193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</row>
    <row r="7" spans="1:17">
      <c r="A7" s="282" t="s">
        <v>161</v>
      </c>
      <c r="B7" s="282" t="s">
        <v>175</v>
      </c>
      <c r="C7" s="13" t="s">
        <v>185</v>
      </c>
      <c r="D7" s="13" t="s">
        <v>154</v>
      </c>
      <c r="E7" s="18" t="s">
        <v>155</v>
      </c>
      <c r="F7" s="280" t="s">
        <v>176</v>
      </c>
      <c r="H7" s="282" t="s">
        <v>3</v>
      </c>
      <c r="I7" s="282"/>
      <c r="J7" s="282"/>
      <c r="K7" s="282"/>
      <c r="L7" s="282"/>
    </row>
    <row r="8" spans="1:17" ht="45">
      <c r="A8" s="229"/>
      <c r="B8" s="229"/>
      <c r="C8" s="9" t="s">
        <v>177</v>
      </c>
      <c r="D8" s="9" t="s">
        <v>177</v>
      </c>
      <c r="E8" s="9" t="s">
        <v>177</v>
      </c>
      <c r="F8" s="281"/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</row>
    <row r="9" spans="1:17">
      <c r="A9" s="69" t="s">
        <v>189</v>
      </c>
      <c r="B9" s="10" t="s">
        <v>194</v>
      </c>
      <c r="C9" s="33">
        <v>297.56</v>
      </c>
      <c r="D9" s="33">
        <v>1059</v>
      </c>
      <c r="E9" s="33">
        <v>599.99</v>
      </c>
      <c r="F9" s="8">
        <f>AVERAGE(C9:E9)</f>
        <v>652.18333333333328</v>
      </c>
      <c r="H9" s="67" t="e">
        <f>_xlfn.STDEV.S(F9:F9)</f>
        <v>#DIV/0!</v>
      </c>
      <c r="I9" s="68" t="e">
        <f>(H9/F10)*100</f>
        <v>#DIV/0!</v>
      </c>
      <c r="J9" s="67" t="e">
        <f>F10+H9</f>
        <v>#DIV/0!</v>
      </c>
      <c r="K9" s="67" t="e">
        <f>F10-H9</f>
        <v>#DIV/0!</v>
      </c>
      <c r="L9" s="8">
        <f>F9</f>
        <v>652.18333333333328</v>
      </c>
    </row>
    <row r="10" spans="1:17">
      <c r="A10" s="260" t="s">
        <v>166</v>
      </c>
      <c r="B10" s="260"/>
      <c r="C10" s="260"/>
      <c r="D10" s="260"/>
      <c r="E10" s="11"/>
      <c r="F10" s="6">
        <f>AVERAGE(F9:F9)</f>
        <v>652.18333333333328</v>
      </c>
      <c r="G10" s="15"/>
      <c r="H10" s="227" t="s">
        <v>16</v>
      </c>
      <c r="I10" s="227"/>
      <c r="J10" s="227"/>
      <c r="K10" s="227"/>
      <c r="L10" s="2">
        <f>AVERAGE(L9:L9)</f>
        <v>652.18333333333328</v>
      </c>
    </row>
    <row r="13" spans="1:17">
      <c r="A13" s="306" t="s">
        <v>174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</row>
    <row r="14" spans="1:17">
      <c r="A14" s="282" t="s">
        <v>161</v>
      </c>
      <c r="B14" s="282" t="s">
        <v>175</v>
      </c>
      <c r="C14" s="13" t="s">
        <v>185</v>
      </c>
      <c r="D14" s="13" t="s">
        <v>154</v>
      </c>
      <c r="E14" s="18" t="s">
        <v>155</v>
      </c>
      <c r="F14" s="280" t="s">
        <v>176</v>
      </c>
      <c r="H14" s="282" t="s">
        <v>3</v>
      </c>
      <c r="I14" s="282"/>
      <c r="J14" s="282"/>
      <c r="K14" s="282"/>
      <c r="L14" s="282"/>
    </row>
    <row r="15" spans="1:17" ht="45">
      <c r="A15" s="229"/>
      <c r="B15" s="229"/>
      <c r="C15" s="9" t="s">
        <v>177</v>
      </c>
      <c r="D15" s="9" t="s">
        <v>177</v>
      </c>
      <c r="E15" s="9" t="s">
        <v>177</v>
      </c>
      <c r="F15" s="281"/>
      <c r="H15" s="1" t="s">
        <v>12</v>
      </c>
      <c r="I15" s="1" t="s">
        <v>13</v>
      </c>
      <c r="J15" s="1" t="s">
        <v>14</v>
      </c>
      <c r="K15" s="1" t="s">
        <v>15</v>
      </c>
      <c r="L15" s="1" t="s">
        <v>16</v>
      </c>
    </row>
    <row r="16" spans="1:17">
      <c r="A16" s="278" t="s">
        <v>165</v>
      </c>
      <c r="B16" s="10" t="s">
        <v>178</v>
      </c>
      <c r="C16" s="35">
        <v>267.23</v>
      </c>
      <c r="D16" s="33">
        <v>1059</v>
      </c>
      <c r="E16" s="33">
        <v>469.99</v>
      </c>
      <c r="F16" s="8">
        <f t="shared" ref="F16:F19" si="0">AVERAGE(C16:E16)</f>
        <v>598.74</v>
      </c>
      <c r="H16" s="230">
        <f>_xlfn.STDEV.S(F16:F19)</f>
        <v>185.50518668999229</v>
      </c>
      <c r="I16" s="257">
        <f>(H16/F20)*100</f>
        <v>42.483725338369929</v>
      </c>
      <c r="J16" s="230">
        <f>F20+H16</f>
        <v>622.15518668999221</v>
      </c>
      <c r="K16" s="230">
        <f>F20-H16</f>
        <v>251.14481331000769</v>
      </c>
      <c r="L16" s="8">
        <f t="shared" ref="L16:L18" si="1">F16</f>
        <v>598.74</v>
      </c>
    </row>
    <row r="17" spans="1:12">
      <c r="A17" s="279"/>
      <c r="B17" s="10" t="s">
        <v>195</v>
      </c>
      <c r="C17" s="33">
        <v>257.08</v>
      </c>
      <c r="D17" s="33">
        <v>1059</v>
      </c>
      <c r="E17" s="33">
        <v>469.99</v>
      </c>
      <c r="F17" s="8">
        <f t="shared" si="0"/>
        <v>595.35666666666668</v>
      </c>
      <c r="H17" s="231"/>
      <c r="I17" s="258"/>
      <c r="J17" s="231"/>
      <c r="K17" s="231"/>
      <c r="L17" s="8">
        <f t="shared" si="1"/>
        <v>595.35666666666668</v>
      </c>
    </row>
    <row r="18" spans="1:12">
      <c r="A18" s="279"/>
      <c r="B18" s="14" t="s">
        <v>196</v>
      </c>
      <c r="C18" s="33">
        <v>355.8</v>
      </c>
      <c r="D18" s="33">
        <v>215</v>
      </c>
      <c r="E18" s="33">
        <v>219.99</v>
      </c>
      <c r="F18" s="8">
        <f t="shared" si="0"/>
        <v>263.59666666666664</v>
      </c>
      <c r="H18" s="231"/>
      <c r="I18" s="258"/>
      <c r="J18" s="231"/>
      <c r="K18" s="231"/>
      <c r="L18" s="8">
        <f t="shared" si="1"/>
        <v>263.59666666666664</v>
      </c>
    </row>
    <row r="19" spans="1:12">
      <c r="A19" s="72"/>
      <c r="B19" s="14" t="s">
        <v>197</v>
      </c>
      <c r="C19" s="33">
        <v>266.83</v>
      </c>
      <c r="D19" s="33">
        <v>299.99</v>
      </c>
      <c r="E19" s="33">
        <v>299.89999999999998</v>
      </c>
      <c r="F19" s="8">
        <f t="shared" si="0"/>
        <v>288.90666666666664</v>
      </c>
      <c r="H19" s="235"/>
      <c r="I19" s="259"/>
      <c r="J19" s="235"/>
      <c r="K19" s="235"/>
      <c r="L19" s="8">
        <f>F19</f>
        <v>288.90666666666664</v>
      </c>
    </row>
    <row r="20" spans="1:12">
      <c r="A20" s="260" t="s">
        <v>166</v>
      </c>
      <c r="B20" s="260"/>
      <c r="C20" s="260"/>
      <c r="D20" s="260"/>
      <c r="E20" s="11"/>
      <c r="F20" s="6">
        <f>AVERAGE(F16:F19)</f>
        <v>436.65</v>
      </c>
      <c r="G20" s="15"/>
      <c r="H20" s="227" t="s">
        <v>16</v>
      </c>
      <c r="I20" s="227"/>
      <c r="J20" s="227"/>
      <c r="K20" s="227"/>
      <c r="L20" s="2">
        <f>AVERAGE(L16:L19)</f>
        <v>436.65</v>
      </c>
    </row>
    <row r="23" spans="1:12">
      <c r="A23" s="306" t="s">
        <v>179</v>
      </c>
      <c r="B23" s="306"/>
      <c r="C23" s="306"/>
      <c r="D23" s="306"/>
      <c r="E23" s="306"/>
      <c r="F23" s="306"/>
      <c r="G23" s="306"/>
      <c r="H23" s="306"/>
      <c r="I23" s="306"/>
      <c r="J23" s="306"/>
      <c r="K23" s="306"/>
      <c r="L23" s="306"/>
    </row>
    <row r="24" spans="1:12">
      <c r="A24" s="282" t="s">
        <v>161</v>
      </c>
      <c r="B24" s="282" t="s">
        <v>175</v>
      </c>
      <c r="C24" s="13" t="s">
        <v>185</v>
      </c>
      <c r="D24" s="13" t="s">
        <v>154</v>
      </c>
      <c r="E24" s="18" t="s">
        <v>155</v>
      </c>
      <c r="F24" s="280" t="s">
        <v>176</v>
      </c>
      <c r="H24" s="282" t="s">
        <v>3</v>
      </c>
      <c r="I24" s="282"/>
      <c r="J24" s="282"/>
      <c r="K24" s="282"/>
      <c r="L24" s="282"/>
    </row>
    <row r="25" spans="1:12" ht="45">
      <c r="A25" s="229"/>
      <c r="B25" s="229"/>
      <c r="C25" s="9" t="s">
        <v>177</v>
      </c>
      <c r="D25" s="9" t="s">
        <v>177</v>
      </c>
      <c r="E25" s="9" t="s">
        <v>177</v>
      </c>
      <c r="F25" s="281"/>
      <c r="H25" s="1" t="s">
        <v>12</v>
      </c>
      <c r="I25" s="1" t="s">
        <v>13</v>
      </c>
      <c r="J25" s="1" t="s">
        <v>14</v>
      </c>
      <c r="K25" s="1" t="s">
        <v>15</v>
      </c>
      <c r="L25" s="1" t="s">
        <v>16</v>
      </c>
    </row>
    <row r="26" spans="1:12">
      <c r="A26" s="279" t="s">
        <v>169</v>
      </c>
      <c r="B26" s="14" t="s">
        <v>180</v>
      </c>
      <c r="C26" s="33">
        <v>129.9</v>
      </c>
      <c r="D26" s="33">
        <v>129.9</v>
      </c>
      <c r="E26" s="33">
        <v>99.9</v>
      </c>
      <c r="F26" s="8">
        <f>AVERAGE(C26:E26)</f>
        <v>119.90000000000002</v>
      </c>
      <c r="H26" s="231">
        <f>_xlfn.STDEV.S(F26:F27)</f>
        <v>0</v>
      </c>
      <c r="I26" s="258">
        <f>(H26/F28)*100</f>
        <v>0</v>
      </c>
      <c r="J26" s="231">
        <f>F28+H26</f>
        <v>119.90000000000002</v>
      </c>
      <c r="K26" s="231">
        <f>F28-H26</f>
        <v>119.90000000000002</v>
      </c>
      <c r="L26" s="8">
        <f>F26</f>
        <v>119.90000000000002</v>
      </c>
    </row>
    <row r="27" spans="1:12">
      <c r="A27" s="279"/>
      <c r="B27" s="14" t="s">
        <v>198</v>
      </c>
      <c r="C27" s="33">
        <v>129.9</v>
      </c>
      <c r="D27" s="33">
        <v>129.9</v>
      </c>
      <c r="E27" s="33">
        <v>99.9</v>
      </c>
      <c r="F27" s="8">
        <f>AVERAGE(C27:E27)</f>
        <v>119.90000000000002</v>
      </c>
      <c r="H27" s="235"/>
      <c r="I27" s="259"/>
      <c r="J27" s="235"/>
      <c r="K27" s="235"/>
      <c r="L27" s="8">
        <f>F27</f>
        <v>119.90000000000002</v>
      </c>
    </row>
    <row r="28" spans="1:12">
      <c r="A28" s="260" t="s">
        <v>166</v>
      </c>
      <c r="B28" s="260"/>
      <c r="C28" s="260"/>
      <c r="D28" s="260"/>
      <c r="E28" s="11"/>
      <c r="F28" s="6">
        <f>AVERAGE(F26:F27)</f>
        <v>119.90000000000002</v>
      </c>
      <c r="G28" s="15"/>
      <c r="H28" s="227" t="s">
        <v>16</v>
      </c>
      <c r="I28" s="227"/>
      <c r="J28" s="227"/>
      <c r="K28" s="227"/>
      <c r="L28" s="2">
        <f>AVERAGE(L26:L27)</f>
        <v>119.90000000000002</v>
      </c>
    </row>
    <row r="32" spans="1:12">
      <c r="A32" s="306" t="s">
        <v>181</v>
      </c>
      <c r="B32" s="306"/>
      <c r="C32" s="306"/>
      <c r="D32" s="306"/>
      <c r="E32" s="306"/>
      <c r="F32" s="306"/>
      <c r="G32" s="306"/>
      <c r="H32" s="306"/>
      <c r="I32" s="306"/>
      <c r="J32" s="306"/>
      <c r="K32" s="306"/>
      <c r="L32" s="306"/>
    </row>
    <row r="33" spans="1:12">
      <c r="A33" s="282" t="s">
        <v>161</v>
      </c>
      <c r="B33" s="282" t="s">
        <v>175</v>
      </c>
      <c r="C33" s="13" t="s">
        <v>185</v>
      </c>
      <c r="D33" s="13" t="s">
        <v>154</v>
      </c>
      <c r="E33" s="18" t="s">
        <v>155</v>
      </c>
      <c r="F33" s="280" t="s">
        <v>176</v>
      </c>
      <c r="H33" s="282" t="s">
        <v>3</v>
      </c>
      <c r="I33" s="282"/>
      <c r="J33" s="282"/>
      <c r="K33" s="282"/>
      <c r="L33" s="282"/>
    </row>
    <row r="34" spans="1:12" ht="45">
      <c r="A34" s="229"/>
      <c r="B34" s="229"/>
      <c r="C34" s="9" t="s">
        <v>177</v>
      </c>
      <c r="D34" s="9" t="s">
        <v>177</v>
      </c>
      <c r="E34" s="9" t="s">
        <v>177</v>
      </c>
      <c r="F34" s="281"/>
      <c r="H34" s="1" t="s">
        <v>12</v>
      </c>
      <c r="I34" s="1" t="s">
        <v>13</v>
      </c>
      <c r="J34" s="1" t="s">
        <v>14</v>
      </c>
      <c r="K34" s="1" t="s">
        <v>15</v>
      </c>
      <c r="L34" s="1" t="s">
        <v>16</v>
      </c>
    </row>
    <row r="35" spans="1:12">
      <c r="A35" s="278" t="s">
        <v>172</v>
      </c>
      <c r="B35" s="10" t="s">
        <v>199</v>
      </c>
      <c r="C35" s="33">
        <v>269.89999999999998</v>
      </c>
      <c r="D35" s="33">
        <v>269.89999999999998</v>
      </c>
      <c r="E35" s="33">
        <v>129.9</v>
      </c>
      <c r="F35" s="8">
        <f>AVERAGE(C35:E35)</f>
        <v>223.23333333333332</v>
      </c>
      <c r="H35" s="230">
        <f>_xlfn.STDEV.S(F35:F38)</f>
        <v>49.99999999999995</v>
      </c>
      <c r="I35" s="157">
        <f>(H35/F39)*100</f>
        <v>33.730604902181213</v>
      </c>
      <c r="J35" s="230">
        <f>F39+H35</f>
        <v>198.23333333333329</v>
      </c>
      <c r="K35" s="230">
        <f>F39-H35</f>
        <v>98.233333333333405</v>
      </c>
      <c r="L35" s="8"/>
    </row>
    <row r="36" spans="1:12">
      <c r="A36" s="279"/>
      <c r="B36" s="14" t="s">
        <v>182</v>
      </c>
      <c r="C36" s="34">
        <v>119.9</v>
      </c>
      <c r="D36" s="33">
        <v>119.9</v>
      </c>
      <c r="E36" s="33">
        <v>129.9</v>
      </c>
      <c r="F36" s="8">
        <f>AVERAGE(C36:E36)</f>
        <v>123.23333333333335</v>
      </c>
      <c r="H36" s="231"/>
      <c r="I36" s="156"/>
      <c r="J36" s="231"/>
      <c r="K36" s="231"/>
      <c r="L36" s="8">
        <f>F36</f>
        <v>123.23333333333335</v>
      </c>
    </row>
    <row r="37" spans="1:12">
      <c r="A37" s="72"/>
      <c r="B37" s="14" t="s">
        <v>200</v>
      </c>
      <c r="C37" s="34">
        <v>119.9</v>
      </c>
      <c r="D37" s="33">
        <v>119.9</v>
      </c>
      <c r="E37" s="33">
        <v>129.9</v>
      </c>
      <c r="F37" s="8">
        <f>AVERAGE(C37:E37)</f>
        <v>123.23333333333335</v>
      </c>
      <c r="H37" s="231"/>
      <c r="I37" s="156"/>
      <c r="J37" s="70"/>
      <c r="K37" s="70"/>
      <c r="L37" s="8">
        <f>F37</f>
        <v>123.23333333333335</v>
      </c>
    </row>
    <row r="38" spans="1:12">
      <c r="A38" s="72"/>
      <c r="B38" s="14" t="s">
        <v>201</v>
      </c>
      <c r="C38" s="34">
        <v>119.9</v>
      </c>
      <c r="D38" s="33">
        <v>119.9</v>
      </c>
      <c r="E38" s="33">
        <v>129.9</v>
      </c>
      <c r="F38" s="8">
        <f>AVERAGE(C38:E38)</f>
        <v>123.23333333333335</v>
      </c>
      <c r="H38" s="235"/>
      <c r="I38" s="156"/>
      <c r="J38" s="70"/>
      <c r="K38" s="70"/>
      <c r="L38" s="8">
        <f>F38</f>
        <v>123.23333333333335</v>
      </c>
    </row>
    <row r="39" spans="1:12">
      <c r="A39" s="260" t="s">
        <v>166</v>
      </c>
      <c r="B39" s="260"/>
      <c r="C39" s="260"/>
      <c r="D39" s="260"/>
      <c r="E39" s="11"/>
      <c r="F39" s="6">
        <f>AVERAGE(F35:F38)</f>
        <v>148.23333333333335</v>
      </c>
      <c r="G39" s="15"/>
      <c r="H39" s="227" t="s">
        <v>16</v>
      </c>
      <c r="I39" s="227"/>
      <c r="J39" s="227"/>
      <c r="K39" s="227"/>
      <c r="L39" s="2">
        <f>AVERAGE(L35:L36)</f>
        <v>123.23333333333335</v>
      </c>
    </row>
  </sheetData>
  <mergeCells count="43">
    <mergeCell ref="F1:Q1"/>
    <mergeCell ref="A6:L6"/>
    <mergeCell ref="A7:A8"/>
    <mergeCell ref="B7:B8"/>
    <mergeCell ref="F7:F8"/>
    <mergeCell ref="H7:L7"/>
    <mergeCell ref="A10:D10"/>
    <mergeCell ref="H10:K10"/>
    <mergeCell ref="A13:L13"/>
    <mergeCell ref="A14:A15"/>
    <mergeCell ref="B14:B15"/>
    <mergeCell ref="F14:F15"/>
    <mergeCell ref="H14:L14"/>
    <mergeCell ref="A16:A18"/>
    <mergeCell ref="A20:D20"/>
    <mergeCell ref="H20:K20"/>
    <mergeCell ref="A23:L23"/>
    <mergeCell ref="A24:A25"/>
    <mergeCell ref="B24:B25"/>
    <mergeCell ref="F24:F25"/>
    <mergeCell ref="H24:L24"/>
    <mergeCell ref="H16:H19"/>
    <mergeCell ref="I16:I19"/>
    <mergeCell ref="J16:J19"/>
    <mergeCell ref="K16:K19"/>
    <mergeCell ref="A26:A27"/>
    <mergeCell ref="A28:D28"/>
    <mergeCell ref="H28:K28"/>
    <mergeCell ref="A32:L32"/>
    <mergeCell ref="A33:A34"/>
    <mergeCell ref="B33:B34"/>
    <mergeCell ref="F33:F34"/>
    <mergeCell ref="H33:L33"/>
    <mergeCell ref="H26:H27"/>
    <mergeCell ref="I26:I27"/>
    <mergeCell ref="J26:J27"/>
    <mergeCell ref="K26:K27"/>
    <mergeCell ref="A35:A36"/>
    <mergeCell ref="A39:D39"/>
    <mergeCell ref="H39:K39"/>
    <mergeCell ref="J35:J36"/>
    <mergeCell ref="K35:K36"/>
    <mergeCell ref="H35:H3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4B895-BF36-4E95-8081-7751F69DFCFC}">
  <sheetPr>
    <tabColor rgb="FF00B050"/>
  </sheetPr>
  <dimension ref="A1:V59"/>
  <sheetViews>
    <sheetView topLeftCell="A17" workbookViewId="0">
      <selection activeCell="F39" sqref="F39"/>
    </sheetView>
  </sheetViews>
  <sheetFormatPr defaultRowHeight="15"/>
  <cols>
    <col min="1" max="1" width="27.85546875" customWidth="1"/>
    <col min="2" max="2" width="15.7109375" customWidth="1"/>
    <col min="3" max="4" width="15.28515625" customWidth="1"/>
    <col min="5" max="5" width="18.5703125" customWidth="1"/>
    <col min="6" max="7" width="21.5703125" customWidth="1"/>
    <col min="8" max="8" width="19.140625" customWidth="1"/>
    <col min="9" max="10" width="20.28515625" customWidth="1"/>
    <col min="11" max="11" width="18.7109375" customWidth="1"/>
    <col min="14" max="14" width="11.85546875" customWidth="1"/>
    <col min="15" max="15" width="11" customWidth="1"/>
    <col min="16" max="16" width="11.5703125" customWidth="1"/>
    <col min="17" max="17" width="10.7109375" bestFit="1" customWidth="1"/>
  </cols>
  <sheetData>
    <row r="1" spans="1:22" ht="18.75">
      <c r="C1" s="16"/>
      <c r="D1" s="16"/>
      <c r="E1" s="16"/>
      <c r="F1" s="17" t="s">
        <v>202</v>
      </c>
      <c r="G1" s="17"/>
      <c r="H1" s="17"/>
      <c r="I1" s="17"/>
      <c r="J1" s="17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</row>
    <row r="6" spans="1:22">
      <c r="A6" s="283" t="s">
        <v>184</v>
      </c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5"/>
    </row>
    <row r="7" spans="1:22" ht="14.25" customHeight="1">
      <c r="A7" s="19"/>
      <c r="B7" s="297" t="s">
        <v>185</v>
      </c>
      <c r="C7" s="298"/>
      <c r="D7" s="299"/>
      <c r="E7" s="297" t="s">
        <v>154</v>
      </c>
      <c r="F7" s="298"/>
      <c r="G7" s="299"/>
      <c r="H7" s="300" t="s">
        <v>155</v>
      </c>
      <c r="I7" s="301"/>
      <c r="J7" s="302"/>
      <c r="K7" s="280" t="s">
        <v>156</v>
      </c>
      <c r="M7" s="282" t="s">
        <v>3</v>
      </c>
      <c r="N7" s="282"/>
      <c r="O7" s="282"/>
      <c r="P7" s="282"/>
      <c r="Q7" s="282"/>
    </row>
    <row r="8" spans="1:22" ht="14.25" customHeight="1">
      <c r="A8" s="286" t="s">
        <v>157</v>
      </c>
      <c r="B8" s="294" t="s">
        <v>203</v>
      </c>
      <c r="C8" s="295"/>
      <c r="D8" s="296"/>
      <c r="E8" s="288" t="s">
        <v>204</v>
      </c>
      <c r="F8" s="289"/>
      <c r="G8" s="290"/>
      <c r="H8" s="272" t="s">
        <v>205</v>
      </c>
      <c r="I8" s="273"/>
      <c r="J8" s="274"/>
      <c r="K8" s="280"/>
      <c r="M8" s="12"/>
      <c r="N8" s="12"/>
      <c r="O8" s="12"/>
      <c r="P8" s="12"/>
      <c r="Q8" s="12"/>
    </row>
    <row r="9" spans="1:22" ht="87" customHeight="1">
      <c r="A9" s="287"/>
      <c r="B9" s="275"/>
      <c r="C9" s="276"/>
      <c r="D9" s="277"/>
      <c r="E9" s="291"/>
      <c r="F9" s="292"/>
      <c r="G9" s="293"/>
      <c r="H9" s="275"/>
      <c r="I9" s="276"/>
      <c r="J9" s="277"/>
      <c r="K9" s="280"/>
      <c r="M9" s="12"/>
      <c r="N9" s="12"/>
      <c r="O9" s="12"/>
      <c r="P9" s="12"/>
      <c r="Q9" s="12"/>
    </row>
    <row r="10" spans="1:22" ht="56.25" customHeight="1">
      <c r="A10" s="21" t="s">
        <v>161</v>
      </c>
      <c r="B10" s="20" t="s">
        <v>162</v>
      </c>
      <c r="C10" s="9" t="s">
        <v>163</v>
      </c>
      <c r="D10" s="19" t="s">
        <v>164</v>
      </c>
      <c r="E10" s="20" t="s">
        <v>162</v>
      </c>
      <c r="F10" s="9" t="s">
        <v>163</v>
      </c>
      <c r="G10" s="19" t="s">
        <v>164</v>
      </c>
      <c r="H10" s="20" t="s">
        <v>162</v>
      </c>
      <c r="I10" s="9" t="s">
        <v>163</v>
      </c>
      <c r="J10" s="19" t="s">
        <v>164</v>
      </c>
      <c r="K10" s="281"/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</row>
    <row r="11" spans="1:22">
      <c r="A11" s="278" t="s">
        <v>189</v>
      </c>
      <c r="B11" s="264">
        <v>3653.3</v>
      </c>
      <c r="C11" s="264">
        <f>'FRETE 18000 BTU  '!L12</f>
        <v>316.57833333333332</v>
      </c>
      <c r="D11" s="264">
        <f>SUM(B11,C11)</f>
        <v>3969.8783333333336</v>
      </c>
      <c r="E11" s="264">
        <v>3755.7</v>
      </c>
      <c r="F11" s="267">
        <f>'FRETE 18000 BTU  '!L12</f>
        <v>316.57833333333332</v>
      </c>
      <c r="G11" s="261">
        <f>SUM(E11,F11)</f>
        <v>4072.2783333333332</v>
      </c>
      <c r="H11" s="264">
        <v>3954.16</v>
      </c>
      <c r="I11" s="310">
        <f>'FRETE 18000 BTU  '!L12</f>
        <v>316.57833333333332</v>
      </c>
      <c r="J11" s="313">
        <f>SUM(H11,I11)</f>
        <v>4270.7383333333328</v>
      </c>
      <c r="K11" s="316">
        <v>45680</v>
      </c>
      <c r="M11" s="230">
        <f>_xlfn.STDEV.S(D11,G11,J11)</f>
        <v>152.96452268418284</v>
      </c>
      <c r="N11" s="257">
        <f>(M11/K16)*100</f>
        <v>3.7269347952089942</v>
      </c>
      <c r="O11" s="230">
        <f>K16+M11</f>
        <v>4257.2628560175162</v>
      </c>
      <c r="P11" s="230">
        <f>K16-M11</f>
        <v>3951.3338106491501</v>
      </c>
      <c r="Q11" s="8">
        <f>D11</f>
        <v>3969.8783333333336</v>
      </c>
    </row>
    <row r="12" spans="1:22" ht="14.25" customHeight="1">
      <c r="A12" s="279"/>
      <c r="B12" s="265"/>
      <c r="C12" s="265"/>
      <c r="D12" s="265"/>
      <c r="E12" s="265"/>
      <c r="F12" s="268"/>
      <c r="G12" s="262"/>
      <c r="H12" s="265"/>
      <c r="I12" s="311"/>
      <c r="J12" s="314"/>
      <c r="K12" s="317"/>
      <c r="M12" s="231"/>
      <c r="N12" s="258"/>
      <c r="O12" s="231"/>
      <c r="P12" s="231"/>
      <c r="Q12" s="8">
        <f>G11</f>
        <v>4072.2783333333332</v>
      </c>
    </row>
    <row r="13" spans="1:22">
      <c r="A13" s="279"/>
      <c r="B13" s="265"/>
      <c r="C13" s="265"/>
      <c r="D13" s="265"/>
      <c r="E13" s="265"/>
      <c r="F13" s="268"/>
      <c r="G13" s="262"/>
      <c r="H13" s="265"/>
      <c r="I13" s="311"/>
      <c r="J13" s="314"/>
      <c r="K13" s="317"/>
      <c r="M13" s="231"/>
      <c r="N13" s="258"/>
      <c r="O13" s="231"/>
      <c r="P13" s="231"/>
      <c r="Q13" s="8"/>
    </row>
    <row r="14" spans="1:22">
      <c r="A14" s="279"/>
      <c r="B14" s="265"/>
      <c r="C14" s="265"/>
      <c r="D14" s="265"/>
      <c r="E14" s="265"/>
      <c r="F14" s="268"/>
      <c r="G14" s="262"/>
      <c r="H14" s="265"/>
      <c r="I14" s="311"/>
      <c r="J14" s="314"/>
      <c r="K14" s="317"/>
      <c r="M14" s="231"/>
      <c r="N14" s="258"/>
      <c r="O14" s="231"/>
      <c r="P14" s="231"/>
      <c r="Q14" s="8"/>
    </row>
    <row r="15" spans="1:22">
      <c r="A15" s="305"/>
      <c r="B15" s="266"/>
      <c r="C15" s="266"/>
      <c r="D15" s="266"/>
      <c r="E15" s="266"/>
      <c r="F15" s="269"/>
      <c r="G15" s="263"/>
      <c r="H15" s="266"/>
      <c r="I15" s="312"/>
      <c r="J15" s="315"/>
      <c r="K15" s="317"/>
      <c r="M15" s="235"/>
      <c r="N15" s="259"/>
      <c r="O15" s="235"/>
      <c r="P15" s="235"/>
      <c r="Q15" s="8"/>
    </row>
    <row r="16" spans="1:22">
      <c r="A16" s="260"/>
      <c r="B16" s="260"/>
      <c r="C16" s="260"/>
      <c r="D16" s="260"/>
      <c r="E16" s="260"/>
      <c r="F16" s="260"/>
      <c r="G16" s="11"/>
      <c r="H16" s="11"/>
      <c r="I16" s="11"/>
      <c r="J16" s="11" t="s">
        <v>167</v>
      </c>
      <c r="K16" s="27">
        <f>AVERAGE(D11,G11,J11)</f>
        <v>4104.2983333333332</v>
      </c>
      <c r="L16" s="15"/>
      <c r="M16" s="227" t="s">
        <v>16</v>
      </c>
      <c r="N16" s="227"/>
      <c r="O16" s="227"/>
      <c r="P16" s="227"/>
      <c r="Q16" s="2">
        <f>AVERAGE(Q11:Q15)</f>
        <v>4021.0783333333334</v>
      </c>
    </row>
    <row r="20" spans="1:17">
      <c r="A20" s="283" t="s">
        <v>152</v>
      </c>
      <c r="B20" s="284"/>
      <c r="C20" s="284"/>
      <c r="D20" s="284"/>
      <c r="E20" s="284"/>
      <c r="F20" s="284"/>
      <c r="G20" s="284"/>
      <c r="H20" s="284"/>
      <c r="I20" s="284"/>
      <c r="J20" s="284"/>
      <c r="K20" s="284"/>
      <c r="L20" s="284"/>
      <c r="M20" s="284"/>
      <c r="N20" s="284"/>
      <c r="O20" s="284"/>
      <c r="P20" s="284"/>
      <c r="Q20" s="285"/>
    </row>
    <row r="21" spans="1:17" ht="15" customHeight="1">
      <c r="A21" s="19"/>
      <c r="B21" s="297" t="s">
        <v>185</v>
      </c>
      <c r="C21" s="298"/>
      <c r="D21" s="299"/>
      <c r="E21" s="297" t="s">
        <v>154</v>
      </c>
      <c r="F21" s="298"/>
      <c r="G21" s="299"/>
      <c r="H21" s="300" t="s">
        <v>155</v>
      </c>
      <c r="I21" s="301"/>
      <c r="J21" s="302"/>
      <c r="K21" s="280" t="s">
        <v>156</v>
      </c>
      <c r="M21" s="282" t="s">
        <v>3</v>
      </c>
      <c r="N21" s="282"/>
      <c r="O21" s="282"/>
      <c r="P21" s="282"/>
      <c r="Q21" s="282"/>
    </row>
    <row r="22" spans="1:17">
      <c r="A22" s="286" t="s">
        <v>157</v>
      </c>
      <c r="B22" s="294" t="s">
        <v>203</v>
      </c>
      <c r="C22" s="295"/>
      <c r="D22" s="296"/>
      <c r="E22" s="288" t="s">
        <v>204</v>
      </c>
      <c r="F22" s="289"/>
      <c r="G22" s="290"/>
      <c r="H22" s="272" t="s">
        <v>205</v>
      </c>
      <c r="I22" s="273"/>
      <c r="J22" s="274"/>
      <c r="K22" s="280"/>
      <c r="M22" s="12"/>
      <c r="N22" s="12"/>
      <c r="O22" s="12"/>
      <c r="P22" s="12"/>
      <c r="Q22" s="12"/>
    </row>
    <row r="23" spans="1:17" ht="93" customHeight="1">
      <c r="A23" s="287"/>
      <c r="B23" s="275"/>
      <c r="C23" s="276"/>
      <c r="D23" s="277"/>
      <c r="E23" s="291"/>
      <c r="F23" s="292"/>
      <c r="G23" s="293"/>
      <c r="H23" s="275"/>
      <c r="I23" s="276"/>
      <c r="J23" s="277"/>
      <c r="K23" s="280"/>
      <c r="M23" s="12"/>
      <c r="N23" s="12"/>
      <c r="O23" s="12"/>
      <c r="P23" s="12"/>
      <c r="Q23" s="12"/>
    </row>
    <row r="24" spans="1:17" ht="45">
      <c r="A24" s="21" t="s">
        <v>161</v>
      </c>
      <c r="B24" s="20" t="s">
        <v>162</v>
      </c>
      <c r="C24" s="9" t="s">
        <v>163</v>
      </c>
      <c r="D24" s="19" t="s">
        <v>164</v>
      </c>
      <c r="E24" s="20" t="s">
        <v>162</v>
      </c>
      <c r="F24" s="9" t="s">
        <v>163</v>
      </c>
      <c r="G24" s="19" t="s">
        <v>164</v>
      </c>
      <c r="H24" s="20" t="s">
        <v>162</v>
      </c>
      <c r="I24" s="9" t="s">
        <v>163</v>
      </c>
      <c r="J24" s="19" t="s">
        <v>164</v>
      </c>
      <c r="K24" s="281"/>
      <c r="M24" s="1" t="s">
        <v>12</v>
      </c>
      <c r="N24" s="1" t="s">
        <v>13</v>
      </c>
      <c r="O24" s="1" t="s">
        <v>14</v>
      </c>
      <c r="P24" s="1" t="s">
        <v>15</v>
      </c>
      <c r="Q24" s="1" t="s">
        <v>16</v>
      </c>
    </row>
    <row r="25" spans="1:17">
      <c r="A25" s="278" t="s">
        <v>165</v>
      </c>
      <c r="B25" s="264">
        <v>3653.3</v>
      </c>
      <c r="C25" s="264">
        <f>'FRETE 18000 BTU  '!L21</f>
        <v>125.16666666666667</v>
      </c>
      <c r="D25" s="264">
        <f>SUM(B25,C25)</f>
        <v>3778.4666666666667</v>
      </c>
      <c r="E25" s="264">
        <v>3755.7</v>
      </c>
      <c r="F25" s="267">
        <f>'FRETE 18000 BTU  '!L21</f>
        <v>125.16666666666667</v>
      </c>
      <c r="G25" s="261">
        <f>SUM(E25,F25)</f>
        <v>3880.8666666666663</v>
      </c>
      <c r="H25" s="264">
        <v>3954.16</v>
      </c>
      <c r="I25" s="310">
        <f>'FRETE 18000 BTU  '!L21</f>
        <v>125.16666666666667</v>
      </c>
      <c r="J25" s="313">
        <f>SUM(H25,I25)</f>
        <v>4079.3266666666664</v>
      </c>
      <c r="K25" s="316">
        <v>45680</v>
      </c>
      <c r="M25" s="230">
        <f>_xlfn.STDEV.S(D25,G25,J25)</f>
        <v>152.96452268418307</v>
      </c>
      <c r="N25" s="257">
        <f>(M25/K30)*100</f>
        <v>3.9092500170594362</v>
      </c>
      <c r="O25" s="230">
        <f>K30+M25</f>
        <v>4065.8511893508498</v>
      </c>
      <c r="P25" s="230">
        <f>K30-M25</f>
        <v>3759.9221439824837</v>
      </c>
      <c r="Q25" s="8">
        <f>D25</f>
        <v>3778.4666666666667</v>
      </c>
    </row>
    <row r="26" spans="1:17">
      <c r="A26" s="279"/>
      <c r="B26" s="265"/>
      <c r="C26" s="265"/>
      <c r="D26" s="265"/>
      <c r="E26" s="265"/>
      <c r="F26" s="268"/>
      <c r="G26" s="262"/>
      <c r="H26" s="265"/>
      <c r="I26" s="311"/>
      <c r="J26" s="314"/>
      <c r="K26" s="317"/>
      <c r="M26" s="231"/>
      <c r="N26" s="258"/>
      <c r="O26" s="231"/>
      <c r="P26" s="231"/>
      <c r="Q26" s="8">
        <f>G25</f>
        <v>3880.8666666666663</v>
      </c>
    </row>
    <row r="27" spans="1:17">
      <c r="A27" s="279"/>
      <c r="B27" s="265"/>
      <c r="C27" s="265"/>
      <c r="D27" s="265"/>
      <c r="E27" s="265"/>
      <c r="F27" s="268"/>
      <c r="G27" s="262"/>
      <c r="H27" s="265"/>
      <c r="I27" s="311"/>
      <c r="J27" s="314"/>
      <c r="K27" s="317"/>
      <c r="M27" s="231"/>
      <c r="N27" s="258"/>
      <c r="O27" s="231"/>
      <c r="P27" s="231"/>
      <c r="Q27" s="8"/>
    </row>
    <row r="28" spans="1:17">
      <c r="A28" s="279"/>
      <c r="B28" s="265"/>
      <c r="C28" s="265"/>
      <c r="D28" s="265"/>
      <c r="E28" s="265"/>
      <c r="F28" s="268"/>
      <c r="G28" s="262"/>
      <c r="H28" s="265"/>
      <c r="I28" s="311"/>
      <c r="J28" s="314"/>
      <c r="K28" s="317"/>
      <c r="M28" s="231"/>
      <c r="N28" s="258"/>
      <c r="O28" s="231"/>
      <c r="P28" s="231"/>
      <c r="Q28" s="8"/>
    </row>
    <row r="29" spans="1:17">
      <c r="A29" s="305"/>
      <c r="B29" s="266"/>
      <c r="C29" s="266"/>
      <c r="D29" s="266"/>
      <c r="E29" s="266"/>
      <c r="F29" s="269"/>
      <c r="G29" s="263"/>
      <c r="H29" s="266"/>
      <c r="I29" s="312"/>
      <c r="J29" s="315"/>
      <c r="K29" s="317"/>
      <c r="M29" s="235"/>
      <c r="N29" s="259"/>
      <c r="O29" s="235"/>
      <c r="P29" s="235"/>
      <c r="Q29" s="8"/>
    </row>
    <row r="30" spans="1:17">
      <c r="A30" s="260"/>
      <c r="B30" s="260"/>
      <c r="C30" s="260"/>
      <c r="D30" s="260"/>
      <c r="E30" s="260"/>
      <c r="F30" s="260"/>
      <c r="G30" s="11"/>
      <c r="H30" s="11"/>
      <c r="I30" s="11"/>
      <c r="J30" s="11" t="s">
        <v>167</v>
      </c>
      <c r="K30" s="27">
        <f>AVERAGE(D25,G25,J25)</f>
        <v>3912.8866666666668</v>
      </c>
      <c r="L30" s="15"/>
      <c r="M30" s="227" t="s">
        <v>16</v>
      </c>
      <c r="N30" s="227"/>
      <c r="O30" s="227"/>
      <c r="P30" s="227"/>
      <c r="Q30" s="2">
        <f>AVERAGE(Q25:Q29)</f>
        <v>3829.6666666666665</v>
      </c>
    </row>
    <row r="35" spans="1:17">
      <c r="A35" s="283" t="s">
        <v>168</v>
      </c>
      <c r="B35" s="284"/>
      <c r="C35" s="284"/>
      <c r="D35" s="284"/>
      <c r="E35" s="284"/>
      <c r="F35" s="284"/>
      <c r="G35" s="284"/>
      <c r="H35" s="284"/>
      <c r="I35" s="284"/>
      <c r="J35" s="284"/>
      <c r="K35" s="284"/>
      <c r="L35" s="284"/>
      <c r="M35" s="284"/>
      <c r="N35" s="284"/>
      <c r="O35" s="284"/>
      <c r="P35" s="284"/>
      <c r="Q35" s="285"/>
    </row>
    <row r="36" spans="1:17" ht="15" customHeight="1">
      <c r="A36" s="19"/>
      <c r="B36" s="297" t="s">
        <v>185</v>
      </c>
      <c r="C36" s="298"/>
      <c r="D36" s="299"/>
      <c r="E36" s="297" t="s">
        <v>154</v>
      </c>
      <c r="F36" s="298"/>
      <c r="G36" s="299"/>
      <c r="H36" s="300" t="s">
        <v>155</v>
      </c>
      <c r="I36" s="301"/>
      <c r="J36" s="302"/>
      <c r="K36" s="280" t="s">
        <v>156</v>
      </c>
      <c r="M36" s="282" t="s">
        <v>3</v>
      </c>
      <c r="N36" s="282"/>
      <c r="O36" s="282"/>
      <c r="P36" s="282"/>
      <c r="Q36" s="282"/>
    </row>
    <row r="37" spans="1:17">
      <c r="A37" s="286" t="s">
        <v>157</v>
      </c>
      <c r="B37" s="294" t="s">
        <v>203</v>
      </c>
      <c r="C37" s="295"/>
      <c r="D37" s="296"/>
      <c r="E37" s="288" t="s">
        <v>204</v>
      </c>
      <c r="F37" s="289"/>
      <c r="G37" s="290"/>
      <c r="H37" s="272" t="s">
        <v>205</v>
      </c>
      <c r="I37" s="273"/>
      <c r="J37" s="274"/>
      <c r="K37" s="280"/>
      <c r="M37" s="12"/>
      <c r="N37" s="12"/>
      <c r="O37" s="12"/>
      <c r="P37" s="12"/>
      <c r="Q37" s="12"/>
    </row>
    <row r="38" spans="1:17" ht="93" customHeight="1">
      <c r="A38" s="287"/>
      <c r="B38" s="275"/>
      <c r="C38" s="276"/>
      <c r="D38" s="277"/>
      <c r="E38" s="291"/>
      <c r="F38" s="292"/>
      <c r="G38" s="293"/>
      <c r="H38" s="275"/>
      <c r="I38" s="276"/>
      <c r="J38" s="277"/>
      <c r="K38" s="280"/>
      <c r="M38" s="12"/>
      <c r="N38" s="12"/>
      <c r="O38" s="12"/>
      <c r="P38" s="12"/>
      <c r="Q38" s="12"/>
    </row>
    <row r="39" spans="1:17" ht="45">
      <c r="A39" s="21" t="s">
        <v>161</v>
      </c>
      <c r="B39" s="20" t="s">
        <v>162</v>
      </c>
      <c r="C39" s="9" t="s">
        <v>163</v>
      </c>
      <c r="D39" s="19" t="s">
        <v>164</v>
      </c>
      <c r="E39" s="20" t="s">
        <v>162</v>
      </c>
      <c r="F39" s="9" t="s">
        <v>163</v>
      </c>
      <c r="G39" s="19" t="s">
        <v>164</v>
      </c>
      <c r="H39" s="20" t="s">
        <v>162</v>
      </c>
      <c r="I39" s="9" t="s">
        <v>163</v>
      </c>
      <c r="J39" s="19" t="s">
        <v>164</v>
      </c>
      <c r="K39" s="281"/>
      <c r="M39" s="1" t="s">
        <v>12</v>
      </c>
      <c r="N39" s="1" t="s">
        <v>13</v>
      </c>
      <c r="O39" s="1" t="s">
        <v>14</v>
      </c>
      <c r="P39" s="1" t="s">
        <v>15</v>
      </c>
      <c r="Q39" s="1" t="s">
        <v>16</v>
      </c>
    </row>
    <row r="40" spans="1:17">
      <c r="A40" s="278" t="s">
        <v>169</v>
      </c>
      <c r="B40" s="264">
        <v>3653.3</v>
      </c>
      <c r="C40" s="264">
        <f>'FRETE 18000 BTU  '!L30</f>
        <v>192.07333333333335</v>
      </c>
      <c r="D40" s="264">
        <f>SUM(B40,C40)</f>
        <v>3845.3733333333334</v>
      </c>
      <c r="E40" s="264">
        <v>3755.7</v>
      </c>
      <c r="F40" s="267">
        <f>'FRETE 18000 BTU  '!L30</f>
        <v>192.07333333333335</v>
      </c>
      <c r="G40" s="261">
        <f>SUM(E40,F40)</f>
        <v>3947.7733333333331</v>
      </c>
      <c r="H40" s="264">
        <v>3954.16</v>
      </c>
      <c r="I40" s="310">
        <f>'FRETE 18000 BTU  '!L30</f>
        <v>192.07333333333335</v>
      </c>
      <c r="J40" s="313">
        <f>SUM(H40,I40)</f>
        <v>4146.2333333333336</v>
      </c>
      <c r="K40" s="316">
        <v>45680</v>
      </c>
      <c r="M40" s="230">
        <f>_xlfn.STDEV.S(D40,G40,J40)</f>
        <v>152.96452268418332</v>
      </c>
      <c r="N40" s="257">
        <f>(M40/K45)*100</f>
        <v>3.8435292959311953</v>
      </c>
      <c r="O40" s="230">
        <f>K45+M40</f>
        <v>4132.757856017517</v>
      </c>
      <c r="P40" s="230">
        <f>K45-M40</f>
        <v>3826.82881064915</v>
      </c>
      <c r="Q40" s="8">
        <f>D40</f>
        <v>3845.3733333333334</v>
      </c>
    </row>
    <row r="41" spans="1:17">
      <c r="A41" s="279"/>
      <c r="B41" s="265"/>
      <c r="C41" s="265"/>
      <c r="D41" s="265"/>
      <c r="E41" s="265"/>
      <c r="F41" s="268"/>
      <c r="G41" s="262"/>
      <c r="H41" s="265"/>
      <c r="I41" s="311"/>
      <c r="J41" s="314"/>
      <c r="K41" s="317"/>
      <c r="M41" s="231"/>
      <c r="N41" s="258"/>
      <c r="O41" s="231"/>
      <c r="P41" s="231"/>
      <c r="Q41" s="8">
        <f>G40</f>
        <v>3947.7733333333331</v>
      </c>
    </row>
    <row r="42" spans="1:17">
      <c r="A42" s="279"/>
      <c r="B42" s="265"/>
      <c r="C42" s="265"/>
      <c r="D42" s="265"/>
      <c r="E42" s="265"/>
      <c r="F42" s="268"/>
      <c r="G42" s="262"/>
      <c r="H42" s="265"/>
      <c r="I42" s="311"/>
      <c r="J42" s="314"/>
      <c r="K42" s="317"/>
      <c r="M42" s="231"/>
      <c r="N42" s="258"/>
      <c r="O42" s="231"/>
      <c r="P42" s="231"/>
      <c r="Q42" s="8"/>
    </row>
    <row r="43" spans="1:17">
      <c r="A43" s="279"/>
      <c r="B43" s="265"/>
      <c r="C43" s="265"/>
      <c r="D43" s="265"/>
      <c r="E43" s="265"/>
      <c r="F43" s="268"/>
      <c r="G43" s="262"/>
      <c r="H43" s="265"/>
      <c r="I43" s="311"/>
      <c r="J43" s="314"/>
      <c r="K43" s="317"/>
      <c r="M43" s="231"/>
      <c r="N43" s="258"/>
      <c r="O43" s="231"/>
      <c r="P43" s="231"/>
      <c r="Q43" s="8"/>
    </row>
    <row r="44" spans="1:17">
      <c r="A44" s="305"/>
      <c r="B44" s="266"/>
      <c r="C44" s="266"/>
      <c r="D44" s="266"/>
      <c r="E44" s="266"/>
      <c r="F44" s="269"/>
      <c r="G44" s="263"/>
      <c r="H44" s="266"/>
      <c r="I44" s="312"/>
      <c r="J44" s="315"/>
      <c r="K44" s="317"/>
      <c r="M44" s="235"/>
      <c r="N44" s="259"/>
      <c r="O44" s="235"/>
      <c r="P44" s="235"/>
      <c r="Q44" s="8"/>
    </row>
    <row r="45" spans="1:17">
      <c r="A45" s="260"/>
      <c r="B45" s="260"/>
      <c r="C45" s="260"/>
      <c r="D45" s="260"/>
      <c r="E45" s="260"/>
      <c r="F45" s="260"/>
      <c r="G45" s="11"/>
      <c r="H45" s="11"/>
      <c r="I45" s="11"/>
      <c r="J45" s="11" t="s">
        <v>167</v>
      </c>
      <c r="K45" s="27">
        <f>AVERAGE(D40,G40,J40)</f>
        <v>3979.7933333333335</v>
      </c>
      <c r="L45" s="15"/>
      <c r="M45" s="227" t="s">
        <v>16</v>
      </c>
      <c r="N45" s="227"/>
      <c r="O45" s="227"/>
      <c r="P45" s="227"/>
      <c r="Q45" s="2">
        <f>AVERAGE(Q40:Q44)</f>
        <v>3896.5733333333333</v>
      </c>
    </row>
    <row r="49" spans="1:17">
      <c r="A49" s="283" t="s">
        <v>171</v>
      </c>
      <c r="B49" s="284"/>
      <c r="C49" s="284"/>
      <c r="D49" s="284"/>
      <c r="E49" s="284"/>
      <c r="F49" s="284"/>
      <c r="G49" s="284"/>
      <c r="H49" s="284"/>
      <c r="I49" s="284"/>
      <c r="J49" s="284"/>
      <c r="K49" s="284"/>
      <c r="L49" s="284"/>
      <c r="M49" s="284"/>
      <c r="N49" s="284"/>
      <c r="O49" s="284"/>
      <c r="P49" s="284"/>
      <c r="Q49" s="285"/>
    </row>
    <row r="50" spans="1:17" ht="15" customHeight="1">
      <c r="A50" s="19"/>
      <c r="B50" s="297" t="s">
        <v>185</v>
      </c>
      <c r="C50" s="298"/>
      <c r="D50" s="299"/>
      <c r="E50" s="297" t="s">
        <v>154</v>
      </c>
      <c r="F50" s="298"/>
      <c r="G50" s="299"/>
      <c r="H50" s="300" t="s">
        <v>155</v>
      </c>
      <c r="I50" s="301"/>
      <c r="J50" s="302"/>
      <c r="K50" s="280" t="s">
        <v>156</v>
      </c>
      <c r="M50" s="282" t="s">
        <v>3</v>
      </c>
      <c r="N50" s="282"/>
      <c r="O50" s="282"/>
      <c r="P50" s="282"/>
      <c r="Q50" s="282"/>
    </row>
    <row r="51" spans="1:17">
      <c r="A51" s="286" t="s">
        <v>157</v>
      </c>
      <c r="B51" s="294" t="s">
        <v>203</v>
      </c>
      <c r="C51" s="295"/>
      <c r="D51" s="296"/>
      <c r="E51" s="288" t="s">
        <v>204</v>
      </c>
      <c r="F51" s="289"/>
      <c r="G51" s="290"/>
      <c r="H51" s="272" t="s">
        <v>205</v>
      </c>
      <c r="I51" s="273"/>
      <c r="J51" s="274"/>
      <c r="K51" s="280"/>
      <c r="M51" s="12"/>
      <c r="N51" s="12"/>
      <c r="O51" s="12"/>
      <c r="P51" s="12"/>
      <c r="Q51" s="12"/>
    </row>
    <row r="52" spans="1:17" ht="89.25" customHeight="1">
      <c r="A52" s="287"/>
      <c r="B52" s="275"/>
      <c r="C52" s="276"/>
      <c r="D52" s="277"/>
      <c r="E52" s="291"/>
      <c r="F52" s="292"/>
      <c r="G52" s="293"/>
      <c r="H52" s="275"/>
      <c r="I52" s="276"/>
      <c r="J52" s="277"/>
      <c r="K52" s="280"/>
      <c r="M52" s="12"/>
      <c r="N52" s="12"/>
      <c r="O52" s="12"/>
      <c r="P52" s="12"/>
      <c r="Q52" s="12"/>
    </row>
    <row r="53" spans="1:17" ht="45">
      <c r="A53" s="21" t="s">
        <v>161</v>
      </c>
      <c r="B53" s="20" t="s">
        <v>162</v>
      </c>
      <c r="C53" s="9" t="s">
        <v>163</v>
      </c>
      <c r="D53" s="19" t="s">
        <v>164</v>
      </c>
      <c r="E53" s="20" t="s">
        <v>162</v>
      </c>
      <c r="F53" s="9" t="s">
        <v>163</v>
      </c>
      <c r="G53" s="19" t="s">
        <v>164</v>
      </c>
      <c r="H53" s="20" t="s">
        <v>162</v>
      </c>
      <c r="I53" s="9" t="s">
        <v>163</v>
      </c>
      <c r="J53" s="19" t="s">
        <v>164</v>
      </c>
      <c r="K53" s="281"/>
      <c r="M53" s="1" t="s">
        <v>12</v>
      </c>
      <c r="N53" s="1" t="s">
        <v>13</v>
      </c>
      <c r="O53" s="1" t="s">
        <v>14</v>
      </c>
      <c r="P53" s="1" t="s">
        <v>15</v>
      </c>
      <c r="Q53" s="1" t="s">
        <v>16</v>
      </c>
    </row>
    <row r="54" spans="1:17">
      <c r="A54" s="318" t="s">
        <v>172</v>
      </c>
      <c r="B54" s="264">
        <v>3653.3</v>
      </c>
      <c r="C54" s="264">
        <f>'FRETE 18000 BTU  '!L39</f>
        <v>124.00666666666666</v>
      </c>
      <c r="D54" s="264">
        <f>SUM(B54,C54)</f>
        <v>3777.3066666666668</v>
      </c>
      <c r="E54" s="264">
        <v>3755.7</v>
      </c>
      <c r="F54" s="267">
        <f>'FRETE 18000 BTU  '!L39</f>
        <v>124.00666666666666</v>
      </c>
      <c r="G54" s="261">
        <f>SUM(E54,F54)</f>
        <v>3879.7066666666665</v>
      </c>
      <c r="H54" s="264">
        <v>3954.16</v>
      </c>
      <c r="I54" s="310">
        <f>'FRETE 18000 BTU  '!L39</f>
        <v>124.00666666666666</v>
      </c>
      <c r="J54" s="313">
        <f>SUM(H54,I54)</f>
        <v>4078.1666666666665</v>
      </c>
      <c r="K54" s="316">
        <v>45680</v>
      </c>
      <c r="M54" s="230">
        <f>_xlfn.STDEV.S(D54,G54,J54)</f>
        <v>152.96452268418307</v>
      </c>
      <c r="N54" s="257">
        <f>(M54/K59)*100</f>
        <v>3.9104092826232675</v>
      </c>
      <c r="O54" s="230">
        <f>K59+M54</f>
        <v>4064.69118935085</v>
      </c>
      <c r="P54" s="230">
        <f>K59-M54</f>
        <v>3758.7621439824838</v>
      </c>
      <c r="Q54" s="8">
        <f>D54</f>
        <v>3777.3066666666668</v>
      </c>
    </row>
    <row r="55" spans="1:17">
      <c r="A55" s="319"/>
      <c r="B55" s="265"/>
      <c r="C55" s="265"/>
      <c r="D55" s="265"/>
      <c r="E55" s="265"/>
      <c r="F55" s="268"/>
      <c r="G55" s="262"/>
      <c r="H55" s="265"/>
      <c r="I55" s="311"/>
      <c r="J55" s="314"/>
      <c r="K55" s="317"/>
      <c r="M55" s="231"/>
      <c r="N55" s="258"/>
      <c r="O55" s="231"/>
      <c r="P55" s="231"/>
      <c r="Q55" s="8">
        <f>G54</f>
        <v>3879.7066666666665</v>
      </c>
    </row>
    <row r="56" spans="1:17">
      <c r="A56" s="319"/>
      <c r="B56" s="265"/>
      <c r="C56" s="265"/>
      <c r="D56" s="265"/>
      <c r="E56" s="265"/>
      <c r="F56" s="268"/>
      <c r="G56" s="262"/>
      <c r="H56" s="265"/>
      <c r="I56" s="311"/>
      <c r="J56" s="314"/>
      <c r="K56" s="317"/>
      <c r="M56" s="231"/>
      <c r="N56" s="258"/>
      <c r="O56" s="231"/>
      <c r="P56" s="231"/>
      <c r="Q56" s="8"/>
    </row>
    <row r="57" spans="1:17">
      <c r="A57" s="319"/>
      <c r="B57" s="265"/>
      <c r="C57" s="265"/>
      <c r="D57" s="265"/>
      <c r="E57" s="265"/>
      <c r="F57" s="268"/>
      <c r="G57" s="262"/>
      <c r="H57" s="265"/>
      <c r="I57" s="311"/>
      <c r="J57" s="314"/>
      <c r="K57" s="317"/>
      <c r="M57" s="231"/>
      <c r="N57" s="258"/>
      <c r="O57" s="231"/>
      <c r="P57" s="231"/>
      <c r="Q57" s="8"/>
    </row>
    <row r="58" spans="1:17">
      <c r="A58" s="320"/>
      <c r="B58" s="266"/>
      <c r="C58" s="266"/>
      <c r="D58" s="266"/>
      <c r="E58" s="266"/>
      <c r="F58" s="269"/>
      <c r="G58" s="263"/>
      <c r="H58" s="266"/>
      <c r="I58" s="312"/>
      <c r="J58" s="315"/>
      <c r="K58" s="317"/>
      <c r="M58" s="235"/>
      <c r="N58" s="259"/>
      <c r="O58" s="235"/>
      <c r="P58" s="235"/>
      <c r="Q58" s="8"/>
    </row>
    <row r="59" spans="1:17">
      <c r="A59" s="260"/>
      <c r="B59" s="260"/>
      <c r="C59" s="260"/>
      <c r="D59" s="260"/>
      <c r="E59" s="260"/>
      <c r="F59" s="260"/>
      <c r="G59" s="11"/>
      <c r="H59" s="11"/>
      <c r="I59" s="11"/>
      <c r="J59" s="11" t="s">
        <v>167</v>
      </c>
      <c r="K59" s="27">
        <f>AVERAGE(D54,G54,J54)</f>
        <v>3911.7266666666669</v>
      </c>
      <c r="L59" s="15"/>
      <c r="M59" s="227" t="s">
        <v>16</v>
      </c>
      <c r="N59" s="227"/>
      <c r="O59" s="227"/>
      <c r="P59" s="227"/>
      <c r="Q59" s="2">
        <f>AVERAGE(Q54:Q58)</f>
        <v>3828.5066666666667</v>
      </c>
    </row>
  </sheetData>
  <mergeCells count="109">
    <mergeCell ref="A11:A15"/>
    <mergeCell ref="A16:F16"/>
    <mergeCell ref="O11:O15"/>
    <mergeCell ref="P11:P15"/>
    <mergeCell ref="B11:B15"/>
    <mergeCell ref="E50:G50"/>
    <mergeCell ref="H50:J50"/>
    <mergeCell ref="K50:K53"/>
    <mergeCell ref="A54:A58"/>
    <mergeCell ref="B54:B58"/>
    <mergeCell ref="C54:C58"/>
    <mergeCell ref="D54:D58"/>
    <mergeCell ref="E54:E58"/>
    <mergeCell ref="F54:F58"/>
    <mergeCell ref="G54:G58"/>
    <mergeCell ref="E22:G23"/>
    <mergeCell ref="H22:J23"/>
    <mergeCell ref="I11:I15"/>
    <mergeCell ref="J11:J15"/>
    <mergeCell ref="K11:K15"/>
    <mergeCell ref="M11:M15"/>
    <mergeCell ref="N11:N15"/>
    <mergeCell ref="C11:C15"/>
    <mergeCell ref="D11:D15"/>
    <mergeCell ref="F11:F15"/>
    <mergeCell ref="G11:G15"/>
    <mergeCell ref="M16:P16"/>
    <mergeCell ref="G25:G29"/>
    <mergeCell ref="H25:H29"/>
    <mergeCell ref="I25:I29"/>
    <mergeCell ref="K1:V1"/>
    <mergeCell ref="A6:Q6"/>
    <mergeCell ref="B7:D7"/>
    <mergeCell ref="E7:G7"/>
    <mergeCell ref="H7:J7"/>
    <mergeCell ref="K7:K10"/>
    <mergeCell ref="M7:Q7"/>
    <mergeCell ref="A8:A9"/>
    <mergeCell ref="B8:D9"/>
    <mergeCell ref="E8:G9"/>
    <mergeCell ref="H8:J9"/>
    <mergeCell ref="E11:E15"/>
    <mergeCell ref="H11:H15"/>
    <mergeCell ref="A20:Q20"/>
    <mergeCell ref="B21:D21"/>
    <mergeCell ref="E21:G21"/>
    <mergeCell ref="H21:J21"/>
    <mergeCell ref="K21:K24"/>
    <mergeCell ref="M21:Q21"/>
    <mergeCell ref="A22:A23"/>
    <mergeCell ref="B22:D23"/>
    <mergeCell ref="P25:P29"/>
    <mergeCell ref="A30:F30"/>
    <mergeCell ref="M30:P30"/>
    <mergeCell ref="A35:Q35"/>
    <mergeCell ref="B36:D36"/>
    <mergeCell ref="E36:G36"/>
    <mergeCell ref="H36:J36"/>
    <mergeCell ref="K36:K39"/>
    <mergeCell ref="M36:Q36"/>
    <mergeCell ref="A37:A38"/>
    <mergeCell ref="B37:D38"/>
    <mergeCell ref="E37:G38"/>
    <mergeCell ref="H37:J38"/>
    <mergeCell ref="J25:J29"/>
    <mergeCell ref="K25:K29"/>
    <mergeCell ref="M25:M29"/>
    <mergeCell ref="N25:N29"/>
    <mergeCell ref="O25:O29"/>
    <mergeCell ref="A25:A29"/>
    <mergeCell ref="B25:B29"/>
    <mergeCell ref="C25:C29"/>
    <mergeCell ref="D25:D29"/>
    <mergeCell ref="E25:E29"/>
    <mergeCell ref="F25:F29"/>
    <mergeCell ref="M50:Q50"/>
    <mergeCell ref="A51:A52"/>
    <mergeCell ref="B51:D52"/>
    <mergeCell ref="E51:G52"/>
    <mergeCell ref="H51:J52"/>
    <mergeCell ref="O40:O44"/>
    <mergeCell ref="P40:P44"/>
    <mergeCell ref="A45:F45"/>
    <mergeCell ref="M45:P45"/>
    <mergeCell ref="A49:Q49"/>
    <mergeCell ref="I40:I44"/>
    <mergeCell ref="J40:J44"/>
    <mergeCell ref="K40:K44"/>
    <mergeCell ref="M40:M44"/>
    <mergeCell ref="N40:N44"/>
    <mergeCell ref="D40:D44"/>
    <mergeCell ref="E40:E44"/>
    <mergeCell ref="F40:F44"/>
    <mergeCell ref="G40:G44"/>
    <mergeCell ref="H40:H44"/>
    <mergeCell ref="A40:A44"/>
    <mergeCell ref="B40:B44"/>
    <mergeCell ref="C40:C44"/>
    <mergeCell ref="B50:D50"/>
    <mergeCell ref="N54:N58"/>
    <mergeCell ref="O54:O58"/>
    <mergeCell ref="P54:P58"/>
    <mergeCell ref="A59:F59"/>
    <mergeCell ref="M59:P59"/>
    <mergeCell ref="H54:H58"/>
    <mergeCell ref="I54:I58"/>
    <mergeCell ref="J54:J58"/>
    <mergeCell ref="K54:K58"/>
    <mergeCell ref="M54:M58"/>
  </mergeCells>
  <hyperlinks>
    <hyperlink ref="E22" r:id="rId1" display="https://www.americanas.com.br/produto/7494259966/ar-condicionado-split-hw-inverter-lg-dual-voice-ia-19000-btus-frio-220v-s3nq18kl31b-eb2gam1?offerId=662912e717c6b5c0e1a9d28f&amp;opn=YSMESP&amp;epar=bp_pl_px_go_pmax_clima_3p_split_pa_2&amp;gclsrc=aw.ds&amp;gad_source=1&amp;gclid=Cj0KCQjwt4a2BhD6ARIsALgH7DovNWnVUWp-NIFYW-82FRhepnbStlcKEAHKBB2FS185kWVPE7tZYMUaAn6xEALw_wcB&amp;cor=Branco%2Fbranco&amp;voltagem=220V%2F220V&amp;condition=NEW" xr:uid="{B2A8E079-BED8-4766-AC0D-48B826F2DE4E}"/>
    <hyperlink ref="E37" r:id="rId2" display="https://www.americanas.com.br/produto/7494259966/ar-condicionado-split-hw-inverter-lg-dual-voice-ia-19000-btus-frio-220v-s3nq18kl31b-eb2gam1?offerId=662912e717c6b5c0e1a9d28f&amp;opn=YSMESP&amp;epar=bp_pl_px_go_pmax_clima_3p_split_pa_2&amp;gclsrc=aw.ds&amp;gad_source=1&amp;gclid=Cj0KCQjwt4a2BhD6ARIsALgH7DovNWnVUWp-NIFYW-82FRhepnbStlcKEAHKBB2FS185kWVPE7tZYMUaAn6xEALw_wcB&amp;cor=Branco%2Fbranco&amp;voltagem=220V%2F220V&amp;condition=NEW" xr:uid="{0725C410-78A5-4EF6-ABB7-D6DFE5407B10}"/>
    <hyperlink ref="E51" r:id="rId3" display="https://www.americanas.com.br/produto/7494259966/ar-condicionado-split-hw-inverter-lg-dual-voice-ia-19000-btus-frio-220v-s3nq18kl31b-eb2gam1?offerId=662912e717c6b5c0e1a9d28f&amp;opn=YSMESP&amp;epar=bp_pl_px_go_pmax_clima_3p_split_pa_2&amp;gclsrc=aw.ds&amp;gad_source=1&amp;gclid=Cj0KCQjwt4a2BhD6ARIsALgH7DovNWnVUWp-NIFYW-82FRhepnbStlcKEAHKBB2FS185kWVPE7tZYMUaAn6xEALw_wcB&amp;cor=Branco%2Fbranco&amp;voltagem=220V%2F220V&amp;condition=NEW" xr:uid="{018A56C5-8D58-4766-830A-3A3D5803C84A}"/>
    <hyperlink ref="E8" r:id="rId4" display="https://www.americanas.com.br/produto/7494259966/ar-condicionado-split-hw-inverter-lg-dual-voice-ia-19000-btus-frio-220v-s3nq18kl31b-eb2gam1?offerId=662912e717c6b5c0e1a9d28f&amp;opn=YSMESP&amp;epar=bp_pl_px_go_pmax_clima_3p_split_pa_2&amp;gclsrc=aw.ds&amp;gad_source=1&amp;gclid=Cj0KCQjwt4a2BhD6ARIsALgH7DovNWnVUWp-NIFYW-82FRhepnbStlcKEAHKBB2FS185kWVPE7tZYMUaAn6xEALw_wcB&amp;cor=Branco%2Fbranco&amp;voltagem=220V%2F220V&amp;condition=NEW" xr:uid="{54943E66-9A1D-4BB4-8C1E-9AC2C1E70CE3}"/>
    <hyperlink ref="B8:D9" r:id="rId5" display="https://site.fastshop.com.br/ar-condicionado-split-hi-wall-inverter-lg-dual-compact--ia-r-32-18000-btu-h-frio-s3nq18klqal-eb2gam1--220-volts-42767-44117/p" xr:uid="{64CCB73B-0DA2-4693-AE33-2F2B903E9C54}"/>
    <hyperlink ref="B22:D23" r:id="rId6" display="https://site.fastshop.com.br/ar-condicionado-split-hi-wall-inverter-lg-dual-compact--ia-r-32-18000-btu-h-frio-s3nq18klqal-eb2gam1--220-volts-42767-44117/p" xr:uid="{9FEB4225-8E6F-45CD-932F-D20497CE5368}"/>
    <hyperlink ref="B37:D38" r:id="rId7" display="https://site.fastshop.com.br/ar-condicionado-split-hi-wall-inverter-lg-dual-compact--ia-r-32-18000-btu-h-frio-s3nq18klqal-eb2gam1--220-volts-42767-44117/p" xr:uid="{4FB07723-DC75-44FC-88CA-EBA9B5B685D9}"/>
    <hyperlink ref="B51:D52" r:id="rId8" display="https://site.fastshop.com.br/ar-condicionado-split-hi-wall-inverter-lg-dual-compact--ia-r-32-18000-btu-h-frio-s3nq18klqal-eb2gam1--220-volts-42767-44117/p" xr:uid="{61D9BDB8-F10C-47C5-AEB5-CC1BF1DC4AC5}"/>
    <hyperlink ref="H8:J9" r:id="rId9" display="https://www.carrefour.com.br/ar-condicionado-split-hi-wall-inverter-lg-dual-compact-r-32-18000-btu-h-frio-s3nq18klqal-eb2gam1-220-mp935410129/p" xr:uid="{C356B3B3-200C-4590-9C52-B6F794A7E0AB}"/>
    <hyperlink ref="H22:J23" r:id="rId10" display="https://www.carrefour.com.br/ar-condicionado-split-hi-wall-inverter-lg-dual-compact-r-32-18000-btu-h-frio-s3nq18klqal-eb2gam1-220-mp935410129/p" xr:uid="{D16355CC-E2A7-4C1C-B0A8-6B648954A5D8}"/>
    <hyperlink ref="H37:J38" r:id="rId11" display="https://www.carrefour.com.br/ar-condicionado-split-hi-wall-inverter-lg-dual-compact-r-32-18000-btu-h-frio-s3nq18klqal-eb2gam1-220-mp935410129/p" xr:uid="{3A89AAA8-A039-4E14-A073-E7DC09956CAB}"/>
    <hyperlink ref="H51:J52" r:id="rId12" display="https://www.carrefour.com.br/ar-condicionado-split-hi-wall-inverter-lg-dual-compact-r-32-18000-btu-h-frio-s3nq18klqal-eb2gam1-220-mp935410129/p" xr:uid="{BC546789-91CD-4DC4-AEE1-91F915AE0AA2}"/>
  </hyperlink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56B20-47BD-4775-ACDA-BC899E46C74F}">
  <sheetPr>
    <tabColor rgb="FF00B050"/>
  </sheetPr>
  <dimension ref="A1:Q39"/>
  <sheetViews>
    <sheetView topLeftCell="A27" workbookViewId="0">
      <selection activeCell="L26" sqref="L26"/>
    </sheetView>
  </sheetViews>
  <sheetFormatPr defaultRowHeight="15"/>
  <cols>
    <col min="1" max="1" width="14.85546875" customWidth="1"/>
    <col min="2" max="2" width="13" customWidth="1"/>
    <col min="3" max="3" width="15.28515625" customWidth="1"/>
    <col min="4" max="5" width="29" customWidth="1"/>
    <col min="6" max="6" width="16.7109375" customWidth="1"/>
    <col min="9" max="9" width="11.85546875" customWidth="1"/>
  </cols>
  <sheetData>
    <row r="1" spans="1:17" ht="18.75">
      <c r="D1" s="17" t="s">
        <v>206</v>
      </c>
      <c r="E1" s="17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</row>
    <row r="6" spans="1:17">
      <c r="A6" s="306" t="s">
        <v>193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</row>
    <row r="7" spans="1:17">
      <c r="A7" s="282" t="s">
        <v>161</v>
      </c>
      <c r="B7" s="282" t="s">
        <v>175</v>
      </c>
      <c r="C7" s="13" t="s">
        <v>185</v>
      </c>
      <c r="D7" s="13" t="s">
        <v>154</v>
      </c>
      <c r="E7" s="18" t="s">
        <v>155</v>
      </c>
      <c r="F7" s="280" t="s">
        <v>176</v>
      </c>
      <c r="H7" s="282" t="s">
        <v>3</v>
      </c>
      <c r="I7" s="282"/>
      <c r="J7" s="282"/>
      <c r="K7" s="282"/>
      <c r="L7" s="282"/>
    </row>
    <row r="8" spans="1:17" ht="45">
      <c r="A8" s="229"/>
      <c r="B8" s="229"/>
      <c r="C8" s="9" t="s">
        <v>177</v>
      </c>
      <c r="D8" s="9" t="s">
        <v>177</v>
      </c>
      <c r="E8" s="9" t="s">
        <v>177</v>
      </c>
      <c r="F8" s="281"/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</row>
    <row r="9" spans="1:17">
      <c r="A9" s="278" t="s">
        <v>189</v>
      </c>
      <c r="B9" s="8" t="s">
        <v>207</v>
      </c>
      <c r="C9" s="33">
        <v>299.99</v>
      </c>
      <c r="D9" s="33">
        <v>333.84</v>
      </c>
      <c r="E9" s="33">
        <v>299.89999999999998</v>
      </c>
      <c r="F9" s="8">
        <f>AVERAGE(C9:E9)</f>
        <v>311.24333333333328</v>
      </c>
      <c r="H9" s="230">
        <f>_xlfn.STDEV.S(F9:F11)</f>
        <v>21.679350390021686</v>
      </c>
      <c r="I9" s="257">
        <f>(H9/F12)*100</f>
        <v>7.1209025302806248</v>
      </c>
      <c r="J9" s="230">
        <f>F12+H9</f>
        <v>326.12601705668834</v>
      </c>
      <c r="K9" s="230">
        <f>F12-H9</f>
        <v>282.76731627664498</v>
      </c>
      <c r="L9" s="8">
        <f>F9</f>
        <v>311.24333333333328</v>
      </c>
    </row>
    <row r="10" spans="1:17">
      <c r="A10" s="279"/>
      <c r="B10" s="14" t="s">
        <v>208</v>
      </c>
      <c r="C10" s="35">
        <v>315.95</v>
      </c>
      <c r="D10" s="33">
        <v>208.65</v>
      </c>
      <c r="E10" s="35">
        <v>315.95</v>
      </c>
      <c r="F10" s="8">
        <f t="shared" ref="F10:F11" si="0">AVERAGE(C10:E10)</f>
        <v>280.18333333333334</v>
      </c>
      <c r="H10" s="231"/>
      <c r="I10" s="258"/>
      <c r="J10" s="231"/>
      <c r="K10" s="231"/>
      <c r="L10" s="8"/>
    </row>
    <row r="11" spans="1:17">
      <c r="A11" s="279"/>
      <c r="B11" s="14" t="s">
        <v>194</v>
      </c>
      <c r="C11" s="35">
        <v>315.95</v>
      </c>
      <c r="D11" s="33">
        <v>333.84</v>
      </c>
      <c r="E11" s="35">
        <v>315.95</v>
      </c>
      <c r="F11" s="8">
        <f t="shared" si="0"/>
        <v>321.91333333333336</v>
      </c>
      <c r="H11" s="231"/>
      <c r="I11" s="258"/>
      <c r="J11" s="231"/>
      <c r="K11" s="231"/>
      <c r="L11" s="8">
        <f>F11</f>
        <v>321.91333333333336</v>
      </c>
    </row>
    <row r="12" spans="1:17">
      <c r="A12" s="260" t="s">
        <v>166</v>
      </c>
      <c r="B12" s="260"/>
      <c r="C12" s="260"/>
      <c r="D12" s="260"/>
      <c r="E12" s="11"/>
      <c r="F12" s="6">
        <f>AVERAGE(F9:F11)</f>
        <v>304.44666666666666</v>
      </c>
      <c r="G12" s="15"/>
      <c r="H12" s="227" t="s">
        <v>16</v>
      </c>
      <c r="I12" s="227"/>
      <c r="J12" s="227"/>
      <c r="K12" s="227"/>
      <c r="L12" s="2">
        <f>AVERAGE(L9:L11)</f>
        <v>316.57833333333332</v>
      </c>
    </row>
    <row r="15" spans="1:17">
      <c r="A15" s="306" t="s">
        <v>174</v>
      </c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</row>
    <row r="16" spans="1:17">
      <c r="A16" s="282" t="s">
        <v>161</v>
      </c>
      <c r="B16" s="282" t="s">
        <v>175</v>
      </c>
      <c r="C16" s="13" t="s">
        <v>185</v>
      </c>
      <c r="D16" s="13" t="s">
        <v>154</v>
      </c>
      <c r="E16" s="18" t="s">
        <v>155</v>
      </c>
      <c r="F16" s="280" t="s">
        <v>176</v>
      </c>
      <c r="H16" s="282" t="s">
        <v>3</v>
      </c>
      <c r="I16" s="282"/>
      <c r="J16" s="282"/>
      <c r="K16" s="282"/>
      <c r="L16" s="282"/>
    </row>
    <row r="17" spans="1:12" ht="45">
      <c r="A17" s="229"/>
      <c r="B17" s="229"/>
      <c r="C17" s="9" t="s">
        <v>177</v>
      </c>
      <c r="D17" s="9" t="s">
        <v>177</v>
      </c>
      <c r="E17" s="9" t="s">
        <v>177</v>
      </c>
      <c r="F17" s="281"/>
      <c r="H17" s="1" t="s">
        <v>12</v>
      </c>
      <c r="I17" s="1" t="s">
        <v>13</v>
      </c>
      <c r="J17" s="1" t="s">
        <v>14</v>
      </c>
      <c r="K17" s="1" t="s">
        <v>15</v>
      </c>
      <c r="L17" s="1" t="s">
        <v>16</v>
      </c>
    </row>
    <row r="18" spans="1:12">
      <c r="A18" s="278" t="s">
        <v>165</v>
      </c>
      <c r="B18" s="10" t="s">
        <v>178</v>
      </c>
      <c r="C18" s="33">
        <v>127.8</v>
      </c>
      <c r="D18" s="33">
        <v>119.9</v>
      </c>
      <c r="E18" s="33">
        <v>127.8</v>
      </c>
      <c r="F18" s="8">
        <f t="shared" ref="F18:F20" si="1">AVERAGE(C18:E18)</f>
        <v>125.16666666666667</v>
      </c>
      <c r="H18" s="230">
        <f>_xlfn.STDEV.S(F18:F19)</f>
        <v>0</v>
      </c>
      <c r="I18" s="257">
        <f>(H18/F21)*100</f>
        <v>0</v>
      </c>
      <c r="J18" s="230">
        <f>F21+H18</f>
        <v>125.16666666666667</v>
      </c>
      <c r="K18" s="230">
        <f>F21-H18</f>
        <v>125.16666666666667</v>
      </c>
      <c r="L18" s="26">
        <f>F18</f>
        <v>125.16666666666667</v>
      </c>
    </row>
    <row r="19" spans="1:12">
      <c r="A19" s="279"/>
      <c r="B19" s="14" t="s">
        <v>196</v>
      </c>
      <c r="C19" s="33">
        <v>127.8</v>
      </c>
      <c r="D19" s="33">
        <v>119.9</v>
      </c>
      <c r="E19" s="35">
        <v>127.8</v>
      </c>
      <c r="F19" s="8">
        <f t="shared" si="1"/>
        <v>125.16666666666667</v>
      </c>
      <c r="H19" s="235"/>
      <c r="I19" s="259"/>
      <c r="J19" s="235"/>
      <c r="K19" s="235"/>
      <c r="L19" s="8">
        <f>F19</f>
        <v>125.16666666666667</v>
      </c>
    </row>
    <row r="20" spans="1:12">
      <c r="A20" s="72"/>
      <c r="B20" s="14" t="s">
        <v>209</v>
      </c>
      <c r="C20" s="33">
        <v>127.8</v>
      </c>
      <c r="D20" s="33">
        <v>119.9</v>
      </c>
      <c r="E20" s="35">
        <v>127.8</v>
      </c>
      <c r="F20" s="8">
        <f t="shared" si="1"/>
        <v>125.16666666666667</v>
      </c>
      <c r="H20" s="172"/>
      <c r="I20" s="173"/>
      <c r="J20" s="172"/>
      <c r="K20" s="172"/>
      <c r="L20" s="8">
        <f>F20</f>
        <v>125.16666666666667</v>
      </c>
    </row>
    <row r="21" spans="1:12">
      <c r="A21" s="260" t="s">
        <v>166</v>
      </c>
      <c r="B21" s="260"/>
      <c r="C21" s="260"/>
      <c r="D21" s="260"/>
      <c r="E21" s="11"/>
      <c r="F21" s="6">
        <f>AVERAGE(F18:F20)</f>
        <v>125.16666666666667</v>
      </c>
      <c r="G21" s="15"/>
      <c r="H21" s="227" t="s">
        <v>16</v>
      </c>
      <c r="I21" s="227"/>
      <c r="J21" s="227"/>
      <c r="K21" s="227"/>
      <c r="L21" s="2">
        <f>AVERAGE(L18:L19)</f>
        <v>125.16666666666667</v>
      </c>
    </row>
    <row r="24" spans="1:12">
      <c r="A24" s="306" t="s">
        <v>179</v>
      </c>
      <c r="B24" s="306"/>
      <c r="C24" s="306"/>
      <c r="D24" s="306"/>
      <c r="E24" s="306"/>
      <c r="F24" s="306"/>
      <c r="G24" s="306"/>
      <c r="H24" s="306"/>
      <c r="I24" s="306"/>
      <c r="J24" s="306"/>
      <c r="K24" s="306"/>
      <c r="L24" s="306"/>
    </row>
    <row r="25" spans="1:12">
      <c r="A25" s="282" t="s">
        <v>161</v>
      </c>
      <c r="B25" s="282" t="s">
        <v>175</v>
      </c>
      <c r="C25" s="13" t="s">
        <v>185</v>
      </c>
      <c r="D25" s="13" t="s">
        <v>154</v>
      </c>
      <c r="E25" s="18" t="s">
        <v>155</v>
      </c>
      <c r="F25" s="280" t="s">
        <v>176</v>
      </c>
      <c r="H25" s="282" t="s">
        <v>3</v>
      </c>
      <c r="I25" s="282"/>
      <c r="J25" s="282"/>
      <c r="K25" s="282"/>
      <c r="L25" s="282"/>
    </row>
    <row r="26" spans="1:12" ht="45">
      <c r="A26" s="229"/>
      <c r="B26" s="229"/>
      <c r="C26" s="9" t="s">
        <v>177</v>
      </c>
      <c r="D26" s="9" t="s">
        <v>177</v>
      </c>
      <c r="E26" s="9" t="s">
        <v>177</v>
      </c>
      <c r="F26" s="281"/>
      <c r="H26" s="1" t="s">
        <v>12</v>
      </c>
      <c r="I26" s="1" t="s">
        <v>13</v>
      </c>
      <c r="J26" s="1" t="s">
        <v>14</v>
      </c>
      <c r="K26" s="1" t="s">
        <v>15</v>
      </c>
      <c r="L26" s="1" t="s">
        <v>16</v>
      </c>
    </row>
    <row r="27" spans="1:12">
      <c r="A27" s="278" t="s">
        <v>169</v>
      </c>
      <c r="B27" s="10"/>
      <c r="C27" s="73"/>
      <c r="D27" s="73"/>
      <c r="E27" s="73"/>
      <c r="F27" s="8"/>
      <c r="H27" s="230">
        <f>_xlfn.STDEV.S(F28:F29)</f>
        <v>94.620315413175817</v>
      </c>
      <c r="I27" s="257">
        <f>(H27/F30)*100</f>
        <v>49.262598701802688</v>
      </c>
      <c r="J27" s="230">
        <f>F30+H27</f>
        <v>286.69364874650915</v>
      </c>
      <c r="K27" s="230">
        <f>F30-H27</f>
        <v>97.453017920157535</v>
      </c>
      <c r="L27" s="8"/>
    </row>
    <row r="28" spans="1:12">
      <c r="A28" s="279"/>
      <c r="B28" s="14" t="s">
        <v>180</v>
      </c>
      <c r="C28" s="35">
        <v>127.8</v>
      </c>
      <c r="D28" s="33">
        <v>119.9</v>
      </c>
      <c r="E28" s="33">
        <v>127.8</v>
      </c>
      <c r="F28" s="8">
        <f t="shared" ref="F28:F29" si="2">AVERAGE(C28:E28)</f>
        <v>125.16666666666667</v>
      </c>
      <c r="H28" s="231"/>
      <c r="I28" s="258"/>
      <c r="J28" s="231"/>
      <c r="K28" s="231"/>
      <c r="L28" s="8">
        <f>F28</f>
        <v>125.16666666666667</v>
      </c>
    </row>
    <row r="29" spans="1:12">
      <c r="A29" s="279"/>
      <c r="B29" s="14" t="s">
        <v>198</v>
      </c>
      <c r="C29" s="35">
        <v>315.95</v>
      </c>
      <c r="D29" s="33">
        <v>145.04</v>
      </c>
      <c r="E29" s="35">
        <v>315.95</v>
      </c>
      <c r="F29" s="8">
        <f t="shared" si="2"/>
        <v>258.98</v>
      </c>
      <c r="H29" s="235"/>
      <c r="I29" s="259"/>
      <c r="J29" s="235"/>
      <c r="K29" s="235"/>
      <c r="L29" s="8">
        <f>F29</f>
        <v>258.98</v>
      </c>
    </row>
    <row r="30" spans="1:12">
      <c r="A30" s="260" t="s">
        <v>166</v>
      </c>
      <c r="B30" s="260"/>
      <c r="C30" s="260"/>
      <c r="D30" s="260"/>
      <c r="E30" s="11"/>
      <c r="F30" s="6">
        <f>AVERAGE(F27:F29)</f>
        <v>192.07333333333335</v>
      </c>
      <c r="G30" s="15"/>
      <c r="H30" s="227" t="s">
        <v>16</v>
      </c>
      <c r="I30" s="227"/>
      <c r="J30" s="227"/>
      <c r="K30" s="227"/>
      <c r="L30" s="2">
        <f>AVERAGE(L27:L29)</f>
        <v>192.07333333333335</v>
      </c>
    </row>
    <row r="34" spans="1:12">
      <c r="A34" s="306" t="s">
        <v>181</v>
      </c>
      <c r="B34" s="306"/>
      <c r="C34" s="306"/>
      <c r="D34" s="306"/>
      <c r="E34" s="306"/>
      <c r="F34" s="306"/>
      <c r="G34" s="306"/>
      <c r="H34" s="306"/>
      <c r="I34" s="306"/>
      <c r="J34" s="306"/>
      <c r="K34" s="306"/>
      <c r="L34" s="306"/>
    </row>
    <row r="35" spans="1:12">
      <c r="A35" s="282" t="s">
        <v>161</v>
      </c>
      <c r="B35" s="282" t="s">
        <v>175</v>
      </c>
      <c r="C35" s="13" t="s">
        <v>185</v>
      </c>
      <c r="D35" s="13" t="s">
        <v>154</v>
      </c>
      <c r="E35" s="18" t="s">
        <v>155</v>
      </c>
      <c r="F35" s="280" t="s">
        <v>176</v>
      </c>
      <c r="H35" s="282" t="s">
        <v>3</v>
      </c>
      <c r="I35" s="282"/>
      <c r="J35" s="282"/>
      <c r="K35" s="282"/>
      <c r="L35" s="282"/>
    </row>
    <row r="36" spans="1:12" ht="45">
      <c r="A36" s="229"/>
      <c r="B36" s="229"/>
      <c r="C36" s="9" t="s">
        <v>177</v>
      </c>
      <c r="D36" s="9" t="s">
        <v>177</v>
      </c>
      <c r="E36" s="9" t="s">
        <v>177</v>
      </c>
      <c r="F36" s="281"/>
      <c r="H36" s="1" t="s">
        <v>12</v>
      </c>
      <c r="I36" s="1" t="s">
        <v>13</v>
      </c>
      <c r="J36" s="1" t="s">
        <v>14</v>
      </c>
      <c r="K36" s="1" t="s">
        <v>15</v>
      </c>
      <c r="L36" s="1" t="s">
        <v>16</v>
      </c>
    </row>
    <row r="37" spans="1:12">
      <c r="A37" s="278" t="s">
        <v>172</v>
      </c>
      <c r="B37" s="10" t="s">
        <v>210</v>
      </c>
      <c r="C37" s="33">
        <v>127.8</v>
      </c>
      <c r="D37" s="33">
        <v>124.32</v>
      </c>
      <c r="E37" s="33">
        <v>119.9</v>
      </c>
      <c r="F37" s="8">
        <f t="shared" ref="F37:F38" si="3">AVERAGE(C37:E37)</f>
        <v>124.00666666666666</v>
      </c>
      <c r="H37" s="230">
        <f>_xlfn.STDEV.S(F37:F38)</f>
        <v>0</v>
      </c>
      <c r="I37" s="257">
        <f>(H37/F39)*100</f>
        <v>0</v>
      </c>
      <c r="J37" s="230">
        <f>F39+H37</f>
        <v>124.00666666666666</v>
      </c>
      <c r="K37" s="230">
        <f>F39-H37</f>
        <v>124.00666666666666</v>
      </c>
      <c r="L37" s="8">
        <f>F37</f>
        <v>124.00666666666666</v>
      </c>
    </row>
    <row r="38" spans="1:12">
      <c r="A38" s="279"/>
      <c r="B38" s="14" t="s">
        <v>182</v>
      </c>
      <c r="C38" s="33">
        <v>127.8</v>
      </c>
      <c r="D38" s="33">
        <v>124.32</v>
      </c>
      <c r="E38" s="33">
        <v>119.9</v>
      </c>
      <c r="F38" s="8">
        <f t="shared" si="3"/>
        <v>124.00666666666666</v>
      </c>
      <c r="H38" s="231"/>
      <c r="I38" s="258"/>
      <c r="J38" s="231"/>
      <c r="K38" s="231"/>
      <c r="L38" s="8">
        <f>F38</f>
        <v>124.00666666666666</v>
      </c>
    </row>
    <row r="39" spans="1:12">
      <c r="A39" s="260" t="s">
        <v>166</v>
      </c>
      <c r="B39" s="260"/>
      <c r="C39" s="260"/>
      <c r="D39" s="260"/>
      <c r="E39" s="11"/>
      <c r="F39" s="6">
        <f>AVERAGE(F37:F38)</f>
        <v>124.00666666666666</v>
      </c>
      <c r="G39" s="15"/>
      <c r="H39" s="227" t="s">
        <v>16</v>
      </c>
      <c r="I39" s="227"/>
      <c r="J39" s="227"/>
      <c r="K39" s="227"/>
      <c r="L39" s="2">
        <f>AVERAGE(L37:L38)</f>
        <v>124.00666666666666</v>
      </c>
    </row>
  </sheetData>
  <mergeCells count="49">
    <mergeCell ref="A37:A38"/>
    <mergeCell ref="A39:D39"/>
    <mergeCell ref="H39:K39"/>
    <mergeCell ref="H37:H38"/>
    <mergeCell ref="I37:I38"/>
    <mergeCell ref="J37:J38"/>
    <mergeCell ref="K37:K38"/>
    <mergeCell ref="A27:A29"/>
    <mergeCell ref="A30:D30"/>
    <mergeCell ref="H30:K30"/>
    <mergeCell ref="A34:L34"/>
    <mergeCell ref="A35:A36"/>
    <mergeCell ref="B35:B36"/>
    <mergeCell ref="F35:F36"/>
    <mergeCell ref="H35:L35"/>
    <mergeCell ref="H27:H29"/>
    <mergeCell ref="I27:I29"/>
    <mergeCell ref="J27:J29"/>
    <mergeCell ref="K27:K29"/>
    <mergeCell ref="A18:A19"/>
    <mergeCell ref="A21:D21"/>
    <mergeCell ref="H21:K21"/>
    <mergeCell ref="A24:L24"/>
    <mergeCell ref="A25:A26"/>
    <mergeCell ref="B25:B26"/>
    <mergeCell ref="F25:F26"/>
    <mergeCell ref="H25:L25"/>
    <mergeCell ref="H18:H19"/>
    <mergeCell ref="I18:I19"/>
    <mergeCell ref="J18:J19"/>
    <mergeCell ref="K18:K19"/>
    <mergeCell ref="F1:Q1"/>
    <mergeCell ref="A6:L6"/>
    <mergeCell ref="A7:A8"/>
    <mergeCell ref="B7:B8"/>
    <mergeCell ref="F7:F8"/>
    <mergeCell ref="H7:L7"/>
    <mergeCell ref="A9:A11"/>
    <mergeCell ref="A12:D12"/>
    <mergeCell ref="H12:K12"/>
    <mergeCell ref="A15:L15"/>
    <mergeCell ref="A16:A17"/>
    <mergeCell ref="B16:B17"/>
    <mergeCell ref="F16:F17"/>
    <mergeCell ref="H16:L16"/>
    <mergeCell ref="H9:H11"/>
    <mergeCell ref="I9:I11"/>
    <mergeCell ref="J9:J11"/>
    <mergeCell ref="K9:K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BB1F7-8F62-478D-B890-C2553DE67CDE}">
  <sheetPr>
    <tabColor rgb="FF00B050"/>
  </sheetPr>
  <dimension ref="A1:V45"/>
  <sheetViews>
    <sheetView topLeftCell="C29" workbookViewId="0">
      <selection activeCell="Q45" sqref="Q45"/>
    </sheetView>
  </sheetViews>
  <sheetFormatPr defaultRowHeight="15"/>
  <cols>
    <col min="1" max="1" width="19.7109375" customWidth="1"/>
    <col min="2" max="2" width="15.7109375" customWidth="1"/>
    <col min="3" max="4" width="15.28515625" customWidth="1"/>
    <col min="5" max="5" width="18.5703125" customWidth="1"/>
    <col min="6" max="7" width="21.5703125" customWidth="1"/>
    <col min="8" max="8" width="19.140625" customWidth="1"/>
    <col min="9" max="10" width="20.28515625" customWidth="1"/>
    <col min="11" max="11" width="18.7109375" customWidth="1"/>
    <col min="14" max="14" width="11.85546875" customWidth="1"/>
    <col min="15" max="15" width="12" customWidth="1"/>
    <col min="16" max="16" width="12.5703125" customWidth="1"/>
    <col min="17" max="17" width="10.7109375" bestFit="1" customWidth="1"/>
  </cols>
  <sheetData>
    <row r="1" spans="1:22" ht="18.75">
      <c r="C1" s="16"/>
      <c r="D1" s="16"/>
      <c r="E1" s="16"/>
      <c r="F1" s="17" t="s">
        <v>211</v>
      </c>
      <c r="G1" s="17"/>
      <c r="H1" s="17"/>
      <c r="I1" s="17"/>
      <c r="J1" s="17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</row>
    <row r="6" spans="1:22">
      <c r="A6" s="283" t="s">
        <v>184</v>
      </c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5"/>
    </row>
    <row r="7" spans="1:22" ht="14.25" customHeight="1">
      <c r="A7" s="19"/>
      <c r="B7" s="297" t="s">
        <v>185</v>
      </c>
      <c r="C7" s="298"/>
      <c r="D7" s="299"/>
      <c r="E7" s="297" t="s">
        <v>154</v>
      </c>
      <c r="F7" s="298"/>
      <c r="G7" s="299"/>
      <c r="H7" s="300" t="s">
        <v>155</v>
      </c>
      <c r="I7" s="301"/>
      <c r="J7" s="302"/>
      <c r="K7" s="280" t="s">
        <v>156</v>
      </c>
      <c r="M7" s="282" t="s">
        <v>3</v>
      </c>
      <c r="N7" s="282"/>
      <c r="O7" s="282"/>
      <c r="P7" s="282"/>
      <c r="Q7" s="282"/>
    </row>
    <row r="8" spans="1:22" ht="14.25" customHeight="1">
      <c r="A8" s="286" t="s">
        <v>157</v>
      </c>
      <c r="B8" s="294" t="s">
        <v>212</v>
      </c>
      <c r="C8" s="295"/>
      <c r="D8" s="296"/>
      <c r="E8" s="294" t="s">
        <v>213</v>
      </c>
      <c r="F8" s="295"/>
      <c r="G8" s="296"/>
      <c r="H8" s="272" t="s">
        <v>214</v>
      </c>
      <c r="I8" s="273"/>
      <c r="J8" s="274"/>
      <c r="K8" s="280"/>
      <c r="M8" s="12"/>
      <c r="N8" s="12"/>
      <c r="O8" s="12"/>
      <c r="P8" s="12"/>
      <c r="Q8" s="12"/>
    </row>
    <row r="9" spans="1:22" ht="91.5" customHeight="1">
      <c r="A9" s="287"/>
      <c r="B9" s="275"/>
      <c r="C9" s="276"/>
      <c r="D9" s="277"/>
      <c r="E9" s="275"/>
      <c r="F9" s="276"/>
      <c r="G9" s="277"/>
      <c r="H9" s="275"/>
      <c r="I9" s="276"/>
      <c r="J9" s="277"/>
      <c r="K9" s="280"/>
      <c r="M9" s="12"/>
      <c r="N9" s="12"/>
      <c r="O9" s="12"/>
      <c r="P9" s="12"/>
      <c r="Q9" s="12"/>
    </row>
    <row r="10" spans="1:22" ht="56.25" customHeight="1">
      <c r="A10" s="21" t="s">
        <v>161</v>
      </c>
      <c r="B10" s="20" t="s">
        <v>162</v>
      </c>
      <c r="C10" s="9" t="s">
        <v>163</v>
      </c>
      <c r="D10" s="19" t="s">
        <v>164</v>
      </c>
      <c r="E10" s="20" t="s">
        <v>162</v>
      </c>
      <c r="F10" s="9" t="s">
        <v>163</v>
      </c>
      <c r="G10" s="19" t="s">
        <v>164</v>
      </c>
      <c r="H10" s="20" t="s">
        <v>162</v>
      </c>
      <c r="I10" s="9" t="s">
        <v>163</v>
      </c>
      <c r="J10" s="19" t="s">
        <v>164</v>
      </c>
      <c r="K10" s="281"/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</row>
    <row r="11" spans="1:22">
      <c r="A11" s="278" t="s">
        <v>189</v>
      </c>
      <c r="B11" s="264">
        <v>4248.3</v>
      </c>
      <c r="C11" s="264">
        <f>'FRETE 24000 BTU  '!L11</f>
        <v>354.10166666666669</v>
      </c>
      <c r="D11" s="264">
        <f>SUM(B11:C15)</f>
        <v>4602.4016666666666</v>
      </c>
      <c r="E11" s="264">
        <v>4399.2</v>
      </c>
      <c r="F11" s="267">
        <f>'FRETE 24000 BTU  '!L11</f>
        <v>354.10166666666669</v>
      </c>
      <c r="G11" s="261">
        <f>SUM(E11:F15)</f>
        <v>4753.3016666666663</v>
      </c>
      <c r="H11" s="264">
        <v>4769</v>
      </c>
      <c r="I11" s="267">
        <f>'FRETE 24000 BTU  '!L11</f>
        <v>354.10166666666669</v>
      </c>
      <c r="J11" s="261">
        <f>SUM(H11:I15)</f>
        <v>5123.1016666666665</v>
      </c>
      <c r="K11" s="270">
        <v>45681</v>
      </c>
      <c r="M11" s="230">
        <f>_xlfn.STDEV.S(D11,G11,J11)</f>
        <v>267.90898330092125</v>
      </c>
      <c r="N11" s="257">
        <f>(M11/K16)*100</f>
        <v>5.5510585984324239</v>
      </c>
      <c r="O11" s="230">
        <f>K16+M11</f>
        <v>5094.1773166342546</v>
      </c>
      <c r="P11" s="230">
        <f>K16-M11</f>
        <v>4558.3593500324123</v>
      </c>
      <c r="Q11" s="8">
        <f>D11</f>
        <v>4602.4016666666666</v>
      </c>
    </row>
    <row r="12" spans="1:22" ht="14.25" customHeight="1">
      <c r="A12" s="279"/>
      <c r="B12" s="265"/>
      <c r="C12" s="265"/>
      <c r="D12" s="265"/>
      <c r="E12" s="265"/>
      <c r="F12" s="268"/>
      <c r="G12" s="262"/>
      <c r="H12" s="265"/>
      <c r="I12" s="268"/>
      <c r="J12" s="262"/>
      <c r="K12" s="271"/>
      <c r="M12" s="231"/>
      <c r="N12" s="258"/>
      <c r="O12" s="231"/>
      <c r="P12" s="231"/>
      <c r="Q12" s="8">
        <f>G11</f>
        <v>4753.3016666666663</v>
      </c>
    </row>
    <row r="13" spans="1:22">
      <c r="A13" s="279"/>
      <c r="B13" s="265"/>
      <c r="C13" s="265"/>
      <c r="D13" s="265"/>
      <c r="E13" s="265"/>
      <c r="F13" s="268"/>
      <c r="G13" s="262"/>
      <c r="H13" s="265"/>
      <c r="I13" s="268"/>
      <c r="J13" s="262"/>
      <c r="K13" s="271"/>
      <c r="M13" s="231"/>
      <c r="N13" s="258"/>
      <c r="O13" s="231"/>
      <c r="P13" s="231"/>
      <c r="Q13" s="8"/>
    </row>
    <row r="14" spans="1:22">
      <c r="A14" s="279"/>
      <c r="B14" s="265"/>
      <c r="C14" s="265"/>
      <c r="D14" s="265"/>
      <c r="E14" s="265"/>
      <c r="F14" s="268"/>
      <c r="G14" s="262"/>
      <c r="H14" s="265"/>
      <c r="I14" s="268"/>
      <c r="J14" s="262"/>
      <c r="K14" s="271"/>
      <c r="M14" s="231"/>
      <c r="N14" s="258"/>
      <c r="O14" s="231"/>
      <c r="P14" s="231"/>
      <c r="Q14" s="8"/>
    </row>
    <row r="15" spans="1:22">
      <c r="A15" s="305"/>
      <c r="B15" s="266"/>
      <c r="C15" s="266"/>
      <c r="D15" s="266"/>
      <c r="E15" s="266"/>
      <c r="F15" s="269"/>
      <c r="G15" s="263"/>
      <c r="H15" s="266"/>
      <c r="I15" s="269"/>
      <c r="J15" s="263"/>
      <c r="K15" s="271"/>
      <c r="M15" s="235"/>
      <c r="N15" s="259"/>
      <c r="O15" s="235"/>
      <c r="P15" s="235"/>
      <c r="Q15" s="8"/>
    </row>
    <row r="16" spans="1:22">
      <c r="A16" s="260"/>
      <c r="B16" s="260"/>
      <c r="C16" s="260"/>
      <c r="D16" s="260"/>
      <c r="E16" s="260"/>
      <c r="F16" s="260"/>
      <c r="G16" s="11"/>
      <c r="H16" s="11"/>
      <c r="I16" s="11"/>
      <c r="J16" s="11" t="s">
        <v>167</v>
      </c>
      <c r="K16" s="27">
        <f>AVERAGE(D11,G11,J11)</f>
        <v>4826.2683333333334</v>
      </c>
      <c r="L16" s="15"/>
      <c r="M16" s="227" t="s">
        <v>16</v>
      </c>
      <c r="N16" s="227"/>
      <c r="O16" s="227"/>
      <c r="P16" s="227"/>
      <c r="Q16" s="2">
        <f>AVERAGE(Q11:Q15)</f>
        <v>4677.8516666666665</v>
      </c>
    </row>
    <row r="20" spans="1:17">
      <c r="A20" s="283" t="s">
        <v>152</v>
      </c>
      <c r="B20" s="284"/>
      <c r="C20" s="284"/>
      <c r="D20" s="284"/>
      <c r="E20" s="284"/>
      <c r="F20" s="284"/>
      <c r="G20" s="284"/>
      <c r="H20" s="284"/>
      <c r="I20" s="284"/>
      <c r="J20" s="284"/>
      <c r="K20" s="284"/>
      <c r="L20" s="284"/>
      <c r="M20" s="284"/>
      <c r="N20" s="284"/>
      <c r="O20" s="284"/>
      <c r="P20" s="284"/>
      <c r="Q20" s="285"/>
    </row>
    <row r="21" spans="1:17" ht="15" customHeight="1">
      <c r="A21" s="19"/>
      <c r="B21" s="297" t="s">
        <v>185</v>
      </c>
      <c r="C21" s="298"/>
      <c r="D21" s="299"/>
      <c r="E21" s="297" t="s">
        <v>154</v>
      </c>
      <c r="F21" s="298"/>
      <c r="G21" s="299"/>
      <c r="H21" s="300" t="s">
        <v>155</v>
      </c>
      <c r="I21" s="301"/>
      <c r="J21" s="302"/>
      <c r="K21" s="280" t="s">
        <v>156</v>
      </c>
      <c r="M21" s="282" t="s">
        <v>3</v>
      </c>
      <c r="N21" s="282"/>
      <c r="O21" s="282"/>
      <c r="P21" s="282"/>
      <c r="Q21" s="282"/>
    </row>
    <row r="22" spans="1:17">
      <c r="A22" s="286" t="s">
        <v>157</v>
      </c>
      <c r="B22" s="294" t="s">
        <v>212</v>
      </c>
      <c r="C22" s="295"/>
      <c r="D22" s="296"/>
      <c r="E22" s="294" t="s">
        <v>213</v>
      </c>
      <c r="F22" s="295"/>
      <c r="G22" s="296"/>
      <c r="H22" s="272" t="s">
        <v>214</v>
      </c>
      <c r="I22" s="273"/>
      <c r="J22" s="274"/>
      <c r="K22" s="280"/>
      <c r="M22" s="12"/>
      <c r="N22" s="12"/>
      <c r="O22" s="12"/>
      <c r="P22" s="12"/>
      <c r="Q22" s="12"/>
    </row>
    <row r="23" spans="1:17" ht="88.5" customHeight="1">
      <c r="A23" s="287"/>
      <c r="B23" s="275"/>
      <c r="C23" s="276"/>
      <c r="D23" s="277"/>
      <c r="E23" s="275"/>
      <c r="F23" s="276"/>
      <c r="G23" s="277"/>
      <c r="H23" s="275"/>
      <c r="I23" s="276"/>
      <c r="J23" s="277"/>
      <c r="K23" s="280"/>
      <c r="M23" s="12"/>
      <c r="N23" s="12"/>
      <c r="O23" s="12"/>
      <c r="P23" s="12"/>
      <c r="Q23" s="12"/>
    </row>
    <row r="24" spans="1:17" ht="45">
      <c r="A24" s="21" t="s">
        <v>161</v>
      </c>
      <c r="B24" s="20" t="s">
        <v>162</v>
      </c>
      <c r="C24" s="9" t="s">
        <v>163</v>
      </c>
      <c r="D24" s="19" t="s">
        <v>164</v>
      </c>
      <c r="E24" s="20" t="s">
        <v>162</v>
      </c>
      <c r="F24" s="9" t="s">
        <v>163</v>
      </c>
      <c r="G24" s="19" t="s">
        <v>164</v>
      </c>
      <c r="H24" s="20" t="s">
        <v>162</v>
      </c>
      <c r="I24" s="9" t="s">
        <v>163</v>
      </c>
      <c r="J24" s="19" t="s">
        <v>164</v>
      </c>
      <c r="K24" s="281"/>
      <c r="M24" s="1" t="s">
        <v>12</v>
      </c>
      <c r="N24" s="1" t="s">
        <v>13</v>
      </c>
      <c r="O24" s="1" t="s">
        <v>14</v>
      </c>
      <c r="P24" s="1" t="s">
        <v>15</v>
      </c>
      <c r="Q24" s="1" t="s">
        <v>16</v>
      </c>
    </row>
    <row r="25" spans="1:17">
      <c r="A25" s="278" t="s">
        <v>165</v>
      </c>
      <c r="B25" s="264">
        <v>4248.3</v>
      </c>
      <c r="C25" s="264">
        <f>'FRETE 24000 BTU  '!L19</f>
        <v>213.85999999999999</v>
      </c>
      <c r="D25" s="264">
        <f>SUM(B25:C29)</f>
        <v>4462.16</v>
      </c>
      <c r="E25" s="264">
        <v>4399.2</v>
      </c>
      <c r="F25" s="267">
        <f>'FRETE 24000 BTU  '!L19</f>
        <v>213.85999999999999</v>
      </c>
      <c r="G25" s="261">
        <f>SUM(E25:F29)</f>
        <v>4613.0599999999995</v>
      </c>
      <c r="H25" s="264">
        <v>4769</v>
      </c>
      <c r="I25" s="267">
        <f>'FRETE 24000 BTU  '!L19</f>
        <v>213.85999999999999</v>
      </c>
      <c r="J25" s="261">
        <f>SUM(H25:I29)</f>
        <v>4982.8599999999997</v>
      </c>
      <c r="K25" s="270">
        <v>45681</v>
      </c>
      <c r="M25" s="230">
        <f>_xlfn.STDEV.S(D25,G25,J25)</f>
        <v>267.90898330092125</v>
      </c>
      <c r="N25" s="257">
        <f>(M25/K30)*100</f>
        <v>5.7171886196604644</v>
      </c>
      <c r="O25" s="230">
        <f>K30+M25</f>
        <v>4953.9356499675869</v>
      </c>
      <c r="P25" s="230">
        <f>K30-M25</f>
        <v>4418.1176833657446</v>
      </c>
      <c r="Q25" s="8">
        <f>D25</f>
        <v>4462.16</v>
      </c>
    </row>
    <row r="26" spans="1:17">
      <c r="A26" s="279"/>
      <c r="B26" s="265"/>
      <c r="C26" s="265"/>
      <c r="D26" s="265"/>
      <c r="E26" s="265"/>
      <c r="F26" s="268"/>
      <c r="G26" s="262"/>
      <c r="H26" s="265"/>
      <c r="I26" s="268"/>
      <c r="J26" s="262"/>
      <c r="K26" s="271"/>
      <c r="M26" s="231"/>
      <c r="N26" s="258"/>
      <c r="O26" s="231"/>
      <c r="P26" s="231"/>
      <c r="Q26" s="8">
        <f>G25</f>
        <v>4613.0599999999995</v>
      </c>
    </row>
    <row r="27" spans="1:17">
      <c r="A27" s="279"/>
      <c r="B27" s="265"/>
      <c r="C27" s="265"/>
      <c r="D27" s="265"/>
      <c r="E27" s="265"/>
      <c r="F27" s="268"/>
      <c r="G27" s="262"/>
      <c r="H27" s="265"/>
      <c r="I27" s="268"/>
      <c r="J27" s="262"/>
      <c r="K27" s="271"/>
      <c r="M27" s="231"/>
      <c r="N27" s="258"/>
      <c r="O27" s="231"/>
      <c r="P27" s="231"/>
      <c r="Q27" s="8"/>
    </row>
    <row r="28" spans="1:17">
      <c r="A28" s="279"/>
      <c r="B28" s="265"/>
      <c r="C28" s="265"/>
      <c r="D28" s="265"/>
      <c r="E28" s="265"/>
      <c r="F28" s="268"/>
      <c r="G28" s="262"/>
      <c r="H28" s="265"/>
      <c r="I28" s="268"/>
      <c r="J28" s="262"/>
      <c r="K28" s="271"/>
      <c r="M28" s="231"/>
      <c r="N28" s="258"/>
      <c r="O28" s="231"/>
      <c r="P28" s="231"/>
      <c r="Q28" s="8"/>
    </row>
    <row r="29" spans="1:17">
      <c r="A29" s="305"/>
      <c r="B29" s="266"/>
      <c r="C29" s="266"/>
      <c r="D29" s="266"/>
      <c r="E29" s="266"/>
      <c r="F29" s="269"/>
      <c r="G29" s="263"/>
      <c r="H29" s="266"/>
      <c r="I29" s="269"/>
      <c r="J29" s="263"/>
      <c r="K29" s="271"/>
      <c r="M29" s="235"/>
      <c r="N29" s="259"/>
      <c r="O29" s="235"/>
      <c r="P29" s="235"/>
      <c r="Q29" s="8"/>
    </row>
    <row r="30" spans="1:17">
      <c r="A30" s="260"/>
      <c r="B30" s="260"/>
      <c r="C30" s="260"/>
      <c r="D30" s="260"/>
      <c r="E30" s="260"/>
      <c r="F30" s="260"/>
      <c r="G30" s="11"/>
      <c r="H30" s="11"/>
      <c r="I30" s="11"/>
      <c r="J30" s="11" t="s">
        <v>167</v>
      </c>
      <c r="K30" s="27">
        <f>AVERAGE(D25,G25,J25)</f>
        <v>4686.0266666666657</v>
      </c>
      <c r="L30" s="15"/>
      <c r="M30" s="227" t="s">
        <v>16</v>
      </c>
      <c r="N30" s="227"/>
      <c r="O30" s="227"/>
      <c r="P30" s="227"/>
      <c r="Q30" s="2">
        <f>AVERAGE(Q25:Q29)</f>
        <v>4537.6099999999997</v>
      </c>
    </row>
    <row r="32" spans="1:17" ht="29.25" customHeight="1"/>
    <row r="35" spans="1:17">
      <c r="A35" s="283" t="s">
        <v>171</v>
      </c>
      <c r="B35" s="284"/>
      <c r="C35" s="284"/>
      <c r="D35" s="284"/>
      <c r="E35" s="284"/>
      <c r="F35" s="284"/>
      <c r="G35" s="284"/>
      <c r="H35" s="284"/>
      <c r="I35" s="284"/>
      <c r="J35" s="284"/>
      <c r="K35" s="284"/>
      <c r="L35" s="284"/>
      <c r="M35" s="284"/>
      <c r="N35" s="284"/>
      <c r="O35" s="284"/>
      <c r="P35" s="284"/>
      <c r="Q35" s="285"/>
    </row>
    <row r="36" spans="1:17" ht="15" customHeight="1">
      <c r="A36" s="19"/>
      <c r="B36" s="297" t="s">
        <v>185</v>
      </c>
      <c r="C36" s="298"/>
      <c r="D36" s="299"/>
      <c r="E36" s="297" t="s">
        <v>154</v>
      </c>
      <c r="F36" s="298"/>
      <c r="G36" s="299"/>
      <c r="H36" s="300" t="s">
        <v>155</v>
      </c>
      <c r="I36" s="301"/>
      <c r="J36" s="302"/>
      <c r="K36" s="280" t="s">
        <v>156</v>
      </c>
      <c r="M36" s="282" t="s">
        <v>3</v>
      </c>
      <c r="N36" s="282"/>
      <c r="O36" s="282"/>
      <c r="P36" s="282"/>
      <c r="Q36" s="282"/>
    </row>
    <row r="37" spans="1:17">
      <c r="A37" s="286" t="s">
        <v>157</v>
      </c>
      <c r="B37" s="294" t="s">
        <v>212</v>
      </c>
      <c r="C37" s="295"/>
      <c r="D37" s="296"/>
      <c r="E37" s="294" t="s">
        <v>213</v>
      </c>
      <c r="F37" s="295"/>
      <c r="G37" s="296"/>
      <c r="H37" s="272" t="s">
        <v>214</v>
      </c>
      <c r="I37" s="273"/>
      <c r="J37" s="274"/>
      <c r="K37" s="280"/>
      <c r="M37" s="12"/>
      <c r="N37" s="12"/>
      <c r="O37" s="12"/>
      <c r="P37" s="12"/>
      <c r="Q37" s="12"/>
    </row>
    <row r="38" spans="1:17" ht="109.5" customHeight="1">
      <c r="A38" s="287"/>
      <c r="B38" s="275"/>
      <c r="C38" s="276"/>
      <c r="D38" s="277"/>
      <c r="E38" s="275"/>
      <c r="F38" s="276"/>
      <c r="G38" s="277"/>
      <c r="H38" s="275"/>
      <c r="I38" s="276"/>
      <c r="J38" s="277"/>
      <c r="K38" s="280"/>
      <c r="M38" s="12"/>
      <c r="N38" s="12"/>
      <c r="O38" s="12"/>
      <c r="P38" s="12"/>
      <c r="Q38" s="12"/>
    </row>
    <row r="39" spans="1:17" ht="45">
      <c r="A39" s="21" t="s">
        <v>161</v>
      </c>
      <c r="B39" s="20" t="s">
        <v>162</v>
      </c>
      <c r="C39" s="9" t="s">
        <v>163</v>
      </c>
      <c r="D39" s="19" t="s">
        <v>164</v>
      </c>
      <c r="E39" s="20" t="s">
        <v>162</v>
      </c>
      <c r="F39" s="9" t="s">
        <v>163</v>
      </c>
      <c r="G39" s="19" t="s">
        <v>164</v>
      </c>
      <c r="H39" s="20" t="s">
        <v>162</v>
      </c>
      <c r="I39" s="9" t="s">
        <v>163</v>
      </c>
      <c r="J39" s="19" t="s">
        <v>164</v>
      </c>
      <c r="K39" s="281"/>
      <c r="M39" s="1" t="s">
        <v>12</v>
      </c>
      <c r="N39" s="1" t="s">
        <v>13</v>
      </c>
      <c r="O39" s="1" t="s">
        <v>14</v>
      </c>
      <c r="P39" s="1" t="s">
        <v>15</v>
      </c>
      <c r="Q39" s="1" t="s">
        <v>16</v>
      </c>
    </row>
    <row r="40" spans="1:17">
      <c r="A40" s="278" t="s">
        <v>172</v>
      </c>
      <c r="B40" s="264">
        <v>4248.3</v>
      </c>
      <c r="C40" s="264">
        <f>'FRETE 24000 BTU  '!L30</f>
        <v>146.97</v>
      </c>
      <c r="D40" s="264">
        <f>SUM(B40:C44)</f>
        <v>4395.2700000000004</v>
      </c>
      <c r="E40" s="264">
        <v>4399.2</v>
      </c>
      <c r="F40" s="267">
        <f>'FRETE 24000 BTU  '!L30</f>
        <v>146.97</v>
      </c>
      <c r="G40" s="261">
        <f>SUM(E40:F44)</f>
        <v>4546.17</v>
      </c>
      <c r="H40" s="264">
        <v>4769</v>
      </c>
      <c r="I40" s="267">
        <f>'FRETE 24000 BTU  '!L30</f>
        <v>146.97</v>
      </c>
      <c r="J40" s="261">
        <f>SUM(H40:I44)</f>
        <v>4915.97</v>
      </c>
      <c r="K40" s="270">
        <v>45681</v>
      </c>
      <c r="M40" s="230">
        <f>_xlfn.STDEV.S(D40,G40,J40)</f>
        <v>267.90898330092125</v>
      </c>
      <c r="N40" s="257">
        <f>(M40/K45)*100</f>
        <v>5.7999795770116052</v>
      </c>
      <c r="O40" s="230">
        <f>K45+M40</f>
        <v>4887.0456499675875</v>
      </c>
      <c r="P40" s="230">
        <f>K45-M40</f>
        <v>4351.2276833657452</v>
      </c>
      <c r="Q40" s="8">
        <f>D40</f>
        <v>4395.2700000000004</v>
      </c>
    </row>
    <row r="41" spans="1:17">
      <c r="A41" s="279"/>
      <c r="B41" s="265"/>
      <c r="C41" s="265"/>
      <c r="D41" s="265"/>
      <c r="E41" s="265"/>
      <c r="F41" s="268"/>
      <c r="G41" s="262"/>
      <c r="H41" s="265"/>
      <c r="I41" s="268"/>
      <c r="J41" s="262"/>
      <c r="K41" s="271"/>
      <c r="M41" s="231"/>
      <c r="N41" s="258"/>
      <c r="O41" s="231"/>
      <c r="P41" s="231"/>
      <c r="Q41" s="8">
        <f>G40</f>
        <v>4546.17</v>
      </c>
    </row>
    <row r="42" spans="1:17">
      <c r="A42" s="279"/>
      <c r="B42" s="265"/>
      <c r="C42" s="265"/>
      <c r="D42" s="265"/>
      <c r="E42" s="265"/>
      <c r="F42" s="268"/>
      <c r="G42" s="262"/>
      <c r="H42" s="265"/>
      <c r="I42" s="268"/>
      <c r="J42" s="262"/>
      <c r="K42" s="271"/>
      <c r="M42" s="231"/>
      <c r="N42" s="258"/>
      <c r="O42" s="231"/>
      <c r="P42" s="231"/>
      <c r="Q42" s="8"/>
    </row>
    <row r="43" spans="1:17">
      <c r="A43" s="279"/>
      <c r="B43" s="265"/>
      <c r="C43" s="265"/>
      <c r="D43" s="265"/>
      <c r="E43" s="265"/>
      <c r="F43" s="268"/>
      <c r="G43" s="262"/>
      <c r="H43" s="265"/>
      <c r="I43" s="268"/>
      <c r="J43" s="262"/>
      <c r="K43" s="271"/>
      <c r="M43" s="231"/>
      <c r="N43" s="258"/>
      <c r="O43" s="231"/>
      <c r="P43" s="231"/>
      <c r="Q43" s="8"/>
    </row>
    <row r="44" spans="1:17">
      <c r="A44" s="305"/>
      <c r="B44" s="266"/>
      <c r="C44" s="266"/>
      <c r="D44" s="266"/>
      <c r="E44" s="266"/>
      <c r="F44" s="269"/>
      <c r="G44" s="263"/>
      <c r="H44" s="266"/>
      <c r="I44" s="269"/>
      <c r="J44" s="263"/>
      <c r="K44" s="271"/>
      <c r="M44" s="235"/>
      <c r="N44" s="259"/>
      <c r="O44" s="235"/>
      <c r="P44" s="235"/>
      <c r="Q44" s="8"/>
    </row>
    <row r="45" spans="1:17">
      <c r="A45" s="260"/>
      <c r="B45" s="260"/>
      <c r="C45" s="260"/>
      <c r="D45" s="260"/>
      <c r="E45" s="260"/>
      <c r="F45" s="260"/>
      <c r="G45" s="11"/>
      <c r="H45" s="11"/>
      <c r="I45" s="11"/>
      <c r="J45" s="11" t="s">
        <v>167</v>
      </c>
      <c r="K45" s="27">
        <f>AVERAGE(D40,G40,J40)</f>
        <v>4619.1366666666663</v>
      </c>
      <c r="L45" s="15"/>
      <c r="M45" s="227" t="s">
        <v>16</v>
      </c>
      <c r="N45" s="227"/>
      <c r="O45" s="227"/>
      <c r="P45" s="227"/>
      <c r="Q45" s="2">
        <f>AVERAGE(Q40:Q44)</f>
        <v>4470.72</v>
      </c>
    </row>
  </sheetData>
  <mergeCells count="82">
    <mergeCell ref="A20:Q20"/>
    <mergeCell ref="B21:D21"/>
    <mergeCell ref="E21:G21"/>
    <mergeCell ref="H21:J21"/>
    <mergeCell ref="K21:K24"/>
    <mergeCell ref="M21:Q21"/>
    <mergeCell ref="A22:A23"/>
    <mergeCell ref="B22:D23"/>
    <mergeCell ref="E22:G23"/>
    <mergeCell ref="H22:J23"/>
    <mergeCell ref="M16:P16"/>
    <mergeCell ref="K1:V1"/>
    <mergeCell ref="A6:Q6"/>
    <mergeCell ref="B7:D7"/>
    <mergeCell ref="E7:G7"/>
    <mergeCell ref="H7:J7"/>
    <mergeCell ref="K7:K10"/>
    <mergeCell ref="M7:Q7"/>
    <mergeCell ref="A8:A9"/>
    <mergeCell ref="B8:D9"/>
    <mergeCell ref="E8:G9"/>
    <mergeCell ref="H8:J9"/>
    <mergeCell ref="A11:A15"/>
    <mergeCell ref="A16:F16"/>
    <mergeCell ref="B11:B15"/>
    <mergeCell ref="C11:C15"/>
    <mergeCell ref="D11:D15"/>
    <mergeCell ref="E11:E15"/>
    <mergeCell ref="F11:F15"/>
    <mergeCell ref="G11:G15"/>
    <mergeCell ref="H11:H15"/>
    <mergeCell ref="I11:I15"/>
    <mergeCell ref="J11:J15"/>
    <mergeCell ref="K11:K15"/>
    <mergeCell ref="M11:M15"/>
    <mergeCell ref="N11:N15"/>
    <mergeCell ref="O11:O15"/>
    <mergeCell ref="P11:P15"/>
    <mergeCell ref="A25:A29"/>
    <mergeCell ref="B25:B29"/>
    <mergeCell ref="C25:C29"/>
    <mergeCell ref="D25:D29"/>
    <mergeCell ref="E25:E29"/>
    <mergeCell ref="F25:F29"/>
    <mergeCell ref="G25:G29"/>
    <mergeCell ref="H25:H29"/>
    <mergeCell ref="I25:I29"/>
    <mergeCell ref="J25:J29"/>
    <mergeCell ref="K25:K29"/>
    <mergeCell ref="M25:M29"/>
    <mergeCell ref="N25:N29"/>
    <mergeCell ref="O25:O29"/>
    <mergeCell ref="P40:P44"/>
    <mergeCell ref="P25:P29"/>
    <mergeCell ref="A30:F30"/>
    <mergeCell ref="M30:P30"/>
    <mergeCell ref="A35:Q35"/>
    <mergeCell ref="B36:D36"/>
    <mergeCell ref="E36:G36"/>
    <mergeCell ref="H36:J36"/>
    <mergeCell ref="K36:K39"/>
    <mergeCell ref="M36:Q36"/>
    <mergeCell ref="A37:A38"/>
    <mergeCell ref="B37:D38"/>
    <mergeCell ref="E37:G38"/>
    <mergeCell ref="H37:J38"/>
    <mergeCell ref="A45:F45"/>
    <mergeCell ref="M45:P45"/>
    <mergeCell ref="H40:H44"/>
    <mergeCell ref="I40:I44"/>
    <mergeCell ref="J40:J44"/>
    <mergeCell ref="K40:K44"/>
    <mergeCell ref="M40:M44"/>
    <mergeCell ref="A40:A44"/>
    <mergeCell ref="B40:B44"/>
    <mergeCell ref="C40:C44"/>
    <mergeCell ref="D40:D44"/>
    <mergeCell ref="E40:E44"/>
    <mergeCell ref="F40:F44"/>
    <mergeCell ref="G40:G44"/>
    <mergeCell ref="N40:N44"/>
    <mergeCell ref="O40:O44"/>
  </mergeCells>
  <hyperlinks>
    <hyperlink ref="B8:D9" r:id="rId1" display="https://site.fastshop.com.br/ar-condicionado-split-hi-wall-elgin-eco-inverter-24000-btu-h-frio-45hjfi24c2wc---220-volts-79991-83476/p" xr:uid="{48660006-6122-4F64-89E4-A282294FF079}"/>
    <hyperlink ref="B22:D23" r:id="rId2" display="https://site.fastshop.com.br/ar-condicionado-split-hi-wall-elgin-eco-inverter-24000-btu-h-frio-45hjfi24c2wc---220-volts-79991-83476/p" xr:uid="{A72E3AC2-9820-4A82-817A-A30CCC564D6F}"/>
    <hyperlink ref="B37:D38" r:id="rId3" display="https://site.fastshop.com.br/ar-condicionado-split-hi-wall-elgin-eco-inverter-24000-btu-h-frio-45hjfi24c2wc---220-volts-79991-83476/p" xr:uid="{57E03504-EC26-46A8-A69F-54A593B22E41}"/>
    <hyperlink ref="E8:G9" r:id="rId4" display="https://www.americanas.com.br/produto/7514466852/ar-condicionado-split-hi-wall-elgin-r-32-eco-inverter-ii-wifi-24000-btus-frio-220v-monofasico?pfm_carac=split-inverter-24000&amp;pfm_index=1&amp;pfm_page=search&amp;pfm_pos=grid&amp;pfm_type=search_page&amp;offerId=6787a7cbf85575c569c5c570&amp;cor=Bege%2Fbranca&amp;voltagem=220V%2F220V&amp;condition=NEW" xr:uid="{D273901C-BEA2-4379-BA44-1A7EC4AAB959}"/>
    <hyperlink ref="E22:G23" r:id="rId5" display="https://www.americanas.com.br/produto/7514466852/ar-condicionado-split-hi-wall-elgin-r-32-eco-inverter-ii-wifi-24000-btus-frio-220v-monofasico?pfm_carac=split-inverter-24000&amp;pfm_index=1&amp;pfm_page=search&amp;pfm_pos=grid&amp;pfm_type=search_page&amp;offerId=6787a7cbf85575c569c5c570&amp;cor=Bege%2Fbranca&amp;voltagem=220V%2F220V&amp;condition=NEW" xr:uid="{77FAF7E5-8D44-4E4F-8469-202D907381F4}"/>
    <hyperlink ref="E37:G38" r:id="rId6" display="https://www.americanas.com.br/produto/7514466852/ar-condicionado-split-hi-wall-elgin-r-32-eco-inverter-ii-wifi-24000-btus-frio-220v-monofasico?pfm_carac=split-inverter-24000&amp;pfm_index=1&amp;pfm_page=search&amp;pfm_pos=grid&amp;pfm_type=search_page&amp;offerId=6787a7cbf85575c569c5c570&amp;cor=Bege%2Fbranca&amp;voltagem=220V%2F220V&amp;condition=NEW" xr:uid="{73C748E0-FA84-43F7-9FBE-512B48FED272}"/>
    <hyperlink ref="H8:J9" r:id="rId7" display="https://www.carrefour.com.br/ar-condicionado-split-elgin-eco-inverter-ii-wi-fi-24000-btus-frio-220v-hjfe24c2cc-mp940300509/p" xr:uid="{6377856A-4658-42AD-8BD2-C1D73E8C7D4A}"/>
    <hyperlink ref="H22:J23" r:id="rId8" display="https://www.carrefour.com.br/ar-condicionado-split-elgin-eco-inverter-ii-wi-fi-24000-btus-frio-220v-hjfe24c2cc-mp940300509/p" xr:uid="{9AB77D77-7D94-4A6C-BDDA-B2AA53D9BF9F}"/>
    <hyperlink ref="H37:J38" r:id="rId9" display="https://www.carrefour.com.br/ar-condicionado-split-elgin-eco-inverter-ii-wi-fi-24000-btus-frio-220v-hjfe24c2cc-mp940300509/p" xr:uid="{2F6E2357-18C7-4B67-AF15-705E50B077AD}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5EE3B-388E-44C0-A18A-EF85AA8DEEF8}">
  <sheetPr>
    <tabColor rgb="FF00B050"/>
  </sheetPr>
  <dimension ref="A1:O47"/>
  <sheetViews>
    <sheetView showGridLines="0" workbookViewId="0">
      <selection activeCell="F1" sqref="A1:N1"/>
    </sheetView>
  </sheetViews>
  <sheetFormatPr defaultRowHeight="15"/>
  <cols>
    <col min="1" max="1" width="14.42578125" customWidth="1"/>
    <col min="2" max="2" width="13.42578125" customWidth="1"/>
    <col min="3" max="3" width="16.28515625" customWidth="1"/>
    <col min="4" max="4" width="16.140625" customWidth="1"/>
    <col min="5" max="5" width="16.42578125" customWidth="1"/>
    <col min="6" max="6" width="31.28515625" customWidth="1"/>
    <col min="7" max="7" width="34.42578125" customWidth="1"/>
    <col min="8" max="8" width="15.28515625" customWidth="1"/>
    <col min="9" max="9" width="1" customWidth="1"/>
    <col min="11" max="11" width="12.7109375" customWidth="1"/>
    <col min="12" max="12" width="16.28515625" customWidth="1"/>
    <col min="13" max="13" width="13.7109375" customWidth="1"/>
    <col min="14" max="14" width="15.5703125" customWidth="1"/>
    <col min="15" max="15" width="10.5703125" customWidth="1"/>
  </cols>
  <sheetData>
    <row r="1" spans="1:15" ht="18.75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3" spans="1:15" ht="27.75" customHeight="1">
      <c r="A3" s="228" t="s">
        <v>44</v>
      </c>
      <c r="B3" s="228"/>
      <c r="C3" s="228"/>
      <c r="D3" s="228"/>
      <c r="E3" s="228"/>
      <c r="F3" s="228"/>
      <c r="G3" s="228"/>
      <c r="H3" s="228"/>
      <c r="K3" s="228" t="s">
        <v>44</v>
      </c>
      <c r="L3" s="228"/>
      <c r="M3" s="228"/>
      <c r="N3" s="228"/>
      <c r="O3" s="228"/>
    </row>
    <row r="4" spans="1:15" ht="34.5" customHeight="1">
      <c r="A4" s="228" t="s">
        <v>45</v>
      </c>
      <c r="B4" s="228"/>
      <c r="C4" s="228"/>
      <c r="D4" s="228"/>
      <c r="E4" s="228"/>
      <c r="F4" s="228"/>
      <c r="G4" s="228"/>
      <c r="H4" s="228"/>
      <c r="J4" s="16"/>
      <c r="K4" s="229" t="s">
        <v>3</v>
      </c>
      <c r="L4" s="229"/>
      <c r="M4" s="229"/>
      <c r="N4" s="229"/>
      <c r="O4" s="229"/>
    </row>
    <row r="5" spans="1:15" ht="30.75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25" t="s">
        <v>9</v>
      </c>
      <c r="G5" s="125" t="s">
        <v>10</v>
      </c>
      <c r="H5" s="125" t="s">
        <v>11</v>
      </c>
      <c r="K5" s="125" t="s">
        <v>12</v>
      </c>
      <c r="L5" s="125" t="s">
        <v>13</v>
      </c>
      <c r="M5" s="125" t="s">
        <v>14</v>
      </c>
      <c r="N5" s="125" t="s">
        <v>15</v>
      </c>
      <c r="O5" s="125" t="s">
        <v>16</v>
      </c>
    </row>
    <row r="6" spans="1:15" ht="66" customHeight="1">
      <c r="A6" s="78" t="s">
        <v>17</v>
      </c>
      <c r="B6" s="78">
        <v>458218</v>
      </c>
      <c r="C6" s="78" t="s">
        <v>18</v>
      </c>
      <c r="D6" s="78">
        <v>58</v>
      </c>
      <c r="E6" s="136">
        <v>1894</v>
      </c>
      <c r="F6" s="134" t="s">
        <v>46</v>
      </c>
      <c r="G6" s="134" t="s">
        <v>47</v>
      </c>
      <c r="H6" s="135">
        <v>45811</v>
      </c>
      <c r="K6" s="141">
        <f>_xlfn.STDEV.S(E6:E7)</f>
        <v>393.14429927190662</v>
      </c>
      <c r="L6" s="142">
        <f>(K6/E8)*100</f>
        <v>18.100607932886891</v>
      </c>
      <c r="M6" s="141">
        <f>E8+K6</f>
        <v>2565.1392992719066</v>
      </c>
      <c r="N6" s="141">
        <f>E8-K6</f>
        <v>1778.8507007280932</v>
      </c>
      <c r="O6" s="139">
        <f>E6</f>
        <v>1894</v>
      </c>
    </row>
    <row r="7" spans="1:15" ht="66" customHeight="1">
      <c r="A7" s="78" t="s">
        <v>17</v>
      </c>
      <c r="B7" s="78">
        <v>458218</v>
      </c>
      <c r="C7" s="78" t="s">
        <v>18</v>
      </c>
      <c r="D7" s="78">
        <v>16</v>
      </c>
      <c r="E7" s="136">
        <v>2449.9899999999998</v>
      </c>
      <c r="F7" s="134" t="s">
        <v>48</v>
      </c>
      <c r="G7" s="134" t="s">
        <v>49</v>
      </c>
      <c r="H7" s="135">
        <v>45747</v>
      </c>
      <c r="K7" s="143"/>
      <c r="L7" s="144"/>
      <c r="M7" s="143"/>
      <c r="N7" s="143"/>
      <c r="O7" s="139">
        <f>E7</f>
        <v>2449.9899999999998</v>
      </c>
    </row>
    <row r="8" spans="1:15" ht="15.75" customHeight="1">
      <c r="A8" s="226" t="s">
        <v>28</v>
      </c>
      <c r="B8" s="226"/>
      <c r="C8" s="226"/>
      <c r="D8" s="226"/>
      <c r="E8" s="6">
        <f>AVERAGE(E6:E7)</f>
        <v>2171.9949999999999</v>
      </c>
      <c r="K8" s="252" t="s">
        <v>16</v>
      </c>
      <c r="L8" s="252"/>
      <c r="M8" s="252"/>
      <c r="N8" s="252"/>
      <c r="O8" s="140">
        <f>AVERAGE(O6:O7)</f>
        <v>2171.9949999999999</v>
      </c>
    </row>
    <row r="10" spans="1:15">
      <c r="K10" s="137"/>
      <c r="L10" s="137"/>
      <c r="M10" s="137"/>
      <c r="N10" s="137"/>
      <c r="O10" s="138"/>
    </row>
    <row r="11" spans="1:15">
      <c r="K11" s="137"/>
      <c r="L11" s="137"/>
      <c r="M11" s="137"/>
      <c r="N11" s="137"/>
      <c r="O11" s="138"/>
    </row>
    <row r="12" spans="1:15">
      <c r="A12" s="228" t="s">
        <v>1</v>
      </c>
      <c r="B12" s="228"/>
      <c r="C12" s="228"/>
      <c r="D12" s="228"/>
      <c r="E12" s="228"/>
      <c r="F12" s="228"/>
      <c r="G12" s="228"/>
      <c r="H12" s="228"/>
    </row>
    <row r="13" spans="1:15">
      <c r="A13" s="228" t="s">
        <v>45</v>
      </c>
      <c r="B13" s="228"/>
      <c r="C13" s="228"/>
      <c r="D13" s="228"/>
      <c r="E13" s="228"/>
      <c r="F13" s="228"/>
      <c r="G13" s="228"/>
      <c r="H13" s="228"/>
      <c r="J13" s="16" t="s">
        <v>50</v>
      </c>
    </row>
    <row r="14" spans="1:15" ht="30.75">
      <c r="A14" s="1" t="s">
        <v>4</v>
      </c>
      <c r="B14" s="1" t="s">
        <v>5</v>
      </c>
      <c r="C14" s="1" t="s">
        <v>6</v>
      </c>
      <c r="D14" s="1" t="s">
        <v>7</v>
      </c>
      <c r="E14" s="1" t="s">
        <v>8</v>
      </c>
      <c r="F14" s="125" t="s">
        <v>9</v>
      </c>
      <c r="G14" s="125" t="s">
        <v>10</v>
      </c>
      <c r="H14" s="1" t="s">
        <v>11</v>
      </c>
    </row>
    <row r="15" spans="1:15">
      <c r="A15" s="78" t="s">
        <v>17</v>
      </c>
      <c r="B15" s="78">
        <v>458218</v>
      </c>
      <c r="C15" s="78" t="s">
        <v>18</v>
      </c>
      <c r="D15" s="78">
        <v>5</v>
      </c>
      <c r="E15" s="136">
        <v>2420</v>
      </c>
      <c r="F15" s="202" t="s">
        <v>51</v>
      </c>
      <c r="G15" s="202" t="s">
        <v>52</v>
      </c>
      <c r="H15" s="201">
        <v>45735</v>
      </c>
    </row>
    <row r="16" spans="1:15">
      <c r="A16" s="226" t="s">
        <v>28</v>
      </c>
      <c r="B16" s="226"/>
      <c r="C16" s="226"/>
      <c r="D16" s="226"/>
      <c r="E16" s="6">
        <f>AVERAGE(E14:E15)</f>
        <v>2420</v>
      </c>
    </row>
    <row r="23" spans="1:15">
      <c r="A23" s="228" t="s">
        <v>29</v>
      </c>
      <c r="B23" s="228"/>
      <c r="C23" s="228"/>
      <c r="D23" s="228"/>
      <c r="E23" s="228"/>
      <c r="F23" s="228"/>
      <c r="G23" s="228"/>
      <c r="H23" s="228"/>
      <c r="K23" s="228" t="s">
        <v>29</v>
      </c>
      <c r="L23" s="228"/>
      <c r="M23" s="228"/>
      <c r="N23" s="228"/>
      <c r="O23" s="228"/>
    </row>
    <row r="24" spans="1:15">
      <c r="A24" s="228" t="s">
        <v>45</v>
      </c>
      <c r="B24" s="228"/>
      <c r="C24" s="228"/>
      <c r="D24" s="228"/>
      <c r="E24" s="228"/>
      <c r="F24" s="228"/>
      <c r="G24" s="228"/>
      <c r="H24" s="228"/>
      <c r="J24" s="16"/>
      <c r="K24" s="229" t="s">
        <v>3</v>
      </c>
      <c r="L24" s="229"/>
      <c r="M24" s="229"/>
      <c r="N24" s="229"/>
      <c r="O24" s="229"/>
    </row>
    <row r="25" spans="1:15" ht="30.75">
      <c r="A25" s="1" t="s">
        <v>4</v>
      </c>
      <c r="B25" s="1" t="s">
        <v>5</v>
      </c>
      <c r="C25" s="1" t="s">
        <v>6</v>
      </c>
      <c r="D25" s="1" t="s">
        <v>7</v>
      </c>
      <c r="E25" s="125" t="s">
        <v>8</v>
      </c>
      <c r="F25" s="125" t="s">
        <v>9</v>
      </c>
      <c r="G25" s="125" t="s">
        <v>10</v>
      </c>
      <c r="H25" s="125" t="s">
        <v>11</v>
      </c>
      <c r="K25" s="125" t="s">
        <v>12</v>
      </c>
      <c r="L25" s="125" t="s">
        <v>13</v>
      </c>
      <c r="M25" s="125" t="s">
        <v>14</v>
      </c>
      <c r="N25" s="125" t="s">
        <v>15</v>
      </c>
      <c r="O25" s="125" t="s">
        <v>16</v>
      </c>
    </row>
    <row r="26" spans="1:15" ht="45.75">
      <c r="A26" s="78" t="s">
        <v>17</v>
      </c>
      <c r="B26" s="78">
        <v>458218</v>
      </c>
      <c r="C26" s="78" t="s">
        <v>18</v>
      </c>
      <c r="D26" s="204">
        <v>7</v>
      </c>
      <c r="E26" s="207">
        <v>1900</v>
      </c>
      <c r="F26" s="210" t="s">
        <v>53</v>
      </c>
      <c r="G26" s="208" t="s">
        <v>54</v>
      </c>
      <c r="H26" s="135">
        <v>45813</v>
      </c>
      <c r="K26" s="248">
        <f>_xlfn.STDEV.S(E26:E29)</f>
        <v>265.50266790875503</v>
      </c>
      <c r="L26" s="254">
        <f>(K26/E30)*100</f>
        <v>12.841725170919227</v>
      </c>
      <c r="M26" s="248">
        <f>E30+K26</f>
        <v>2333.002667908755</v>
      </c>
      <c r="N26" s="248">
        <f>E30-K26</f>
        <v>1801.997332091245</v>
      </c>
      <c r="O26" s="139">
        <f>E26</f>
        <v>1900</v>
      </c>
    </row>
    <row r="27" spans="1:15">
      <c r="A27" s="147" t="s">
        <v>17</v>
      </c>
      <c r="B27" s="147">
        <v>458218</v>
      </c>
      <c r="C27" s="147" t="s">
        <v>18</v>
      </c>
      <c r="D27" s="205">
        <v>35</v>
      </c>
      <c r="E27" s="209">
        <v>1910</v>
      </c>
      <c r="F27" s="202" t="s">
        <v>46</v>
      </c>
      <c r="G27" s="203" t="s">
        <v>55</v>
      </c>
      <c r="H27" s="148">
        <v>45813</v>
      </c>
      <c r="K27" s="249"/>
      <c r="L27" s="255"/>
      <c r="M27" s="249"/>
      <c r="N27" s="249"/>
      <c r="O27" s="139">
        <f>E27</f>
        <v>1910</v>
      </c>
    </row>
    <row r="28" spans="1:15" ht="60.75">
      <c r="A28" s="78" t="s">
        <v>17</v>
      </c>
      <c r="B28" s="78">
        <v>458218</v>
      </c>
      <c r="C28" s="78" t="s">
        <v>18</v>
      </c>
      <c r="D28" s="145">
        <v>21</v>
      </c>
      <c r="E28" s="206">
        <v>2000</v>
      </c>
      <c r="F28" s="211" t="s">
        <v>56</v>
      </c>
      <c r="G28" s="134" t="s">
        <v>57</v>
      </c>
      <c r="H28" s="135">
        <v>45793</v>
      </c>
      <c r="K28" s="249"/>
      <c r="L28" s="255"/>
      <c r="M28" s="249"/>
      <c r="N28" s="249"/>
      <c r="O28" s="139">
        <f>E28</f>
        <v>2000</v>
      </c>
    </row>
    <row r="29" spans="1:15" ht="45.75">
      <c r="A29" s="147" t="s">
        <v>17</v>
      </c>
      <c r="B29" s="147">
        <v>458218</v>
      </c>
      <c r="C29" s="147" t="s">
        <v>18</v>
      </c>
      <c r="D29" s="145">
        <v>5</v>
      </c>
      <c r="E29" s="146">
        <v>2460</v>
      </c>
      <c r="F29" s="134" t="s">
        <v>58</v>
      </c>
      <c r="G29" s="134" t="s">
        <v>59</v>
      </c>
      <c r="H29" s="135">
        <v>45692</v>
      </c>
      <c r="K29" s="250"/>
      <c r="L29" s="256"/>
      <c r="M29" s="250"/>
      <c r="N29" s="250"/>
      <c r="O29" s="139"/>
    </row>
    <row r="30" spans="1:15">
      <c r="A30" s="253" t="s">
        <v>28</v>
      </c>
      <c r="B30" s="253"/>
      <c r="C30" s="253"/>
      <c r="D30" s="253"/>
      <c r="E30" s="82">
        <f>AVERAGE(E26:E29)</f>
        <v>2067.5</v>
      </c>
      <c r="K30" s="252" t="s">
        <v>16</v>
      </c>
      <c r="L30" s="252"/>
      <c r="M30" s="252"/>
      <c r="N30" s="252"/>
      <c r="O30" s="140">
        <f>AVERAGE(O26:O29)</f>
        <v>1936.6666666666667</v>
      </c>
    </row>
    <row r="35" spans="1:15">
      <c r="J35" s="3"/>
      <c r="K35" s="4"/>
      <c r="L35" s="3"/>
      <c r="M35" s="3"/>
      <c r="N35" s="5"/>
    </row>
    <row r="36" spans="1:15">
      <c r="J36" s="3"/>
      <c r="K36" s="4"/>
      <c r="L36" s="3"/>
      <c r="M36" s="3"/>
      <c r="N36" s="5"/>
    </row>
    <row r="37" spans="1:15">
      <c r="J37" s="3"/>
      <c r="K37" s="4"/>
      <c r="L37" s="3"/>
      <c r="M37" s="3"/>
      <c r="N37" s="5"/>
    </row>
    <row r="38" spans="1:15">
      <c r="J38" s="3"/>
      <c r="K38" s="4"/>
      <c r="L38" s="3"/>
      <c r="M38" s="3"/>
      <c r="N38" s="5"/>
    </row>
    <row r="39" spans="1:15">
      <c r="J39" s="3"/>
      <c r="K39" s="4"/>
      <c r="L39" s="3"/>
      <c r="M39" s="3"/>
      <c r="N39" s="5"/>
    </row>
    <row r="40" spans="1:15">
      <c r="J40" s="3"/>
      <c r="K40" s="4"/>
      <c r="L40" s="3"/>
      <c r="M40" s="3"/>
      <c r="N40" s="5"/>
    </row>
    <row r="41" spans="1:15" ht="27" customHeight="1">
      <c r="A41" s="228" t="s">
        <v>37</v>
      </c>
      <c r="B41" s="228"/>
      <c r="C41" s="228"/>
      <c r="D41" s="228"/>
      <c r="E41" s="228"/>
      <c r="F41" s="228"/>
      <c r="G41" s="228"/>
      <c r="H41" s="228"/>
      <c r="K41" s="228" t="s">
        <v>37</v>
      </c>
      <c r="L41" s="228"/>
      <c r="M41" s="228"/>
      <c r="N41" s="228"/>
      <c r="O41" s="228"/>
    </row>
    <row r="42" spans="1:15" ht="28.5" customHeight="1">
      <c r="A42" s="251" t="s">
        <v>45</v>
      </c>
      <c r="B42" s="251"/>
      <c r="C42" s="251"/>
      <c r="D42" s="251"/>
      <c r="E42" s="251"/>
      <c r="F42" s="251"/>
      <c r="G42" s="251"/>
      <c r="H42" s="251"/>
      <c r="J42" s="16"/>
      <c r="K42" s="229" t="s">
        <v>3</v>
      </c>
      <c r="L42" s="229"/>
      <c r="M42" s="229"/>
      <c r="N42" s="229"/>
      <c r="O42" s="229"/>
    </row>
    <row r="43" spans="1:15" ht="30.75">
      <c r="A43" s="1" t="s">
        <v>4</v>
      </c>
      <c r="B43" s="1" t="s">
        <v>5</v>
      </c>
      <c r="C43" s="1" t="s">
        <v>6</v>
      </c>
      <c r="D43" s="1" t="s">
        <v>7</v>
      </c>
      <c r="E43" s="1" t="s">
        <v>8</v>
      </c>
      <c r="F43" s="125" t="s">
        <v>9</v>
      </c>
      <c r="G43" s="1" t="s">
        <v>10</v>
      </c>
      <c r="H43" s="1" t="s">
        <v>11</v>
      </c>
      <c r="K43" s="125" t="s">
        <v>12</v>
      </c>
      <c r="L43" s="125" t="s">
        <v>13</v>
      </c>
      <c r="M43" s="125" t="s">
        <v>14</v>
      </c>
      <c r="N43" s="125" t="s">
        <v>15</v>
      </c>
      <c r="O43" s="125" t="s">
        <v>16</v>
      </c>
    </row>
    <row r="44" spans="1:15" ht="76.5">
      <c r="A44" s="78" t="s">
        <v>17</v>
      </c>
      <c r="B44" s="78">
        <v>458218</v>
      </c>
      <c r="C44" s="78" t="s">
        <v>18</v>
      </c>
      <c r="D44" s="80">
        <v>1</v>
      </c>
      <c r="E44" s="136">
        <v>2525</v>
      </c>
      <c r="F44" s="213" t="s">
        <v>60</v>
      </c>
      <c r="G44" s="214" t="s">
        <v>61</v>
      </c>
      <c r="H44" s="149">
        <v>45785</v>
      </c>
      <c r="K44" s="248">
        <f>_xlfn.STDEV.S(E44:E45)</f>
        <v>335.86864999579808</v>
      </c>
      <c r="L44" s="243">
        <f>(K44/E46)*100</f>
        <v>12.158163182043699</v>
      </c>
      <c r="M44" s="246">
        <f>E46+K44</f>
        <v>3098.3636499957979</v>
      </c>
      <c r="N44" s="247">
        <f>E46-K44</f>
        <v>2426.6263500042019</v>
      </c>
      <c r="O44" s="150">
        <f>E44</f>
        <v>2525</v>
      </c>
    </row>
    <row r="45" spans="1:15" ht="60.75">
      <c r="A45" s="78" t="s">
        <v>17</v>
      </c>
      <c r="B45" s="78">
        <v>458218</v>
      </c>
      <c r="C45" s="78" t="s">
        <v>18</v>
      </c>
      <c r="D45" s="80">
        <v>22</v>
      </c>
      <c r="E45" s="79">
        <v>2999.99</v>
      </c>
      <c r="F45" s="203" t="s">
        <v>62</v>
      </c>
      <c r="G45" s="80" t="s">
        <v>63</v>
      </c>
      <c r="H45" s="212">
        <v>45741</v>
      </c>
      <c r="K45" s="249"/>
      <c r="L45" s="244"/>
      <c r="M45" s="246"/>
      <c r="N45" s="247"/>
      <c r="O45" s="150">
        <f>E45</f>
        <v>2999.99</v>
      </c>
    </row>
    <row r="46" spans="1:15">
      <c r="A46" s="226" t="s">
        <v>28</v>
      </c>
      <c r="B46" s="226"/>
      <c r="C46" s="226"/>
      <c r="D46" s="226"/>
      <c r="E46" s="10">
        <f>AVERAGE(E44:E45)</f>
        <v>2762.4949999999999</v>
      </c>
      <c r="K46" s="250"/>
      <c r="L46" s="245"/>
      <c r="M46" s="246"/>
      <c r="N46" s="247"/>
      <c r="O46" s="151"/>
    </row>
    <row r="47" spans="1:15">
      <c r="K47" s="240" t="s">
        <v>16</v>
      </c>
      <c r="L47" s="241"/>
      <c r="M47" s="241"/>
      <c r="N47" s="242"/>
      <c r="O47" s="140">
        <f>AVERAGE(O44:O46)</f>
        <v>2762.4949999999999</v>
      </c>
    </row>
  </sheetData>
  <mergeCells count="30">
    <mergeCell ref="K23:O23"/>
    <mergeCell ref="A24:H24"/>
    <mergeCell ref="K24:O24"/>
    <mergeCell ref="A30:D30"/>
    <mergeCell ref="K30:N30"/>
    <mergeCell ref="K26:K29"/>
    <mergeCell ref="L26:L29"/>
    <mergeCell ref="M26:M29"/>
    <mergeCell ref="N26:N29"/>
    <mergeCell ref="A1:N1"/>
    <mergeCell ref="A3:H3"/>
    <mergeCell ref="A4:H4"/>
    <mergeCell ref="A8:D8"/>
    <mergeCell ref="A12:H12"/>
    <mergeCell ref="K3:O3"/>
    <mergeCell ref="K4:O4"/>
    <mergeCell ref="K8:N8"/>
    <mergeCell ref="A13:H13"/>
    <mergeCell ref="A16:D16"/>
    <mergeCell ref="A41:H41"/>
    <mergeCell ref="A42:H42"/>
    <mergeCell ref="A46:D46"/>
    <mergeCell ref="A23:H23"/>
    <mergeCell ref="K47:N47"/>
    <mergeCell ref="L44:L46"/>
    <mergeCell ref="M44:M46"/>
    <mergeCell ref="N44:N46"/>
    <mergeCell ref="K41:O41"/>
    <mergeCell ref="K42:O42"/>
    <mergeCell ref="K44:K4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45DA6-8296-4766-8213-EA1548B01E1B}">
  <sheetPr>
    <tabColor rgb="FF00B050"/>
  </sheetPr>
  <dimension ref="A1:Q30"/>
  <sheetViews>
    <sheetView workbookViewId="0">
      <selection activeCell="H9" sqref="H9:H10"/>
    </sheetView>
  </sheetViews>
  <sheetFormatPr defaultRowHeight="15"/>
  <cols>
    <col min="1" max="1" width="14.85546875" customWidth="1"/>
    <col min="2" max="2" width="13.140625" customWidth="1"/>
    <col min="3" max="3" width="15.28515625" customWidth="1"/>
    <col min="4" max="5" width="29" customWidth="1"/>
    <col min="6" max="6" width="16.7109375" customWidth="1"/>
    <col min="9" max="9" width="11.85546875" customWidth="1"/>
  </cols>
  <sheetData>
    <row r="1" spans="1:17" ht="18.75">
      <c r="D1" s="17" t="s">
        <v>215</v>
      </c>
      <c r="E1" s="17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</row>
    <row r="6" spans="1:17">
      <c r="A6" s="306" t="s">
        <v>193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</row>
    <row r="7" spans="1:17">
      <c r="A7" s="282" t="s">
        <v>161</v>
      </c>
      <c r="B7" s="282" t="s">
        <v>175</v>
      </c>
      <c r="C7" s="13" t="s">
        <v>185</v>
      </c>
      <c r="D7" s="13" t="s">
        <v>154</v>
      </c>
      <c r="E7" s="18" t="s">
        <v>155</v>
      </c>
      <c r="F7" s="280" t="s">
        <v>176</v>
      </c>
      <c r="H7" s="282" t="s">
        <v>3</v>
      </c>
      <c r="I7" s="282"/>
      <c r="J7" s="282"/>
      <c r="K7" s="282"/>
      <c r="L7" s="282"/>
    </row>
    <row r="8" spans="1:17" ht="45">
      <c r="A8" s="229"/>
      <c r="B8" s="229"/>
      <c r="C8" s="9" t="s">
        <v>177</v>
      </c>
      <c r="D8" s="9" t="s">
        <v>177</v>
      </c>
      <c r="E8" s="9" t="s">
        <v>177</v>
      </c>
      <c r="F8" s="281"/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</row>
    <row r="9" spans="1:17">
      <c r="A9" s="278" t="s">
        <v>189</v>
      </c>
      <c r="B9" s="8" t="s">
        <v>207</v>
      </c>
      <c r="C9" s="33">
        <v>299.99</v>
      </c>
      <c r="D9" s="33">
        <v>391.04</v>
      </c>
      <c r="E9" s="33">
        <v>462.69</v>
      </c>
      <c r="F9" s="8">
        <f>AVERAGE(C9:E9)</f>
        <v>384.57333333333332</v>
      </c>
      <c r="H9" s="230">
        <f>_xlfn.STDEV.S(F9:F10)</f>
        <v>43.093444268112158</v>
      </c>
      <c r="I9" s="257">
        <f>(H9/F11)*100</f>
        <v>12.169794249705731</v>
      </c>
      <c r="J9" s="230">
        <f>F11+H9</f>
        <v>397.19511093477882</v>
      </c>
      <c r="K9" s="230">
        <f>F11-H9</f>
        <v>311.00822239855455</v>
      </c>
      <c r="L9" s="8">
        <f>F9</f>
        <v>384.57333333333332</v>
      </c>
    </row>
    <row r="10" spans="1:17">
      <c r="A10" s="279"/>
      <c r="B10" s="14" t="s">
        <v>194</v>
      </c>
      <c r="C10" s="33">
        <v>315.95</v>
      </c>
      <c r="D10" s="35">
        <v>391.04</v>
      </c>
      <c r="E10" s="33">
        <v>263.89999999999998</v>
      </c>
      <c r="F10" s="8">
        <f>AVERAGE(C10:E10)</f>
        <v>323.63</v>
      </c>
      <c r="H10" s="231"/>
      <c r="I10" s="258"/>
      <c r="J10" s="231"/>
      <c r="K10" s="231"/>
      <c r="L10" s="8">
        <f>F10</f>
        <v>323.63</v>
      </c>
    </row>
    <row r="11" spans="1:17">
      <c r="A11" s="260" t="s">
        <v>166</v>
      </c>
      <c r="B11" s="260"/>
      <c r="C11" s="260"/>
      <c r="D11" s="260"/>
      <c r="E11" s="11"/>
      <c r="F11" s="6">
        <f>AVERAGE(F9:F10)</f>
        <v>354.10166666666669</v>
      </c>
      <c r="G11" s="15"/>
      <c r="H11" s="227" t="s">
        <v>16</v>
      </c>
      <c r="I11" s="227"/>
      <c r="J11" s="227"/>
      <c r="K11" s="227"/>
      <c r="L11" s="2">
        <f>AVERAGE(L9:L10)</f>
        <v>354.10166666666669</v>
      </c>
    </row>
    <row r="14" spans="1:17">
      <c r="A14" s="306" t="s">
        <v>174</v>
      </c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</row>
    <row r="15" spans="1:17">
      <c r="A15" s="282" t="s">
        <v>161</v>
      </c>
      <c r="B15" s="282" t="s">
        <v>175</v>
      </c>
      <c r="C15" s="13" t="s">
        <v>185</v>
      </c>
      <c r="D15" s="13" t="s">
        <v>154</v>
      </c>
      <c r="E15" s="18" t="s">
        <v>155</v>
      </c>
      <c r="F15" s="280" t="s">
        <v>176</v>
      </c>
      <c r="H15" s="282" t="s">
        <v>3</v>
      </c>
      <c r="I15" s="282"/>
      <c r="J15" s="282"/>
      <c r="K15" s="282"/>
      <c r="L15" s="282"/>
    </row>
    <row r="16" spans="1:17" ht="45">
      <c r="A16" s="229"/>
      <c r="B16" s="229"/>
      <c r="C16" s="9" t="s">
        <v>177</v>
      </c>
      <c r="D16" s="9" t="s">
        <v>177</v>
      </c>
      <c r="E16" s="9" t="s">
        <v>177</v>
      </c>
      <c r="F16" s="281"/>
      <c r="H16" s="1" t="s">
        <v>12</v>
      </c>
      <c r="I16" s="1" t="s">
        <v>13</v>
      </c>
      <c r="J16" s="1" t="s">
        <v>14</v>
      </c>
      <c r="K16" s="1" t="s">
        <v>15</v>
      </c>
      <c r="L16" s="1" t="s">
        <v>16</v>
      </c>
    </row>
    <row r="17" spans="1:12">
      <c r="A17" s="278" t="s">
        <v>165</v>
      </c>
      <c r="B17" s="10"/>
      <c r="C17" s="73"/>
      <c r="D17" s="73"/>
      <c r="E17" s="73"/>
      <c r="F17" s="8"/>
      <c r="H17" s="230" t="e">
        <f>_xlfn.STDEV.S(F17:F18)</f>
        <v>#DIV/0!</v>
      </c>
      <c r="I17" s="257" t="e">
        <f>(H17/F19)*100</f>
        <v>#DIV/0!</v>
      </c>
      <c r="J17" s="230" t="e">
        <f>F19+H17</f>
        <v>#DIV/0!</v>
      </c>
      <c r="K17" s="230" t="e">
        <f>F19-H17</f>
        <v>#DIV/0!</v>
      </c>
      <c r="L17" s="8"/>
    </row>
    <row r="18" spans="1:12">
      <c r="A18" s="305"/>
      <c r="B18" s="14" t="s">
        <v>209</v>
      </c>
      <c r="C18" s="33">
        <v>127.8</v>
      </c>
      <c r="D18" s="33">
        <v>293.27999999999997</v>
      </c>
      <c r="E18" s="33">
        <v>220.5</v>
      </c>
      <c r="F18" s="8">
        <f t="shared" ref="F18" si="0">AVERAGE(C18:E18)</f>
        <v>213.85999999999999</v>
      </c>
      <c r="H18" s="235"/>
      <c r="I18" s="259"/>
      <c r="J18" s="235"/>
      <c r="K18" s="235"/>
      <c r="L18" s="8">
        <f>F18</f>
        <v>213.85999999999999</v>
      </c>
    </row>
    <row r="19" spans="1:12">
      <c r="A19" s="260" t="s">
        <v>166</v>
      </c>
      <c r="B19" s="260"/>
      <c r="C19" s="260"/>
      <c r="D19" s="260"/>
      <c r="E19" s="11"/>
      <c r="F19" s="6">
        <f>AVERAGE(F17:F18)</f>
        <v>213.85999999999999</v>
      </c>
      <c r="G19" s="15"/>
      <c r="H19" s="227" t="s">
        <v>16</v>
      </c>
      <c r="I19" s="227"/>
      <c r="J19" s="227"/>
      <c r="K19" s="227"/>
      <c r="L19" s="2">
        <f>AVERAGE(L17:L18)</f>
        <v>213.85999999999999</v>
      </c>
    </row>
    <row r="25" spans="1:12">
      <c r="A25" s="306" t="s">
        <v>181</v>
      </c>
      <c r="B25" s="306"/>
      <c r="C25" s="306"/>
      <c r="D25" s="306"/>
      <c r="E25" s="306"/>
      <c r="F25" s="306"/>
      <c r="G25" s="306"/>
      <c r="H25" s="306"/>
      <c r="I25" s="306"/>
      <c r="J25" s="306"/>
      <c r="K25" s="306"/>
      <c r="L25" s="306"/>
    </row>
    <row r="26" spans="1:12">
      <c r="A26" s="282" t="s">
        <v>161</v>
      </c>
      <c r="B26" s="282" t="s">
        <v>175</v>
      </c>
      <c r="C26" s="13" t="s">
        <v>185</v>
      </c>
      <c r="D26" s="13" t="s">
        <v>154</v>
      </c>
      <c r="E26" s="18" t="s">
        <v>155</v>
      </c>
      <c r="F26" s="280" t="s">
        <v>176</v>
      </c>
      <c r="H26" s="282" t="s">
        <v>3</v>
      </c>
      <c r="I26" s="282"/>
      <c r="J26" s="282"/>
      <c r="K26" s="282"/>
      <c r="L26" s="282"/>
    </row>
    <row r="27" spans="1:12" ht="45">
      <c r="A27" s="229"/>
      <c r="B27" s="229"/>
      <c r="C27" s="9" t="s">
        <v>177</v>
      </c>
      <c r="D27" s="9" t="s">
        <v>177</v>
      </c>
      <c r="E27" s="9" t="s">
        <v>177</v>
      </c>
      <c r="F27" s="281"/>
      <c r="H27" s="1" t="s">
        <v>12</v>
      </c>
      <c r="I27" s="1" t="s">
        <v>13</v>
      </c>
      <c r="J27" s="1" t="s">
        <v>14</v>
      </c>
      <c r="K27" s="1" t="s">
        <v>15</v>
      </c>
      <c r="L27" s="1" t="s">
        <v>16</v>
      </c>
    </row>
    <row r="28" spans="1:12">
      <c r="A28" s="278" t="s">
        <v>172</v>
      </c>
      <c r="B28" s="10"/>
      <c r="C28" s="73"/>
      <c r="D28" s="73"/>
      <c r="E28" s="73"/>
      <c r="F28" s="8"/>
      <c r="H28" s="230" t="e">
        <f>_xlfn.STDEV.S(F28:F29)</f>
        <v>#DIV/0!</v>
      </c>
      <c r="I28" s="257" t="e">
        <f>(H28/F30)*100</f>
        <v>#DIV/0!</v>
      </c>
      <c r="J28" s="230" t="e">
        <f>F30+H28</f>
        <v>#DIV/0!</v>
      </c>
      <c r="K28" s="230" t="e">
        <f>F30-H28</f>
        <v>#DIV/0!</v>
      </c>
      <c r="L28" s="8"/>
    </row>
    <row r="29" spans="1:12">
      <c r="A29" s="279"/>
      <c r="B29" s="14" t="s">
        <v>182</v>
      </c>
      <c r="C29" s="33">
        <v>109.9</v>
      </c>
      <c r="D29" s="33">
        <v>146.63999999999999</v>
      </c>
      <c r="E29" s="33">
        <v>184.37</v>
      </c>
      <c r="F29" s="8">
        <f>AVERAGE(C29:E29)</f>
        <v>146.97</v>
      </c>
      <c r="H29" s="231"/>
      <c r="I29" s="258"/>
      <c r="J29" s="231"/>
      <c r="K29" s="231"/>
      <c r="L29" s="8">
        <f>F29</f>
        <v>146.97</v>
      </c>
    </row>
    <row r="30" spans="1:12">
      <c r="A30" s="260" t="s">
        <v>166</v>
      </c>
      <c r="B30" s="260"/>
      <c r="C30" s="260"/>
      <c r="D30" s="260"/>
      <c r="E30" s="11"/>
      <c r="F30" s="6">
        <f>AVERAGE(F28:F29)</f>
        <v>146.97</v>
      </c>
      <c r="G30" s="15"/>
      <c r="H30" s="227" t="s">
        <v>16</v>
      </c>
      <c r="I30" s="227"/>
      <c r="J30" s="227"/>
      <c r="K30" s="227"/>
      <c r="L30" s="2">
        <f>AVERAGE(L29:L29)</f>
        <v>146.97</v>
      </c>
    </row>
  </sheetData>
  <mergeCells count="37">
    <mergeCell ref="A28:A29"/>
    <mergeCell ref="A30:D30"/>
    <mergeCell ref="H30:K30"/>
    <mergeCell ref="H28:H29"/>
    <mergeCell ref="I28:I29"/>
    <mergeCell ref="J28:J29"/>
    <mergeCell ref="K28:K29"/>
    <mergeCell ref="A25:L25"/>
    <mergeCell ref="A26:A27"/>
    <mergeCell ref="B26:B27"/>
    <mergeCell ref="F26:F27"/>
    <mergeCell ref="H26:L26"/>
    <mergeCell ref="A17:A18"/>
    <mergeCell ref="A19:D19"/>
    <mergeCell ref="H19:K19"/>
    <mergeCell ref="H17:H18"/>
    <mergeCell ref="I17:I18"/>
    <mergeCell ref="J17:J18"/>
    <mergeCell ref="K17:K18"/>
    <mergeCell ref="A9:A10"/>
    <mergeCell ref="A11:D11"/>
    <mergeCell ref="H11:K11"/>
    <mergeCell ref="A14:L14"/>
    <mergeCell ref="A15:A16"/>
    <mergeCell ref="B15:B16"/>
    <mergeCell ref="F15:F16"/>
    <mergeCell ref="H15:L15"/>
    <mergeCell ref="H9:H10"/>
    <mergeCell ref="I9:I10"/>
    <mergeCell ref="J9:J10"/>
    <mergeCell ref="K9:K10"/>
    <mergeCell ref="F1:Q1"/>
    <mergeCell ref="A6:L6"/>
    <mergeCell ref="A7:A8"/>
    <mergeCell ref="B7:B8"/>
    <mergeCell ref="F7:F8"/>
    <mergeCell ref="H7:L7"/>
  </mergeCells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013E5-A36C-420B-956B-FBFE1E59BB21}">
  <sheetPr>
    <tabColor rgb="FF00B050"/>
  </sheetPr>
  <dimension ref="A1:V29"/>
  <sheetViews>
    <sheetView topLeftCell="C1" workbookViewId="0">
      <selection activeCell="Q29" sqref="Q29"/>
    </sheetView>
  </sheetViews>
  <sheetFormatPr defaultRowHeight="15"/>
  <cols>
    <col min="1" max="1" width="19.7109375" customWidth="1"/>
    <col min="2" max="2" width="15.7109375" customWidth="1"/>
    <col min="3" max="4" width="15.28515625" customWidth="1"/>
    <col min="5" max="5" width="18.5703125" customWidth="1"/>
    <col min="6" max="7" width="21.5703125" customWidth="1"/>
    <col min="8" max="8" width="19.140625" customWidth="1"/>
    <col min="9" max="10" width="20.28515625" customWidth="1"/>
    <col min="11" max="11" width="18.7109375" customWidth="1"/>
    <col min="14" max="14" width="11.85546875" customWidth="1"/>
    <col min="15" max="15" width="12" customWidth="1"/>
    <col min="16" max="16" width="12.5703125" customWidth="1"/>
    <col min="17" max="17" width="10.7109375" bestFit="1" customWidth="1"/>
  </cols>
  <sheetData>
    <row r="1" spans="1:22" ht="18.75">
      <c r="C1" s="16"/>
      <c r="D1" s="16"/>
      <c r="E1" s="16"/>
      <c r="F1" s="17" t="s">
        <v>216</v>
      </c>
      <c r="G1" s="17"/>
      <c r="H1" s="17"/>
      <c r="I1" s="17"/>
      <c r="J1" s="17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</row>
    <row r="6" spans="1:22">
      <c r="A6" s="283" t="s">
        <v>184</v>
      </c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5"/>
    </row>
    <row r="7" spans="1:22" ht="14.25" customHeight="1">
      <c r="A7" s="19"/>
      <c r="B7" s="297" t="s">
        <v>217</v>
      </c>
      <c r="C7" s="298"/>
      <c r="D7" s="299"/>
      <c r="E7" s="297" t="s">
        <v>218</v>
      </c>
      <c r="F7" s="298"/>
      <c r="G7" s="299"/>
      <c r="H7" s="300" t="s">
        <v>219</v>
      </c>
      <c r="I7" s="301"/>
      <c r="J7" s="302"/>
      <c r="K7" s="280" t="s">
        <v>156</v>
      </c>
      <c r="M7" s="282" t="s">
        <v>3</v>
      </c>
      <c r="N7" s="282"/>
      <c r="O7" s="282"/>
      <c r="P7" s="282"/>
      <c r="Q7" s="282"/>
    </row>
    <row r="8" spans="1:22" ht="14.25" customHeight="1">
      <c r="A8" s="286" t="s">
        <v>157</v>
      </c>
      <c r="B8" s="288" t="s">
        <v>220</v>
      </c>
      <c r="C8" s="289"/>
      <c r="D8" s="290"/>
      <c r="E8" s="294" t="s">
        <v>221</v>
      </c>
      <c r="F8" s="295"/>
      <c r="G8" s="296"/>
      <c r="H8" s="321" t="s">
        <v>222</v>
      </c>
      <c r="I8" s="322"/>
      <c r="J8" s="323"/>
      <c r="K8" s="280"/>
      <c r="M8" s="12"/>
      <c r="N8" s="12"/>
      <c r="O8" s="12"/>
      <c r="P8" s="12"/>
      <c r="Q8" s="12"/>
    </row>
    <row r="9" spans="1:22" ht="105.75" customHeight="1">
      <c r="A9" s="287"/>
      <c r="B9" s="291"/>
      <c r="C9" s="292"/>
      <c r="D9" s="293"/>
      <c r="E9" s="275"/>
      <c r="F9" s="276"/>
      <c r="G9" s="277"/>
      <c r="H9" s="291"/>
      <c r="I9" s="292"/>
      <c r="J9" s="293"/>
      <c r="K9" s="280"/>
      <c r="M9" s="12"/>
      <c r="N9" s="12"/>
      <c r="O9" s="12"/>
      <c r="P9" s="12"/>
      <c r="Q9" s="12"/>
    </row>
    <row r="10" spans="1:22" ht="56.25" customHeight="1">
      <c r="A10" s="21" t="s">
        <v>161</v>
      </c>
      <c r="B10" s="20" t="s">
        <v>162</v>
      </c>
      <c r="C10" s="9" t="s">
        <v>163</v>
      </c>
      <c r="D10" s="19" t="s">
        <v>164</v>
      </c>
      <c r="E10" s="20" t="s">
        <v>162</v>
      </c>
      <c r="F10" s="9" t="s">
        <v>163</v>
      </c>
      <c r="G10" s="19" t="s">
        <v>164</v>
      </c>
      <c r="H10" s="20" t="s">
        <v>162</v>
      </c>
      <c r="I10" s="9" t="s">
        <v>163</v>
      </c>
      <c r="J10" s="19" t="s">
        <v>164</v>
      </c>
      <c r="K10" s="281"/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</row>
    <row r="11" spans="1:22">
      <c r="A11" s="278" t="s">
        <v>189</v>
      </c>
      <c r="B11" s="264">
        <v>6899</v>
      </c>
      <c r="C11" s="264">
        <f>'FRETE 30000 BTU  '!L11</f>
        <v>547.0333333333333</v>
      </c>
      <c r="D11" s="264">
        <f>SUM(B11:C15)</f>
        <v>7446.0333333333328</v>
      </c>
      <c r="E11" s="264">
        <v>6499</v>
      </c>
      <c r="F11" s="264">
        <f>'FRETE 30000 BTU  '!L11</f>
        <v>547.0333333333333</v>
      </c>
      <c r="G11" s="261">
        <f>SUM(E11:F15)</f>
        <v>7046.0333333333328</v>
      </c>
      <c r="H11" s="264">
        <v>7381.94</v>
      </c>
      <c r="I11" s="264">
        <f>'FRETE 30000 BTU  '!L11</f>
        <v>547.0333333333333</v>
      </c>
      <c r="J11" s="261">
        <f>SUM(H11:I15)</f>
        <v>7928.9733333333334</v>
      </c>
      <c r="K11" s="270">
        <v>45684</v>
      </c>
      <c r="M11" s="230">
        <f>_xlfn.STDEV.S(D11,G11,J11)</f>
        <v>442.11877876124373</v>
      </c>
      <c r="N11" s="257">
        <f>(M11/K16)*100</f>
        <v>5.9156771331023501</v>
      </c>
      <c r="O11" s="230">
        <f>K16+M11</f>
        <v>7915.7987787612437</v>
      </c>
      <c r="P11" s="230">
        <f>K16-M11</f>
        <v>7031.5612212387568</v>
      </c>
      <c r="Q11" s="8">
        <f>D11</f>
        <v>7446.0333333333328</v>
      </c>
    </row>
    <row r="12" spans="1:22" ht="14.25" customHeight="1">
      <c r="A12" s="279"/>
      <c r="B12" s="265"/>
      <c r="C12" s="265"/>
      <c r="D12" s="265"/>
      <c r="E12" s="265"/>
      <c r="F12" s="265"/>
      <c r="G12" s="262"/>
      <c r="H12" s="265"/>
      <c r="I12" s="265"/>
      <c r="J12" s="262"/>
      <c r="K12" s="271"/>
      <c r="M12" s="231"/>
      <c r="N12" s="258"/>
      <c r="O12" s="231"/>
      <c r="P12" s="231"/>
      <c r="Q12" s="8">
        <f>G11</f>
        <v>7046.0333333333328</v>
      </c>
    </row>
    <row r="13" spans="1:22">
      <c r="A13" s="279"/>
      <c r="B13" s="265"/>
      <c r="C13" s="265"/>
      <c r="D13" s="265"/>
      <c r="E13" s="265"/>
      <c r="F13" s="265"/>
      <c r="G13" s="262"/>
      <c r="H13" s="265"/>
      <c r="I13" s="265"/>
      <c r="J13" s="262"/>
      <c r="K13" s="271"/>
      <c r="M13" s="231"/>
      <c r="N13" s="258"/>
      <c r="O13" s="231"/>
      <c r="P13" s="231"/>
      <c r="Q13" s="8"/>
    </row>
    <row r="14" spans="1:22">
      <c r="A14" s="279"/>
      <c r="B14" s="265"/>
      <c r="C14" s="265"/>
      <c r="D14" s="265"/>
      <c r="E14" s="265"/>
      <c r="F14" s="265"/>
      <c r="G14" s="262"/>
      <c r="H14" s="265"/>
      <c r="I14" s="265"/>
      <c r="J14" s="262"/>
      <c r="K14" s="271"/>
      <c r="M14" s="231"/>
      <c r="N14" s="258"/>
      <c r="O14" s="231"/>
      <c r="P14" s="231"/>
      <c r="Q14" s="8"/>
    </row>
    <row r="15" spans="1:22">
      <c r="A15" s="305"/>
      <c r="B15" s="266"/>
      <c r="C15" s="266"/>
      <c r="D15" s="266"/>
      <c r="E15" s="266"/>
      <c r="F15" s="266"/>
      <c r="G15" s="263"/>
      <c r="H15" s="266"/>
      <c r="I15" s="266"/>
      <c r="J15" s="263"/>
      <c r="K15" s="271"/>
      <c r="M15" s="235"/>
      <c r="N15" s="259"/>
      <c r="O15" s="235"/>
      <c r="P15" s="235"/>
      <c r="Q15" s="8"/>
    </row>
    <row r="16" spans="1:22">
      <c r="A16" s="260"/>
      <c r="B16" s="260"/>
      <c r="C16" s="260"/>
      <c r="D16" s="260"/>
      <c r="E16" s="260"/>
      <c r="F16" s="260"/>
      <c r="G16" s="11"/>
      <c r="H16" s="11"/>
      <c r="I16" s="11"/>
      <c r="J16" s="11" t="s">
        <v>167</v>
      </c>
      <c r="K16" s="27">
        <f>AVERAGE(D11,G11,J11)</f>
        <v>7473.68</v>
      </c>
      <c r="L16" s="15"/>
      <c r="M16" s="227" t="s">
        <v>16</v>
      </c>
      <c r="N16" s="227"/>
      <c r="O16" s="227"/>
      <c r="P16" s="227"/>
      <c r="Q16" s="2">
        <f>AVERAGE(Q11:Q15)</f>
        <v>7246.0333333333328</v>
      </c>
    </row>
    <row r="19" spans="1:17">
      <c r="A19" s="283" t="s">
        <v>171</v>
      </c>
      <c r="B19" s="284"/>
      <c r="C19" s="284"/>
      <c r="D19" s="284"/>
      <c r="E19" s="284"/>
      <c r="F19" s="284"/>
      <c r="G19" s="284"/>
      <c r="H19" s="284"/>
      <c r="I19" s="284"/>
      <c r="J19" s="284"/>
      <c r="K19" s="284"/>
      <c r="L19" s="284"/>
      <c r="M19" s="284"/>
      <c r="N19" s="284"/>
      <c r="O19" s="284"/>
      <c r="P19" s="284"/>
      <c r="Q19" s="285"/>
    </row>
    <row r="20" spans="1:17" ht="15" customHeight="1">
      <c r="A20" s="19"/>
      <c r="B20" s="297" t="s">
        <v>185</v>
      </c>
      <c r="C20" s="298"/>
      <c r="D20" s="299"/>
      <c r="E20" s="297" t="s">
        <v>218</v>
      </c>
      <c r="F20" s="298"/>
      <c r="G20" s="299"/>
      <c r="H20" s="300" t="s">
        <v>219</v>
      </c>
      <c r="I20" s="301"/>
      <c r="J20" s="302"/>
      <c r="K20" s="280" t="s">
        <v>156</v>
      </c>
      <c r="M20" s="282" t="s">
        <v>3</v>
      </c>
      <c r="N20" s="282"/>
      <c r="O20" s="282"/>
      <c r="P20" s="282"/>
      <c r="Q20" s="282"/>
    </row>
    <row r="21" spans="1:17">
      <c r="A21" s="286" t="s">
        <v>157</v>
      </c>
      <c r="B21" s="288" t="s">
        <v>220</v>
      </c>
      <c r="C21" s="289"/>
      <c r="D21" s="290"/>
      <c r="E21" s="294" t="s">
        <v>221</v>
      </c>
      <c r="F21" s="295"/>
      <c r="G21" s="296"/>
      <c r="H21" s="321" t="s">
        <v>222</v>
      </c>
      <c r="I21" s="322"/>
      <c r="J21" s="323"/>
      <c r="K21" s="280"/>
      <c r="M21" s="12"/>
      <c r="N21" s="12"/>
      <c r="O21" s="12"/>
      <c r="P21" s="12"/>
      <c r="Q21" s="12"/>
    </row>
    <row r="22" spans="1:17" ht="108" customHeight="1">
      <c r="A22" s="287"/>
      <c r="B22" s="291"/>
      <c r="C22" s="292"/>
      <c r="D22" s="293"/>
      <c r="E22" s="275"/>
      <c r="F22" s="276"/>
      <c r="G22" s="277"/>
      <c r="H22" s="291"/>
      <c r="I22" s="292"/>
      <c r="J22" s="293"/>
      <c r="K22" s="280"/>
      <c r="M22" s="12"/>
      <c r="N22" s="12"/>
      <c r="O22" s="12"/>
      <c r="P22" s="12"/>
      <c r="Q22" s="12"/>
    </row>
    <row r="23" spans="1:17" ht="45">
      <c r="A23" s="21" t="s">
        <v>161</v>
      </c>
      <c r="B23" s="20" t="s">
        <v>162</v>
      </c>
      <c r="C23" s="9" t="s">
        <v>163</v>
      </c>
      <c r="D23" s="19" t="s">
        <v>164</v>
      </c>
      <c r="E23" s="20" t="s">
        <v>162</v>
      </c>
      <c r="F23" s="9" t="s">
        <v>163</v>
      </c>
      <c r="G23" s="19" t="s">
        <v>164</v>
      </c>
      <c r="H23" s="20" t="s">
        <v>162</v>
      </c>
      <c r="I23" s="9" t="s">
        <v>163</v>
      </c>
      <c r="J23" s="19" t="s">
        <v>164</v>
      </c>
      <c r="K23" s="281"/>
      <c r="M23" s="1" t="s">
        <v>12</v>
      </c>
      <c r="N23" s="1" t="s">
        <v>13</v>
      </c>
      <c r="O23" s="1" t="s">
        <v>14</v>
      </c>
      <c r="P23" s="1" t="s">
        <v>15</v>
      </c>
      <c r="Q23" s="1" t="s">
        <v>16</v>
      </c>
    </row>
    <row r="24" spans="1:17">
      <c r="A24" s="278" t="s">
        <v>172</v>
      </c>
      <c r="B24" s="264">
        <v>6899</v>
      </c>
      <c r="C24" s="264">
        <f>'FRETE 30000 BTU  '!L24</f>
        <v>210.74333333333334</v>
      </c>
      <c r="D24" s="264">
        <f>SUM(B24:C28)</f>
        <v>7109.7433333333338</v>
      </c>
      <c r="E24" s="264">
        <v>6590.97</v>
      </c>
      <c r="F24" s="264">
        <f>'FRETE 30000 BTU  '!L24</f>
        <v>210.74333333333334</v>
      </c>
      <c r="G24" s="261">
        <f>SUM(E24:F28)</f>
        <v>6801.7133333333331</v>
      </c>
      <c r="H24" s="264">
        <v>7381.94</v>
      </c>
      <c r="I24" s="264">
        <f>'FRETE 30000 BTU  '!L24</f>
        <v>210.74333333333334</v>
      </c>
      <c r="J24" s="261">
        <f>SUM(H24:I28)</f>
        <v>7592.6833333333325</v>
      </c>
      <c r="K24" s="270">
        <v>45684</v>
      </c>
      <c r="M24" s="230">
        <f>_xlfn.STDEV.S(D24,G24,J24)</f>
        <v>398.69517708812708</v>
      </c>
      <c r="N24" s="257">
        <f>(M24/K29)*100</f>
        <v>5.5621174865136727</v>
      </c>
      <c r="O24" s="230">
        <f>K29+M24</f>
        <v>7566.7418437547931</v>
      </c>
      <c r="P24" s="230">
        <f>K29-M24</f>
        <v>6769.3514895785393</v>
      </c>
      <c r="Q24" s="8">
        <f>D24</f>
        <v>7109.7433333333338</v>
      </c>
    </row>
    <row r="25" spans="1:17">
      <c r="A25" s="279"/>
      <c r="B25" s="265"/>
      <c r="C25" s="265"/>
      <c r="D25" s="265"/>
      <c r="E25" s="265"/>
      <c r="F25" s="265"/>
      <c r="G25" s="262"/>
      <c r="H25" s="265"/>
      <c r="I25" s="265"/>
      <c r="J25" s="262"/>
      <c r="K25" s="271"/>
      <c r="M25" s="231"/>
      <c r="N25" s="258"/>
      <c r="O25" s="231"/>
      <c r="P25" s="231"/>
      <c r="Q25" s="8">
        <f>G24</f>
        <v>6801.7133333333331</v>
      </c>
    </row>
    <row r="26" spans="1:17">
      <c r="A26" s="279"/>
      <c r="B26" s="265"/>
      <c r="C26" s="265"/>
      <c r="D26" s="265"/>
      <c r="E26" s="265"/>
      <c r="F26" s="265"/>
      <c r="G26" s="262"/>
      <c r="H26" s="265"/>
      <c r="I26" s="265"/>
      <c r="J26" s="262"/>
      <c r="K26" s="271"/>
      <c r="M26" s="231"/>
      <c r="N26" s="258"/>
      <c r="O26" s="231"/>
      <c r="P26" s="231"/>
      <c r="Q26" s="8"/>
    </row>
    <row r="27" spans="1:17">
      <c r="A27" s="279"/>
      <c r="B27" s="265"/>
      <c r="C27" s="265"/>
      <c r="D27" s="265"/>
      <c r="E27" s="265"/>
      <c r="F27" s="265"/>
      <c r="G27" s="262"/>
      <c r="H27" s="265"/>
      <c r="I27" s="265"/>
      <c r="J27" s="262"/>
      <c r="K27" s="271"/>
      <c r="M27" s="231"/>
      <c r="N27" s="258"/>
      <c r="O27" s="231"/>
      <c r="P27" s="231"/>
      <c r="Q27" s="8"/>
    </row>
    <row r="28" spans="1:17">
      <c r="A28" s="305"/>
      <c r="B28" s="266"/>
      <c r="C28" s="266"/>
      <c r="D28" s="266"/>
      <c r="E28" s="266"/>
      <c r="F28" s="266"/>
      <c r="G28" s="263"/>
      <c r="H28" s="266"/>
      <c r="I28" s="266"/>
      <c r="J28" s="263"/>
      <c r="K28" s="271"/>
      <c r="M28" s="235"/>
      <c r="N28" s="259"/>
      <c r="O28" s="235"/>
      <c r="P28" s="235"/>
      <c r="Q28" s="8"/>
    </row>
    <row r="29" spans="1:17">
      <c r="A29" s="260"/>
      <c r="B29" s="260"/>
      <c r="C29" s="260"/>
      <c r="D29" s="260"/>
      <c r="E29" s="260"/>
      <c r="F29" s="260"/>
      <c r="G29" s="11"/>
      <c r="H29" s="11"/>
      <c r="I29" s="11"/>
      <c r="J29" s="11" t="s">
        <v>167</v>
      </c>
      <c r="K29" s="27">
        <f>AVERAGE(D24,G24,J24)</f>
        <v>7168.0466666666662</v>
      </c>
      <c r="L29" s="15"/>
      <c r="M29" s="227" t="s">
        <v>16</v>
      </c>
      <c r="N29" s="227"/>
      <c r="O29" s="227"/>
      <c r="P29" s="227"/>
      <c r="Q29" s="2">
        <f>AVERAGE(Q24:Q28)</f>
        <v>6955.7283333333335</v>
      </c>
    </row>
  </sheetData>
  <mergeCells count="55">
    <mergeCell ref="K1:V1"/>
    <mergeCell ref="A6:Q6"/>
    <mergeCell ref="B7:D7"/>
    <mergeCell ref="E7:G7"/>
    <mergeCell ref="H7:J7"/>
    <mergeCell ref="K7:K10"/>
    <mergeCell ref="M7:Q7"/>
    <mergeCell ref="A8:A9"/>
    <mergeCell ref="B8:D9"/>
    <mergeCell ref="E8:G9"/>
    <mergeCell ref="H8:J9"/>
    <mergeCell ref="I11:I15"/>
    <mergeCell ref="A16:F16"/>
    <mergeCell ref="A11:A15"/>
    <mergeCell ref="B11:B15"/>
    <mergeCell ref="C11:C15"/>
    <mergeCell ref="D11:D15"/>
    <mergeCell ref="E11:E15"/>
    <mergeCell ref="A21:A22"/>
    <mergeCell ref="B21:D22"/>
    <mergeCell ref="F11:F15"/>
    <mergeCell ref="G11:G15"/>
    <mergeCell ref="H11:H15"/>
    <mergeCell ref="E24:E28"/>
    <mergeCell ref="F24:F28"/>
    <mergeCell ref="P24:P28"/>
    <mergeCell ref="M16:P16"/>
    <mergeCell ref="J11:J15"/>
    <mergeCell ref="K11:K15"/>
    <mergeCell ref="M11:M15"/>
    <mergeCell ref="N11:N15"/>
    <mergeCell ref="O11:O15"/>
    <mergeCell ref="P11:P15"/>
    <mergeCell ref="A19:Q19"/>
    <mergeCell ref="B20:D20"/>
    <mergeCell ref="E20:G20"/>
    <mergeCell ref="H20:J20"/>
    <mergeCell ref="K20:K23"/>
    <mergeCell ref="M20:Q20"/>
    <mergeCell ref="G24:G28"/>
    <mergeCell ref="O24:O28"/>
    <mergeCell ref="E21:G22"/>
    <mergeCell ref="H21:J22"/>
    <mergeCell ref="A29:F29"/>
    <mergeCell ref="M29:P29"/>
    <mergeCell ref="H24:H28"/>
    <mergeCell ref="I24:I28"/>
    <mergeCell ref="J24:J28"/>
    <mergeCell ref="K24:K28"/>
    <mergeCell ref="M24:M28"/>
    <mergeCell ref="N24:N28"/>
    <mergeCell ref="A24:A28"/>
    <mergeCell ref="B24:B28"/>
    <mergeCell ref="C24:C28"/>
    <mergeCell ref="D24:D28"/>
  </mergeCells>
  <hyperlinks>
    <hyperlink ref="B8" r:id="rId1" display="https://www.frigelar.com.br/ar-condicionado-split-inverter-30000-btus-springer-midea-xtreme-save-connect-high-wall-frio-42agvcc30m5-38agvcc30m5-220v/p/kit10301?gad_source=1&amp;gclid=Cj0KCQjw2ou2BhCCARIsANAwM2GbgsfqmS3gDEmnXUUPuOR-KCWEF_Am0aT9BxQStM3Ao1CKUXINpZkaAvWvEALw_wcB" xr:uid="{444E383D-F00E-4A48-A5B6-BC6496627A6D}"/>
    <hyperlink ref="H8" r:id="rId2" display="https://www.pontofrio.com.br/ar-condicionado-split-inverter-30000-btus-springer-midea-xtreme-save-connect-high-wall-so-frio-42agvcc30m5-38agvcc30m5-220v-1568628135/p/1568628135?utm_medium=cpc&amp;utm_source=GP_PLA&amp;IdSku=1568628135&amp;idLojista=26460&amp;tipoLojista=3P&amp;gclsrc=aw.ds&amp;&amp;utm_campaign=3p_gg_pmax_arve&amp;gad_source=1&amp;gclid=Cj0KCQjw2ou2BhCCARIsANAwM2GC5xxUS4osAF9XfR6cKZskcay5uimxl6v76W1diSHdzs8-ABtpCfQaAiTrEALw_wcB" xr:uid="{D27251DA-E6DA-4DB3-8359-16CB3FA6E17E}"/>
    <hyperlink ref="H21" r:id="rId3" display="https://www.pontofrio.com.br/ar-condicionado-split-inverter-30000-btus-springer-midea-xtreme-save-connect-high-wall-so-frio-42agvcc30m5-38agvcc30m5-220v-1568628135/p/1568628135?utm_medium=cpc&amp;utm_source=GP_PLA&amp;IdSku=1568628135&amp;idLojista=26460&amp;tipoLojista=3P&amp;gclsrc=aw.ds&amp;&amp;utm_campaign=3p_gg_pmax_arve&amp;gad_source=1&amp;gclid=Cj0KCQjw2ou2BhCCARIsANAwM2GC5xxUS4osAF9XfR6cKZskcay5uimxl6v76W1diSHdzs8-ABtpCfQaAiTrEALw_wcB" xr:uid="{4B172445-7A50-4E40-8987-D11FB8E4665B}"/>
    <hyperlink ref="B21" r:id="rId4" display="https://www.frigelar.com.br/ar-condicionado-split-inverter-30000-btus-springer-midea-xtreme-save-connect-high-wall-frio-42agvcc30m5-38agvcc30m5-220v/p/kit10301?gad_source=1&amp;gclid=Cj0KCQjw2ou2BhCCARIsANAwM2GbgsfqmS3gDEmnXUUPuOR-KCWEF_Am0aT9BxQStM3Ao1CKUXINpZkaAvWvEALw_wcB" xr:uid="{9D44E44D-9B26-4801-A974-3953C21233B9}"/>
    <hyperlink ref="E8:G9" r:id="rId5" display="https://www.magazineluiza.com.br/ar-condicionado-split-hi-wall-inverter-elgin-30000-btus-frio-eco-inverter-ii-wi-fi-220v/p/fb8fhej6d4/ar/arsp/" xr:uid="{582337FD-CA21-4DB3-9C5D-BC60F43634B1}"/>
    <hyperlink ref="E21:G22" r:id="rId6" display="https://www.magazineluiza.com.br/ar-condicionado-split-hi-wall-inverter-elgin-30000-btus-frio-eco-inverter-ii-wi-fi-220v/p/fb8fhej6d4/ar/arsp/" xr:uid="{3DD28BAE-DC29-448E-8776-0C37F3E446DE}"/>
  </hyperlinks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012D7-69FC-4F30-A9A0-B42552F22B5F}">
  <sheetPr>
    <tabColor rgb="FF00B050"/>
  </sheetPr>
  <dimension ref="A1:Q24"/>
  <sheetViews>
    <sheetView topLeftCell="S1" workbookViewId="0">
      <selection activeCell="F23" sqref="F23"/>
    </sheetView>
  </sheetViews>
  <sheetFormatPr defaultRowHeight="15"/>
  <cols>
    <col min="1" max="1" width="14.85546875" customWidth="1"/>
    <col min="2" max="2" width="13.140625" customWidth="1"/>
    <col min="3" max="3" width="15.28515625" customWidth="1"/>
    <col min="4" max="5" width="29" customWidth="1"/>
    <col min="6" max="6" width="16.7109375" customWidth="1"/>
    <col min="9" max="9" width="11.85546875" customWidth="1"/>
  </cols>
  <sheetData>
    <row r="1" spans="1:17" ht="18.75">
      <c r="D1" s="17" t="s">
        <v>223</v>
      </c>
      <c r="E1" s="17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</row>
    <row r="6" spans="1:17">
      <c r="A6" s="306" t="s">
        <v>193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</row>
    <row r="7" spans="1:17">
      <c r="A7" s="282" t="s">
        <v>161</v>
      </c>
      <c r="B7" s="282" t="s">
        <v>175</v>
      </c>
      <c r="C7" s="13" t="s">
        <v>217</v>
      </c>
      <c r="D7" s="13" t="s">
        <v>218</v>
      </c>
      <c r="E7" s="18" t="s">
        <v>219</v>
      </c>
      <c r="F7" s="280" t="s">
        <v>176</v>
      </c>
      <c r="H7" s="282" t="s">
        <v>3</v>
      </c>
      <c r="I7" s="282"/>
      <c r="J7" s="282"/>
      <c r="K7" s="282"/>
      <c r="L7" s="282"/>
    </row>
    <row r="8" spans="1:17" ht="45">
      <c r="A8" s="229"/>
      <c r="B8" s="229"/>
      <c r="C8" s="9" t="s">
        <v>177</v>
      </c>
      <c r="D8" s="9" t="s">
        <v>177</v>
      </c>
      <c r="E8" s="9" t="s">
        <v>177</v>
      </c>
      <c r="F8" s="281"/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</row>
    <row r="9" spans="1:17">
      <c r="A9" s="278" t="s">
        <v>189</v>
      </c>
      <c r="B9" s="8"/>
      <c r="C9" s="73"/>
      <c r="D9" s="73"/>
      <c r="E9" s="73"/>
      <c r="F9" s="8"/>
      <c r="H9" s="230" t="e">
        <f>_xlfn.STDEV.S(F9:F10)</f>
        <v>#DIV/0!</v>
      </c>
      <c r="I9" s="257" t="e">
        <f>(H9/F11)*100</f>
        <v>#DIV/0!</v>
      </c>
      <c r="J9" s="230" t="e">
        <f>F11+H9</f>
        <v>#DIV/0!</v>
      </c>
      <c r="K9" s="230" t="e">
        <f>F11-H9</f>
        <v>#DIV/0!</v>
      </c>
      <c r="L9" s="8"/>
    </row>
    <row r="10" spans="1:17">
      <c r="A10" s="305"/>
      <c r="B10" s="14" t="s">
        <v>194</v>
      </c>
      <c r="C10" s="33">
        <v>342.47</v>
      </c>
      <c r="D10" s="35">
        <v>952.3</v>
      </c>
      <c r="E10" s="33">
        <v>346.33</v>
      </c>
      <c r="F10" s="8">
        <f>AVERAGE(C10:E10)</f>
        <v>547.0333333333333</v>
      </c>
      <c r="H10" s="235"/>
      <c r="I10" s="259"/>
      <c r="J10" s="235"/>
      <c r="K10" s="235"/>
      <c r="L10" s="8">
        <f>F10</f>
        <v>547.0333333333333</v>
      </c>
    </row>
    <row r="11" spans="1:17">
      <c r="A11" s="260" t="s">
        <v>166</v>
      </c>
      <c r="B11" s="260"/>
      <c r="C11" s="260"/>
      <c r="D11" s="260"/>
      <c r="E11" s="11"/>
      <c r="F11" s="6">
        <f>AVERAGE(F9:F10)</f>
        <v>547.0333333333333</v>
      </c>
      <c r="G11" s="15"/>
      <c r="H11" s="227" t="s">
        <v>16</v>
      </c>
      <c r="I11" s="227"/>
      <c r="J11" s="227"/>
      <c r="K11" s="227"/>
      <c r="L11" s="2">
        <f>AVERAGE(L9:L10)</f>
        <v>547.0333333333333</v>
      </c>
    </row>
    <row r="19" spans="1:12">
      <c r="A19" s="306" t="s">
        <v>181</v>
      </c>
      <c r="B19" s="306"/>
      <c r="C19" s="306"/>
      <c r="D19" s="306"/>
      <c r="E19" s="306"/>
      <c r="F19" s="306"/>
      <c r="G19" s="306"/>
      <c r="H19" s="306"/>
      <c r="I19" s="306"/>
      <c r="J19" s="306"/>
      <c r="K19" s="306"/>
      <c r="L19" s="306"/>
    </row>
    <row r="20" spans="1:12">
      <c r="A20" s="282" t="s">
        <v>161</v>
      </c>
      <c r="B20" s="282" t="s">
        <v>175</v>
      </c>
      <c r="C20" s="13" t="s">
        <v>217</v>
      </c>
      <c r="D20" s="13" t="s">
        <v>218</v>
      </c>
      <c r="E20" s="18" t="s">
        <v>219</v>
      </c>
      <c r="F20" s="280" t="s">
        <v>176</v>
      </c>
      <c r="H20" s="282" t="s">
        <v>3</v>
      </c>
      <c r="I20" s="282"/>
      <c r="J20" s="282"/>
      <c r="K20" s="282"/>
      <c r="L20" s="282"/>
    </row>
    <row r="21" spans="1:12" ht="45">
      <c r="A21" s="229"/>
      <c r="B21" s="229"/>
      <c r="C21" s="9" t="s">
        <v>177</v>
      </c>
      <c r="D21" s="9" t="s">
        <v>177</v>
      </c>
      <c r="E21" s="9" t="s">
        <v>177</v>
      </c>
      <c r="F21" s="281"/>
      <c r="H21" s="1" t="s">
        <v>12</v>
      </c>
      <c r="I21" s="1" t="s">
        <v>13</v>
      </c>
      <c r="J21" s="1" t="s">
        <v>14</v>
      </c>
      <c r="K21" s="1" t="s">
        <v>15</v>
      </c>
      <c r="L21" s="1" t="s">
        <v>16</v>
      </c>
    </row>
    <row r="22" spans="1:12">
      <c r="A22" s="278" t="s">
        <v>172</v>
      </c>
      <c r="B22" s="10"/>
      <c r="C22" s="73"/>
      <c r="D22" s="73"/>
      <c r="E22" s="73"/>
      <c r="F22" s="8"/>
      <c r="H22" s="230" t="e">
        <f>_xlfn.STDEV.S(F22:F23)</f>
        <v>#DIV/0!</v>
      </c>
      <c r="I22" s="257" t="e">
        <f>(H22/F24)*100</f>
        <v>#DIV/0!</v>
      </c>
      <c r="J22" s="230" t="e">
        <f>F24+H22</f>
        <v>#DIV/0!</v>
      </c>
      <c r="K22" s="230" t="e">
        <f>F24-H22</f>
        <v>#DIV/0!</v>
      </c>
      <c r="L22" s="8"/>
    </row>
    <row r="23" spans="1:12">
      <c r="A23" s="279"/>
      <c r="B23" s="14" t="s">
        <v>182</v>
      </c>
      <c r="C23" s="33">
        <v>260.74</v>
      </c>
      <c r="D23" s="33">
        <v>134.65</v>
      </c>
      <c r="E23" s="33">
        <v>236.84</v>
      </c>
      <c r="F23" s="8">
        <f>AVERAGE(C23:E23)</f>
        <v>210.74333333333334</v>
      </c>
      <c r="H23" s="231"/>
      <c r="I23" s="258"/>
      <c r="J23" s="231"/>
      <c r="K23" s="231"/>
      <c r="L23" s="8">
        <f>F23</f>
        <v>210.74333333333334</v>
      </c>
    </row>
    <row r="24" spans="1:12">
      <c r="A24" s="260" t="s">
        <v>166</v>
      </c>
      <c r="B24" s="260"/>
      <c r="C24" s="260"/>
      <c r="D24" s="260"/>
      <c r="E24" s="11"/>
      <c r="F24" s="6">
        <f>AVERAGE(F22:F23)</f>
        <v>210.74333333333334</v>
      </c>
      <c r="G24" s="15"/>
      <c r="H24" s="227" t="s">
        <v>16</v>
      </c>
      <c r="I24" s="227"/>
      <c r="J24" s="227"/>
      <c r="K24" s="227"/>
      <c r="L24" s="2">
        <f>AVERAGE(L23:L23)</f>
        <v>210.74333333333334</v>
      </c>
    </row>
  </sheetData>
  <mergeCells count="25">
    <mergeCell ref="A11:D11"/>
    <mergeCell ref="H11:K11"/>
    <mergeCell ref="F1:Q1"/>
    <mergeCell ref="A6:L6"/>
    <mergeCell ref="A7:A8"/>
    <mergeCell ref="B7:B8"/>
    <mergeCell ref="F7:F8"/>
    <mergeCell ref="H7:L7"/>
    <mergeCell ref="A9:A10"/>
    <mergeCell ref="H9:H10"/>
    <mergeCell ref="I9:I10"/>
    <mergeCell ref="J9:J10"/>
    <mergeCell ref="K9:K10"/>
    <mergeCell ref="A24:D24"/>
    <mergeCell ref="H24:K24"/>
    <mergeCell ref="A19:L19"/>
    <mergeCell ref="A20:A21"/>
    <mergeCell ref="B20:B21"/>
    <mergeCell ref="F20:F21"/>
    <mergeCell ref="H20:L20"/>
    <mergeCell ref="A22:A23"/>
    <mergeCell ref="H22:H23"/>
    <mergeCell ref="I22:I23"/>
    <mergeCell ref="J22:J23"/>
    <mergeCell ref="K22:K23"/>
  </mergeCells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A0D9E-5FCA-43AC-8CF9-F3D485D7E195}">
  <sheetPr>
    <tabColor rgb="FF00B050"/>
  </sheetPr>
  <dimension ref="A1:V48"/>
  <sheetViews>
    <sheetView topLeftCell="D1" workbookViewId="0">
      <selection activeCell="Q48" sqref="Q48"/>
    </sheetView>
  </sheetViews>
  <sheetFormatPr defaultRowHeight="15"/>
  <cols>
    <col min="1" max="1" width="27.85546875" customWidth="1"/>
    <col min="2" max="2" width="15.7109375" customWidth="1"/>
    <col min="3" max="4" width="15.28515625" customWidth="1"/>
    <col min="5" max="5" width="18.5703125" customWidth="1"/>
    <col min="6" max="7" width="21.5703125" customWidth="1"/>
    <col min="8" max="8" width="19.140625" customWidth="1"/>
    <col min="9" max="10" width="20.28515625" customWidth="1"/>
    <col min="11" max="11" width="18.7109375" customWidth="1"/>
    <col min="13" max="13" width="13.42578125" customWidth="1"/>
    <col min="14" max="14" width="11.85546875" customWidth="1"/>
    <col min="15" max="15" width="14.28515625" customWidth="1"/>
    <col min="16" max="16" width="11.5703125" customWidth="1"/>
    <col min="17" max="17" width="14.5703125" customWidth="1"/>
  </cols>
  <sheetData>
    <row r="1" spans="1:22" ht="18.75">
      <c r="C1" s="16"/>
      <c r="D1" s="16"/>
      <c r="E1" s="16"/>
      <c r="F1" s="17" t="s">
        <v>224</v>
      </c>
      <c r="G1" s="17"/>
      <c r="H1" s="17"/>
      <c r="I1" s="17"/>
      <c r="J1" s="17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</row>
    <row r="6" spans="1:22">
      <c r="A6" s="283" t="s">
        <v>225</v>
      </c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5"/>
    </row>
    <row r="7" spans="1:22" ht="14.25" customHeight="1">
      <c r="A7" s="19"/>
      <c r="B7" s="297" t="s">
        <v>155</v>
      </c>
      <c r="C7" s="298"/>
      <c r="D7" s="299"/>
      <c r="E7" s="297" t="s">
        <v>226</v>
      </c>
      <c r="F7" s="298"/>
      <c r="G7" s="299"/>
      <c r="H7" s="300" t="s">
        <v>227</v>
      </c>
      <c r="I7" s="301"/>
      <c r="J7" s="302"/>
      <c r="K7" s="280" t="s">
        <v>156</v>
      </c>
      <c r="M7" s="282" t="s">
        <v>3</v>
      </c>
      <c r="N7" s="282"/>
      <c r="O7" s="282"/>
      <c r="P7" s="282"/>
      <c r="Q7" s="282"/>
    </row>
    <row r="8" spans="1:22" ht="14.25" customHeight="1">
      <c r="A8" s="286" t="s">
        <v>157</v>
      </c>
      <c r="B8" s="294" t="s">
        <v>228</v>
      </c>
      <c r="C8" s="295"/>
      <c r="D8" s="296"/>
      <c r="E8" s="294" t="s">
        <v>229</v>
      </c>
      <c r="F8" s="295"/>
      <c r="G8" s="296"/>
      <c r="H8" s="272" t="s">
        <v>230</v>
      </c>
      <c r="I8" s="273"/>
      <c r="J8" s="274"/>
      <c r="K8" s="280"/>
      <c r="M8" s="12"/>
      <c r="N8" s="12"/>
      <c r="O8" s="12"/>
      <c r="P8" s="12"/>
      <c r="Q8" s="12"/>
    </row>
    <row r="9" spans="1:22" ht="117" customHeight="1">
      <c r="A9" s="287"/>
      <c r="B9" s="275"/>
      <c r="C9" s="276"/>
      <c r="D9" s="277"/>
      <c r="E9" s="275"/>
      <c r="F9" s="276"/>
      <c r="G9" s="277"/>
      <c r="H9" s="275"/>
      <c r="I9" s="276"/>
      <c r="J9" s="277"/>
      <c r="K9" s="280"/>
      <c r="M9" s="12"/>
      <c r="N9" s="12"/>
      <c r="O9" s="12"/>
      <c r="P9" s="12"/>
      <c r="Q9" s="12"/>
    </row>
    <row r="10" spans="1:22" ht="56.25" customHeight="1">
      <c r="A10" s="21" t="s">
        <v>161</v>
      </c>
      <c r="B10" s="20" t="s">
        <v>162</v>
      </c>
      <c r="C10" s="9" t="s">
        <v>163</v>
      </c>
      <c r="D10" s="19" t="s">
        <v>164</v>
      </c>
      <c r="E10" s="20" t="s">
        <v>162</v>
      </c>
      <c r="F10" s="9" t="s">
        <v>163</v>
      </c>
      <c r="G10" s="19" t="s">
        <v>164</v>
      </c>
      <c r="H10" s="20" t="s">
        <v>162</v>
      </c>
      <c r="I10" s="9" t="s">
        <v>163</v>
      </c>
      <c r="J10" s="19" t="s">
        <v>164</v>
      </c>
      <c r="K10" s="281"/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</row>
    <row r="11" spans="1:22">
      <c r="A11" s="278" t="s">
        <v>231</v>
      </c>
      <c r="B11" s="324">
        <v>10278</v>
      </c>
      <c r="C11" s="264">
        <f>'FRETE 60000 BTU   '!L9</f>
        <v>337.84666666666669</v>
      </c>
      <c r="D11" s="264">
        <f>SUM(B11,C11)</f>
        <v>10615.846666666666</v>
      </c>
      <c r="E11" s="264">
        <v>11590</v>
      </c>
      <c r="F11" s="267">
        <f>C11</f>
        <v>337.84666666666669</v>
      </c>
      <c r="G11" s="261">
        <f>SUM(E11,F11)</f>
        <v>11927.846666666666</v>
      </c>
      <c r="H11" s="264">
        <v>12059</v>
      </c>
      <c r="I11" s="267">
        <f>F11</f>
        <v>337.84666666666669</v>
      </c>
      <c r="J11" s="261">
        <f>SUM(H11,I11)</f>
        <v>12396.846666666666</v>
      </c>
      <c r="K11" s="270">
        <v>45684</v>
      </c>
      <c r="M11" s="230">
        <f>_xlfn.STDEV.S(D11,G11,J11)</f>
        <v>923.15275009068785</v>
      </c>
      <c r="N11" s="257">
        <f>(M11/K16)*100</f>
        <v>7.9262033450887239</v>
      </c>
      <c r="O11" s="230">
        <f>K16+M11</f>
        <v>12569.999416757355</v>
      </c>
      <c r="P11" s="230">
        <f>K16-M11</f>
        <v>10723.693916575978</v>
      </c>
      <c r="Q11" s="8">
        <f>G11</f>
        <v>11927.846666666666</v>
      </c>
    </row>
    <row r="12" spans="1:22" ht="14.25" customHeight="1">
      <c r="A12" s="279"/>
      <c r="B12" s="325"/>
      <c r="C12" s="265"/>
      <c r="D12" s="265"/>
      <c r="E12" s="265"/>
      <c r="F12" s="268"/>
      <c r="G12" s="262"/>
      <c r="H12" s="265"/>
      <c r="I12" s="268"/>
      <c r="J12" s="262"/>
      <c r="K12" s="271"/>
      <c r="M12" s="231"/>
      <c r="N12" s="258"/>
      <c r="O12" s="231"/>
      <c r="P12" s="231"/>
      <c r="Q12" s="8">
        <f>J11</f>
        <v>12396.846666666666</v>
      </c>
    </row>
    <row r="13" spans="1:22">
      <c r="A13" s="279"/>
      <c r="B13" s="325"/>
      <c r="C13" s="265"/>
      <c r="D13" s="265"/>
      <c r="E13" s="265"/>
      <c r="F13" s="268"/>
      <c r="G13" s="262"/>
      <c r="H13" s="265"/>
      <c r="I13" s="268"/>
      <c r="J13" s="262"/>
      <c r="K13" s="271"/>
      <c r="M13" s="231"/>
      <c r="N13" s="258"/>
      <c r="O13" s="231"/>
      <c r="P13" s="231"/>
      <c r="Q13" s="8"/>
    </row>
    <row r="14" spans="1:22">
      <c r="A14" s="279"/>
      <c r="B14" s="325"/>
      <c r="C14" s="265"/>
      <c r="D14" s="265"/>
      <c r="E14" s="265"/>
      <c r="F14" s="268"/>
      <c r="G14" s="262"/>
      <c r="H14" s="265"/>
      <c r="I14" s="268"/>
      <c r="J14" s="262"/>
      <c r="K14" s="271"/>
      <c r="M14" s="231"/>
      <c r="N14" s="258"/>
      <c r="O14" s="231"/>
      <c r="P14" s="231"/>
      <c r="Q14" s="8"/>
    </row>
    <row r="15" spans="1:22">
      <c r="A15" s="305"/>
      <c r="B15" s="326"/>
      <c r="C15" s="266"/>
      <c r="D15" s="266"/>
      <c r="E15" s="266"/>
      <c r="F15" s="269"/>
      <c r="G15" s="263"/>
      <c r="H15" s="266"/>
      <c r="I15" s="269"/>
      <c r="J15" s="263"/>
      <c r="K15" s="271"/>
      <c r="M15" s="235"/>
      <c r="N15" s="259"/>
      <c r="O15" s="235"/>
      <c r="P15" s="235"/>
      <c r="Q15" s="8"/>
    </row>
    <row r="16" spans="1:22">
      <c r="A16" s="260"/>
      <c r="B16" s="260"/>
      <c r="C16" s="260"/>
      <c r="D16" s="260"/>
      <c r="E16" s="260"/>
      <c r="F16" s="260"/>
      <c r="G16" s="11"/>
      <c r="H16" s="11"/>
      <c r="I16" s="11"/>
      <c r="J16" s="11" t="s">
        <v>167</v>
      </c>
      <c r="K16" s="27">
        <f>AVERAGE(D11,G11,J11)</f>
        <v>11646.846666666666</v>
      </c>
      <c r="L16" s="15"/>
      <c r="M16" s="227" t="s">
        <v>16</v>
      </c>
      <c r="N16" s="227"/>
      <c r="O16" s="227"/>
      <c r="P16" s="227"/>
      <c r="Q16" s="2">
        <f>AVERAGE(Q11:Q15)</f>
        <v>12162.346666666666</v>
      </c>
    </row>
    <row r="24" spans="1:17">
      <c r="A24" s="283" t="s">
        <v>168</v>
      </c>
      <c r="B24" s="284"/>
      <c r="C24" s="284"/>
      <c r="D24" s="284"/>
      <c r="E24" s="284"/>
      <c r="F24" s="284"/>
      <c r="G24" s="284"/>
      <c r="H24" s="284"/>
      <c r="I24" s="284"/>
      <c r="J24" s="284"/>
      <c r="K24" s="284"/>
      <c r="L24" s="284"/>
      <c r="M24" s="284"/>
      <c r="N24" s="284"/>
      <c r="O24" s="284"/>
      <c r="P24" s="284"/>
      <c r="Q24" s="285"/>
    </row>
    <row r="25" spans="1:17" ht="15" customHeight="1">
      <c r="A25" s="19"/>
      <c r="B25" s="297" t="s">
        <v>155</v>
      </c>
      <c r="C25" s="298"/>
      <c r="D25" s="299"/>
      <c r="E25" s="297" t="s">
        <v>226</v>
      </c>
      <c r="F25" s="298"/>
      <c r="G25" s="299"/>
      <c r="H25" s="300" t="s">
        <v>227</v>
      </c>
      <c r="I25" s="301"/>
      <c r="J25" s="302"/>
      <c r="K25" s="280" t="s">
        <v>156</v>
      </c>
      <c r="M25" s="282" t="s">
        <v>3</v>
      </c>
      <c r="N25" s="282"/>
      <c r="O25" s="282"/>
      <c r="P25" s="282"/>
      <c r="Q25" s="282"/>
    </row>
    <row r="26" spans="1:17">
      <c r="A26" s="286" t="s">
        <v>157</v>
      </c>
      <c r="B26" s="294" t="s">
        <v>228</v>
      </c>
      <c r="C26" s="295"/>
      <c r="D26" s="296"/>
      <c r="E26" s="294" t="s">
        <v>229</v>
      </c>
      <c r="F26" s="295"/>
      <c r="G26" s="296"/>
      <c r="H26" s="272" t="s">
        <v>230</v>
      </c>
      <c r="I26" s="273"/>
      <c r="J26" s="274"/>
      <c r="K26" s="280"/>
      <c r="M26" s="12"/>
      <c r="N26" s="12"/>
      <c r="O26" s="12"/>
      <c r="P26" s="12"/>
      <c r="Q26" s="12"/>
    </row>
    <row r="27" spans="1:17" ht="117" customHeight="1">
      <c r="A27" s="287"/>
      <c r="B27" s="275"/>
      <c r="C27" s="276"/>
      <c r="D27" s="277"/>
      <c r="E27" s="275"/>
      <c r="F27" s="276"/>
      <c r="G27" s="277"/>
      <c r="H27" s="275"/>
      <c r="I27" s="276"/>
      <c r="J27" s="277"/>
      <c r="K27" s="280"/>
      <c r="M27" s="12"/>
      <c r="N27" s="12"/>
      <c r="O27" s="12"/>
      <c r="P27" s="12"/>
      <c r="Q27" s="12"/>
    </row>
    <row r="28" spans="1:17" ht="45">
      <c r="A28" s="21" t="s">
        <v>161</v>
      </c>
      <c r="B28" s="20" t="s">
        <v>162</v>
      </c>
      <c r="C28" s="9" t="s">
        <v>163</v>
      </c>
      <c r="D28" s="19" t="s">
        <v>164</v>
      </c>
      <c r="E28" s="20" t="s">
        <v>162</v>
      </c>
      <c r="F28" s="9" t="s">
        <v>163</v>
      </c>
      <c r="G28" s="19" t="s">
        <v>164</v>
      </c>
      <c r="H28" s="20" t="s">
        <v>162</v>
      </c>
      <c r="I28" s="9" t="s">
        <v>163</v>
      </c>
      <c r="J28" s="19" t="s">
        <v>164</v>
      </c>
      <c r="K28" s="281"/>
      <c r="M28" s="1" t="s">
        <v>12</v>
      </c>
      <c r="N28" s="1" t="s">
        <v>13</v>
      </c>
      <c r="O28" s="1" t="s">
        <v>14</v>
      </c>
      <c r="P28" s="1" t="s">
        <v>15</v>
      </c>
      <c r="Q28" s="1" t="s">
        <v>16</v>
      </c>
    </row>
    <row r="29" spans="1:17">
      <c r="A29" s="278" t="s">
        <v>169</v>
      </c>
      <c r="B29" s="324">
        <v>10278</v>
      </c>
      <c r="C29" s="264">
        <f>'FRETE 60000 BTU   '!L19</f>
        <v>395.51333333333332</v>
      </c>
      <c r="D29" s="264">
        <f>SUM(B29,C29)</f>
        <v>10673.513333333332</v>
      </c>
      <c r="E29" s="264">
        <v>11590</v>
      </c>
      <c r="F29" s="267">
        <f>C29</f>
        <v>395.51333333333332</v>
      </c>
      <c r="G29" s="261">
        <f>SUM(E29,F29)</f>
        <v>11985.513333333332</v>
      </c>
      <c r="H29" s="264">
        <v>12059</v>
      </c>
      <c r="I29" s="267">
        <f>F29</f>
        <v>395.51333333333332</v>
      </c>
      <c r="J29" s="261">
        <f>SUM(H29,I29)</f>
        <v>12454.513333333332</v>
      </c>
      <c r="K29" s="270">
        <v>45684</v>
      </c>
      <c r="M29" s="230">
        <f>_xlfn.STDEV.S(D29,G29,J29)</f>
        <v>923.15275009068785</v>
      </c>
      <c r="N29" s="257">
        <f>(M29/K34)*100</f>
        <v>7.8871519370364362</v>
      </c>
      <c r="O29" s="230">
        <f>K34+M29</f>
        <v>12627.666083424019</v>
      </c>
      <c r="P29" s="230">
        <f>K34-M29</f>
        <v>10781.360583242642</v>
      </c>
      <c r="Q29" s="8">
        <f>G29</f>
        <v>11985.513333333332</v>
      </c>
    </row>
    <row r="30" spans="1:17">
      <c r="A30" s="279"/>
      <c r="B30" s="325"/>
      <c r="C30" s="265"/>
      <c r="D30" s="265"/>
      <c r="E30" s="265"/>
      <c r="F30" s="268"/>
      <c r="G30" s="262"/>
      <c r="H30" s="265"/>
      <c r="I30" s="268"/>
      <c r="J30" s="262"/>
      <c r="K30" s="271"/>
      <c r="M30" s="231"/>
      <c r="N30" s="258"/>
      <c r="O30" s="231"/>
      <c r="P30" s="231"/>
      <c r="Q30" s="8">
        <f>J29</f>
        <v>12454.513333333332</v>
      </c>
    </row>
    <row r="31" spans="1:17">
      <c r="A31" s="279"/>
      <c r="B31" s="325"/>
      <c r="C31" s="265"/>
      <c r="D31" s="265"/>
      <c r="E31" s="265"/>
      <c r="F31" s="268"/>
      <c r="G31" s="262"/>
      <c r="H31" s="265"/>
      <c r="I31" s="268"/>
      <c r="J31" s="262"/>
      <c r="K31" s="271"/>
      <c r="M31" s="231"/>
      <c r="N31" s="258"/>
      <c r="O31" s="231"/>
      <c r="P31" s="231"/>
      <c r="Q31" s="8"/>
    </row>
    <row r="32" spans="1:17">
      <c r="A32" s="279"/>
      <c r="B32" s="325"/>
      <c r="C32" s="265"/>
      <c r="D32" s="265"/>
      <c r="E32" s="265"/>
      <c r="F32" s="268"/>
      <c r="G32" s="262"/>
      <c r="H32" s="265"/>
      <c r="I32" s="268"/>
      <c r="J32" s="262"/>
      <c r="K32" s="271"/>
      <c r="M32" s="231"/>
      <c r="N32" s="258"/>
      <c r="O32" s="231"/>
      <c r="P32" s="231"/>
      <c r="Q32" s="8"/>
    </row>
    <row r="33" spans="1:17">
      <c r="A33" s="305"/>
      <c r="B33" s="326"/>
      <c r="C33" s="266"/>
      <c r="D33" s="266"/>
      <c r="E33" s="266"/>
      <c r="F33" s="269"/>
      <c r="G33" s="263"/>
      <c r="H33" s="266"/>
      <c r="I33" s="269"/>
      <c r="J33" s="263"/>
      <c r="K33" s="271"/>
      <c r="M33" s="235"/>
      <c r="N33" s="259"/>
      <c r="O33" s="235"/>
      <c r="P33" s="235"/>
      <c r="Q33" s="8"/>
    </row>
    <row r="34" spans="1:17">
      <c r="A34" s="260"/>
      <c r="B34" s="260"/>
      <c r="C34" s="260"/>
      <c r="D34" s="260"/>
      <c r="E34" s="260"/>
      <c r="F34" s="260"/>
      <c r="G34" s="11"/>
      <c r="H34" s="11"/>
      <c r="I34" s="11"/>
      <c r="J34" s="11" t="s">
        <v>167</v>
      </c>
      <c r="K34" s="27">
        <f>AVERAGE(D29,G29,J29)</f>
        <v>11704.513333333331</v>
      </c>
      <c r="L34" s="15"/>
      <c r="M34" s="227" t="s">
        <v>16</v>
      </c>
      <c r="N34" s="227"/>
      <c r="O34" s="227"/>
      <c r="P34" s="227"/>
      <c r="Q34" s="2">
        <f>AVERAGE(Q29:Q33)</f>
        <v>12220.013333333332</v>
      </c>
    </row>
    <row r="38" spans="1:17">
      <c r="A38" s="283" t="s">
        <v>171</v>
      </c>
      <c r="B38" s="284"/>
      <c r="C38" s="284"/>
      <c r="D38" s="284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4"/>
      <c r="P38" s="284"/>
      <c r="Q38" s="285"/>
    </row>
    <row r="39" spans="1:17" ht="15" customHeight="1">
      <c r="A39" s="19"/>
      <c r="B39" s="297" t="s">
        <v>155</v>
      </c>
      <c r="C39" s="298"/>
      <c r="D39" s="299"/>
      <c r="E39" s="297" t="s">
        <v>226</v>
      </c>
      <c r="F39" s="298"/>
      <c r="G39" s="299"/>
      <c r="H39" s="300" t="s">
        <v>227</v>
      </c>
      <c r="I39" s="301"/>
      <c r="J39" s="302"/>
      <c r="K39" s="280" t="s">
        <v>156</v>
      </c>
      <c r="M39" s="282" t="s">
        <v>3</v>
      </c>
      <c r="N39" s="282"/>
      <c r="O39" s="282"/>
      <c r="P39" s="282"/>
      <c r="Q39" s="282"/>
    </row>
    <row r="40" spans="1:17">
      <c r="A40" s="286" t="s">
        <v>157</v>
      </c>
      <c r="B40" s="294" t="s">
        <v>228</v>
      </c>
      <c r="C40" s="295"/>
      <c r="D40" s="296"/>
      <c r="E40" s="294" t="s">
        <v>229</v>
      </c>
      <c r="F40" s="295"/>
      <c r="G40" s="296"/>
      <c r="H40" s="272" t="s">
        <v>230</v>
      </c>
      <c r="I40" s="273"/>
      <c r="J40" s="274"/>
      <c r="K40" s="280"/>
      <c r="M40" s="12"/>
      <c r="N40" s="12"/>
      <c r="O40" s="12"/>
      <c r="P40" s="12"/>
      <c r="Q40" s="12"/>
    </row>
    <row r="41" spans="1:17" ht="112.5" customHeight="1">
      <c r="A41" s="287"/>
      <c r="B41" s="275"/>
      <c r="C41" s="276"/>
      <c r="D41" s="277"/>
      <c r="E41" s="275"/>
      <c r="F41" s="276"/>
      <c r="G41" s="277"/>
      <c r="H41" s="275"/>
      <c r="I41" s="276"/>
      <c r="J41" s="277"/>
      <c r="K41" s="280"/>
      <c r="M41" s="12"/>
      <c r="N41" s="12"/>
      <c r="O41" s="12"/>
      <c r="P41" s="12"/>
      <c r="Q41" s="12"/>
    </row>
    <row r="42" spans="1:17" ht="45">
      <c r="A42" s="21" t="s">
        <v>161</v>
      </c>
      <c r="B42" s="20" t="s">
        <v>162</v>
      </c>
      <c r="C42" s="9" t="s">
        <v>163</v>
      </c>
      <c r="D42" s="19" t="s">
        <v>164</v>
      </c>
      <c r="E42" s="20" t="s">
        <v>162</v>
      </c>
      <c r="F42" s="9" t="s">
        <v>163</v>
      </c>
      <c r="G42" s="19" t="s">
        <v>164</v>
      </c>
      <c r="H42" s="20" t="s">
        <v>162</v>
      </c>
      <c r="I42" s="9" t="s">
        <v>163</v>
      </c>
      <c r="J42" s="19" t="s">
        <v>164</v>
      </c>
      <c r="K42" s="281"/>
      <c r="M42" s="1" t="s">
        <v>12</v>
      </c>
      <c r="N42" s="1" t="s">
        <v>13</v>
      </c>
      <c r="O42" s="1" t="s">
        <v>14</v>
      </c>
      <c r="P42" s="1" t="s">
        <v>15</v>
      </c>
      <c r="Q42" s="1" t="s">
        <v>16</v>
      </c>
    </row>
    <row r="43" spans="1:17">
      <c r="A43" s="318" t="s">
        <v>172</v>
      </c>
      <c r="B43" s="324">
        <v>10278</v>
      </c>
      <c r="C43" s="264">
        <f>'FRETE 60000 BTU   '!L28</f>
        <v>566.33333333333337</v>
      </c>
      <c r="D43" s="264">
        <f>SUM(B43,C43)</f>
        <v>10844.333333333334</v>
      </c>
      <c r="E43" s="264">
        <v>11590</v>
      </c>
      <c r="F43" s="267">
        <f>C43</f>
        <v>566.33333333333337</v>
      </c>
      <c r="G43" s="261">
        <f>SUM(E43,F43)</f>
        <v>12156.333333333334</v>
      </c>
      <c r="H43" s="264">
        <v>12059</v>
      </c>
      <c r="I43" s="267">
        <f>F43</f>
        <v>566.33333333333337</v>
      </c>
      <c r="J43" s="261">
        <f>SUM(H43,I43)</f>
        <v>12625.333333333334</v>
      </c>
      <c r="K43" s="270">
        <v>45684</v>
      </c>
      <c r="M43" s="230">
        <f>_xlfn.STDEV.S(D43,G43,J43)</f>
        <v>923.15275009068785</v>
      </c>
      <c r="N43" s="257">
        <f>(M43/K48)*100</f>
        <v>7.7736996863865242</v>
      </c>
      <c r="O43" s="230">
        <f>K48+M43</f>
        <v>12798.486083424023</v>
      </c>
      <c r="P43" s="230">
        <f>K48-M43</f>
        <v>10952.180583242645</v>
      </c>
      <c r="Q43" s="8">
        <f>G43</f>
        <v>12156.333333333334</v>
      </c>
    </row>
    <row r="44" spans="1:17">
      <c r="A44" s="319"/>
      <c r="B44" s="325"/>
      <c r="C44" s="265"/>
      <c r="D44" s="265"/>
      <c r="E44" s="265"/>
      <c r="F44" s="268"/>
      <c r="G44" s="262"/>
      <c r="H44" s="265"/>
      <c r="I44" s="268"/>
      <c r="J44" s="262"/>
      <c r="K44" s="271"/>
      <c r="M44" s="231"/>
      <c r="N44" s="258"/>
      <c r="O44" s="231"/>
      <c r="P44" s="231"/>
      <c r="Q44" s="8">
        <f>J43</f>
        <v>12625.333333333334</v>
      </c>
    </row>
    <row r="45" spans="1:17">
      <c r="A45" s="319"/>
      <c r="B45" s="325"/>
      <c r="C45" s="265"/>
      <c r="D45" s="265"/>
      <c r="E45" s="265"/>
      <c r="F45" s="268"/>
      <c r="G45" s="262"/>
      <c r="H45" s="265"/>
      <c r="I45" s="268"/>
      <c r="J45" s="262"/>
      <c r="K45" s="271"/>
      <c r="M45" s="231"/>
      <c r="N45" s="258"/>
      <c r="O45" s="231"/>
      <c r="P45" s="231"/>
      <c r="Q45" s="8"/>
    </row>
    <row r="46" spans="1:17">
      <c r="A46" s="319"/>
      <c r="B46" s="325"/>
      <c r="C46" s="265"/>
      <c r="D46" s="265"/>
      <c r="E46" s="265"/>
      <c r="F46" s="268"/>
      <c r="G46" s="262"/>
      <c r="H46" s="265"/>
      <c r="I46" s="268"/>
      <c r="J46" s="262"/>
      <c r="K46" s="271"/>
      <c r="M46" s="231"/>
      <c r="N46" s="258"/>
      <c r="O46" s="231"/>
      <c r="P46" s="231"/>
      <c r="Q46" s="8"/>
    </row>
    <row r="47" spans="1:17">
      <c r="A47" s="320"/>
      <c r="B47" s="326"/>
      <c r="C47" s="266"/>
      <c r="D47" s="266"/>
      <c r="E47" s="266"/>
      <c r="F47" s="269"/>
      <c r="G47" s="263"/>
      <c r="H47" s="266"/>
      <c r="I47" s="269"/>
      <c r="J47" s="263"/>
      <c r="K47" s="271"/>
      <c r="M47" s="235"/>
      <c r="N47" s="259"/>
      <c r="O47" s="235"/>
      <c r="P47" s="235"/>
      <c r="Q47" s="8"/>
    </row>
    <row r="48" spans="1:17">
      <c r="A48" s="260"/>
      <c r="B48" s="260"/>
      <c r="C48" s="260"/>
      <c r="D48" s="260"/>
      <c r="E48" s="260"/>
      <c r="F48" s="260"/>
      <c r="G48" s="11"/>
      <c r="H48" s="11"/>
      <c r="I48" s="11"/>
      <c r="J48" s="11" t="s">
        <v>167</v>
      </c>
      <c r="K48" s="27">
        <f>AVERAGE(D43,G43,J43)</f>
        <v>11875.333333333334</v>
      </c>
      <c r="L48" s="15"/>
      <c r="M48" s="227" t="s">
        <v>16</v>
      </c>
      <c r="N48" s="227"/>
      <c r="O48" s="227"/>
      <c r="P48" s="227"/>
      <c r="Q48" s="2">
        <f>AVERAGE(Q43:Q47)</f>
        <v>12390.833333333334</v>
      </c>
    </row>
  </sheetData>
  <mergeCells count="82">
    <mergeCell ref="K1:V1"/>
    <mergeCell ref="A6:Q6"/>
    <mergeCell ref="B7:D7"/>
    <mergeCell ref="E7:G7"/>
    <mergeCell ref="H7:J7"/>
    <mergeCell ref="K7:K10"/>
    <mergeCell ref="M7:Q7"/>
    <mergeCell ref="A8:A9"/>
    <mergeCell ref="B8:D9"/>
    <mergeCell ref="E8:G9"/>
    <mergeCell ref="H8:J9"/>
    <mergeCell ref="F11:F15"/>
    <mergeCell ref="G11:G15"/>
    <mergeCell ref="H11:H15"/>
    <mergeCell ref="I11:I15"/>
    <mergeCell ref="A16:F16"/>
    <mergeCell ref="A11:A15"/>
    <mergeCell ref="B11:B15"/>
    <mergeCell ref="C11:C15"/>
    <mergeCell ref="D11:D15"/>
    <mergeCell ref="E11:E15"/>
    <mergeCell ref="M16:P16"/>
    <mergeCell ref="J11:J15"/>
    <mergeCell ref="K11:K15"/>
    <mergeCell ref="M11:M15"/>
    <mergeCell ref="N11:N15"/>
    <mergeCell ref="O11:O15"/>
    <mergeCell ref="P11:P15"/>
    <mergeCell ref="A24:Q24"/>
    <mergeCell ref="B25:D25"/>
    <mergeCell ref="E25:G25"/>
    <mergeCell ref="H25:J25"/>
    <mergeCell ref="K25:K28"/>
    <mergeCell ref="M25:Q25"/>
    <mergeCell ref="A26:A27"/>
    <mergeCell ref="B26:D27"/>
    <mergeCell ref="E26:G27"/>
    <mergeCell ref="H26:J27"/>
    <mergeCell ref="A29:A33"/>
    <mergeCell ref="B29:B33"/>
    <mergeCell ref="C29:C33"/>
    <mergeCell ref="D29:D33"/>
    <mergeCell ref="E29:E33"/>
    <mergeCell ref="F29:F33"/>
    <mergeCell ref="G29:G33"/>
    <mergeCell ref="B39:D39"/>
    <mergeCell ref="E39:G39"/>
    <mergeCell ref="H39:J39"/>
    <mergeCell ref="K39:K42"/>
    <mergeCell ref="M39:Q39"/>
    <mergeCell ref="O29:O33"/>
    <mergeCell ref="P29:P33"/>
    <mergeCell ref="A34:F34"/>
    <mergeCell ref="M34:P34"/>
    <mergeCell ref="A38:Q38"/>
    <mergeCell ref="H29:H33"/>
    <mergeCell ref="I29:I33"/>
    <mergeCell ref="J29:J33"/>
    <mergeCell ref="K29:K33"/>
    <mergeCell ref="M29:M33"/>
    <mergeCell ref="N29:N33"/>
    <mergeCell ref="A40:A41"/>
    <mergeCell ref="B40:D41"/>
    <mergeCell ref="E40:G41"/>
    <mergeCell ref="H40:J41"/>
    <mergeCell ref="A43:A47"/>
    <mergeCell ref="B43:B47"/>
    <mergeCell ref="C43:C47"/>
    <mergeCell ref="D43:D47"/>
    <mergeCell ref="E43:E47"/>
    <mergeCell ref="F43:F47"/>
    <mergeCell ref="N43:N47"/>
    <mergeCell ref="O43:O47"/>
    <mergeCell ref="P43:P47"/>
    <mergeCell ref="A48:F48"/>
    <mergeCell ref="M48:P48"/>
    <mergeCell ref="G43:G47"/>
    <mergeCell ref="H43:H47"/>
    <mergeCell ref="I43:I47"/>
    <mergeCell ref="J43:J47"/>
    <mergeCell ref="K43:K47"/>
    <mergeCell ref="M43:M47"/>
  </mergeCells>
  <hyperlinks>
    <hyperlink ref="B8:D9" r:id="rId1" display="https://www.carrefour.com.br/ar-condicionado-split-teto-carrier-xperience-60000-btu-h-frio-trifasico-42zqb60c5-220-volts-mp936647752/p?utm_medium=sem&amp;utm_source=google_pmax_3p&amp;utm_campaign=3p_performancemax_todos_os_produtos&amp;gad_source=1&amp;gclid=CjwKCAiA-ty8BhA_EiwAkyoa34M8-GUFNaVIVRTj6_D7nkGFlhpoKGHFsyd5leUv_yA3oxeJHJwEhxoC9d8QAvD_BwE" xr:uid="{A8E64079-603D-4053-9E66-5E3607DEC5FD}"/>
    <hyperlink ref="B26:D27" r:id="rId2" display="https://www.carrefour.com.br/ar-condicionado-split-teto-carrier-xperience-60000-btu-h-frio-trifasico-42zqb60c5-220-volts-mp936647752/p?utm_medium=sem&amp;utm_source=google_pmax_3p&amp;utm_campaign=3p_performancemax_todos_os_produtos&amp;gad_source=1&amp;gclid=CjwKCAiA-ty8BhA_EiwAkyoa34M8-GUFNaVIVRTj6_D7nkGFlhpoKGHFsyd5leUv_yA3oxeJHJwEhxoC9d8QAvD_BwE" xr:uid="{F7A7C080-CE8D-45DF-A039-61CE6043977B}"/>
    <hyperlink ref="B40:D41" r:id="rId3" display="https://www.carrefour.com.br/ar-condicionado-split-teto-carrier-xperience-60000-btu-h-frio-trifasico-42zqb60c5-220-volts-mp936647752/p?utm_medium=sem&amp;utm_source=google_pmax_3p&amp;utm_campaign=3p_performancemax_todos_os_produtos&amp;gad_source=1&amp;gclid=CjwKCAiA-ty8BhA_EiwAkyoa34M8-GUFNaVIVRTj6_D7nkGFlhpoKGHFsyd5leUv_yA3oxeJHJwEhxoC9d8QAvD_BwE" xr:uid="{B00F097A-1459-4740-8C98-2C8E523C24B4}"/>
    <hyperlink ref="E8:G9" r:id="rId4" display="https://www.magazineluiza.com.br/ar-condicionado-split-inverter-piso-teto-60000-btus-philco-so-frio-pac60000ipfm15-220v/p/fkg0ff68c0/ar/aciv/?seller_id=arprixdistribuidora&amp;region_id=123481&amp;utm_source=google&amp;utm_medium=cpc&amp;utm_term=76911&amp;utm_campaign=google_eco_per_ven_pla_arp_sor_3p_ar-b&amp;utm_content=&amp;partner_id=76911&amp;gclsrc=aw.ds&amp;gad_source=1&amp;gclid=CjwKCAiA-ty8BhA_EiwAkyoa36XwiJoSPpNJDwETqHpw-ljPYSNOXuegPY66KrO7pHJ065bBc2bIDxoCsOEQAvD_BwE" xr:uid="{78E10E98-50DB-43BC-A81A-B95ACEF33F05}"/>
    <hyperlink ref="E26:G27" r:id="rId5" display="https://www.magazineluiza.com.br/ar-condicionado-split-inverter-piso-teto-60000-btus-philco-so-frio-pac60000ipfm15-220v/p/fkg0ff68c0/ar/aciv/?seller_id=arprixdistribuidora&amp;region_id=123481&amp;utm_source=google&amp;utm_medium=cpc&amp;utm_term=76911&amp;utm_campaign=google_eco_per_ven_pla_arp_sor_3p_ar-b&amp;utm_content=&amp;partner_id=76911&amp;gclsrc=aw.ds&amp;gad_source=1&amp;gclid=CjwKCAiA-ty8BhA_EiwAkyoa36XwiJoSPpNJDwETqHpw-ljPYSNOXuegPY66KrO7pHJ065bBc2bIDxoCsOEQAvD_BwE" xr:uid="{1749F294-F242-4821-9093-391DAEAB2DA0}"/>
    <hyperlink ref="E40:G41" r:id="rId6" display="https://www.magazineluiza.com.br/ar-condicionado-split-inverter-piso-teto-60000-btus-philco-so-frio-pac60000ipfm15-220v/p/fkg0ff68c0/ar/aciv/?seller_id=arprixdistribuidora&amp;region_id=123481&amp;utm_source=google&amp;utm_medium=cpc&amp;utm_term=76911&amp;utm_campaign=google_eco_per_ven_pla_arp_sor_3p_ar-b&amp;utm_content=&amp;partner_id=76911&amp;gclsrc=aw.ds&amp;gad_source=1&amp;gclid=CjwKCAiA-ty8BhA_EiwAkyoa36XwiJoSPpNJDwETqHpw-ljPYSNOXuegPY66KrO7pHJ065bBc2bIDxoCsOEQAvD_BwE" xr:uid="{50E7CF45-CB8C-4B78-89EB-09E0E306C59C}"/>
    <hyperlink ref="H8:J9" r:id="rId7" display="https://www.americanas.com.br/produto/7504190682/ar-condicionado-split-piso-teto-inverter-gree-60000-btus-frio-g-prime-plus-220v-monofasico?pfm_carac=ar-condicionado-60000-btus&amp;pfm_index=19&amp;pfm_page=search&amp;pfm_pos=grid&amp;pfm_type=search_page&amp;offerId=66c33d92f85575c5699c8175&amp;cor=Branco&amp;voltagem=220V&amp;condition=NEW" xr:uid="{D34796BA-3240-454D-B86E-AADAED0C5575}"/>
    <hyperlink ref="H26:J27" r:id="rId8" display="https://www.americanas.com.br/produto/7504190682/ar-condicionado-split-piso-teto-inverter-gree-60000-btus-frio-g-prime-plus-220v-monofasico?pfm_carac=ar-condicionado-60000-btus&amp;pfm_index=19&amp;pfm_page=search&amp;pfm_pos=grid&amp;pfm_type=search_page&amp;offerId=66c33d92f85575c5699c8175&amp;cor=Branco&amp;voltagem=220V&amp;condition=NEW" xr:uid="{C6E68F96-B768-4DED-AE79-6118F417F3DC}"/>
    <hyperlink ref="H40:J41" r:id="rId9" display="https://www.americanas.com.br/produto/7504190682/ar-condicionado-split-piso-teto-inverter-gree-60000-btus-frio-g-prime-plus-220v-monofasico?pfm_carac=ar-condicionado-60000-btus&amp;pfm_index=19&amp;pfm_page=search&amp;pfm_pos=grid&amp;pfm_type=search_page&amp;offerId=66c33d92f85575c5699c8175&amp;cor=Branco&amp;voltagem=220V&amp;condition=NEW" xr:uid="{36A5251F-B82D-4358-8D4F-31394D3A490F}"/>
  </hyperlink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66B84-1657-432C-9447-DD5069C6B03E}">
  <sheetPr>
    <tabColor rgb="FF00B050"/>
  </sheetPr>
  <dimension ref="A1:Q28"/>
  <sheetViews>
    <sheetView workbookViewId="0">
      <selection activeCell="E27" sqref="E27"/>
    </sheetView>
  </sheetViews>
  <sheetFormatPr defaultRowHeight="15"/>
  <cols>
    <col min="1" max="1" width="14.85546875" customWidth="1"/>
    <col min="2" max="2" width="13" customWidth="1"/>
    <col min="3" max="3" width="15.28515625" customWidth="1"/>
    <col min="4" max="5" width="29" customWidth="1"/>
    <col min="6" max="6" width="16.7109375" customWidth="1"/>
    <col min="9" max="9" width="11.85546875" customWidth="1"/>
  </cols>
  <sheetData>
    <row r="1" spans="1:17" ht="18.75">
      <c r="D1" s="17" t="s">
        <v>232</v>
      </c>
      <c r="E1" s="17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</row>
    <row r="6" spans="1:17">
      <c r="A6" s="306" t="s">
        <v>233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</row>
    <row r="7" spans="1:17">
      <c r="A7" s="282" t="s">
        <v>161</v>
      </c>
      <c r="B7" s="282" t="s">
        <v>175</v>
      </c>
      <c r="C7" s="13" t="s">
        <v>234</v>
      </c>
      <c r="D7" s="13" t="s">
        <v>235</v>
      </c>
      <c r="E7" s="18" t="s">
        <v>236</v>
      </c>
      <c r="F7" s="280" t="s">
        <v>176</v>
      </c>
      <c r="H7" s="282" t="s">
        <v>3</v>
      </c>
      <c r="I7" s="282"/>
      <c r="J7" s="282"/>
      <c r="K7" s="282"/>
      <c r="L7" s="282"/>
    </row>
    <row r="8" spans="1:17" ht="45">
      <c r="A8" s="229"/>
      <c r="B8" s="229"/>
      <c r="C8" s="9" t="s">
        <v>177</v>
      </c>
      <c r="D8" s="9" t="s">
        <v>177</v>
      </c>
      <c r="E8" s="9" t="s">
        <v>177</v>
      </c>
      <c r="F8" s="281"/>
      <c r="H8" s="1" t="s">
        <v>12</v>
      </c>
      <c r="I8" s="1" t="s">
        <v>13</v>
      </c>
      <c r="J8" s="1" t="s">
        <v>14</v>
      </c>
      <c r="K8" s="1" t="s">
        <v>15</v>
      </c>
      <c r="L8" s="1" t="s">
        <v>16</v>
      </c>
    </row>
    <row r="9" spans="1:17">
      <c r="A9" s="69" t="s">
        <v>231</v>
      </c>
      <c r="B9" s="10" t="s">
        <v>237</v>
      </c>
      <c r="C9" s="33">
        <v>179</v>
      </c>
      <c r="D9" s="33">
        <v>419.17</v>
      </c>
      <c r="E9" s="33">
        <v>415.37</v>
      </c>
      <c r="F9" s="8">
        <f>AVERAGE(C9:E9)</f>
        <v>337.84666666666669</v>
      </c>
      <c r="H9" s="67" t="e">
        <f>_xlfn.STDEV.S(F9:F9)</f>
        <v>#DIV/0!</v>
      </c>
      <c r="I9" s="68" t="e">
        <f>(H9/F10)*100</f>
        <v>#DIV/0!</v>
      </c>
      <c r="J9" s="67" t="e">
        <f>F10+H9</f>
        <v>#DIV/0!</v>
      </c>
      <c r="K9" s="67" t="e">
        <f>F10-H9</f>
        <v>#DIV/0!</v>
      </c>
      <c r="L9" s="8">
        <f>F9</f>
        <v>337.84666666666669</v>
      </c>
    </row>
    <row r="10" spans="1:17">
      <c r="A10" s="260" t="s">
        <v>166</v>
      </c>
      <c r="B10" s="260"/>
      <c r="C10" s="260"/>
      <c r="D10" s="260"/>
      <c r="E10" s="11"/>
      <c r="F10" s="6">
        <f>AVERAGE(F9:F9)</f>
        <v>337.84666666666669</v>
      </c>
      <c r="G10" s="15"/>
      <c r="H10" s="227" t="s">
        <v>16</v>
      </c>
      <c r="I10" s="227"/>
      <c r="J10" s="227"/>
      <c r="K10" s="227"/>
      <c r="L10" s="2">
        <f>AVERAGE(L9:L9)</f>
        <v>337.84666666666669</v>
      </c>
    </row>
    <row r="15" spans="1:17">
      <c r="A15" s="306" t="s">
        <v>179</v>
      </c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</row>
    <row r="16" spans="1:17">
      <c r="A16" s="282" t="s">
        <v>161</v>
      </c>
      <c r="B16" s="282" t="s">
        <v>175</v>
      </c>
      <c r="C16" s="13" t="s">
        <v>234</v>
      </c>
      <c r="D16" s="13" t="s">
        <v>235</v>
      </c>
      <c r="E16" s="18" t="s">
        <v>236</v>
      </c>
      <c r="F16" s="280" t="s">
        <v>176</v>
      </c>
      <c r="H16" s="282" t="s">
        <v>3</v>
      </c>
      <c r="I16" s="282"/>
      <c r="J16" s="282"/>
      <c r="K16" s="282"/>
      <c r="L16" s="282"/>
    </row>
    <row r="17" spans="1:12" ht="45">
      <c r="A17" s="229"/>
      <c r="B17" s="229"/>
      <c r="C17" s="9" t="s">
        <v>177</v>
      </c>
      <c r="D17" s="9" t="s">
        <v>177</v>
      </c>
      <c r="E17" s="9" t="s">
        <v>177</v>
      </c>
      <c r="F17" s="281"/>
      <c r="H17" s="1" t="s">
        <v>12</v>
      </c>
      <c r="I17" s="1" t="s">
        <v>13</v>
      </c>
      <c r="J17" s="1" t="s">
        <v>14</v>
      </c>
      <c r="K17" s="1" t="s">
        <v>15</v>
      </c>
      <c r="L17" s="1" t="s">
        <v>16</v>
      </c>
    </row>
    <row r="18" spans="1:12">
      <c r="A18" s="278" t="s">
        <v>169</v>
      </c>
      <c r="B18" s="10"/>
      <c r="C18" s="73"/>
      <c r="D18" s="73"/>
      <c r="E18" s="73"/>
      <c r="F18" s="8"/>
      <c r="H18" s="230" t="e">
        <f>_xlfn.STDEV.S(F18:F19)</f>
        <v>#DIV/0!</v>
      </c>
      <c r="I18" s="257" t="e">
        <f>(H18/F20)*100</f>
        <v>#DIV/0!</v>
      </c>
      <c r="J18" s="230" t="e">
        <f>F20+H18</f>
        <v>#DIV/0!</v>
      </c>
      <c r="K18" s="230" t="e">
        <f>F20-H18</f>
        <v>#DIV/0!</v>
      </c>
      <c r="L18" s="8"/>
    </row>
    <row r="19" spans="1:12">
      <c r="A19" s="305"/>
      <c r="B19" s="14" t="s">
        <v>198</v>
      </c>
      <c r="C19" s="35">
        <v>149.99</v>
      </c>
      <c r="D19" s="33">
        <v>621.17999999999995</v>
      </c>
      <c r="E19" s="35">
        <v>415.37</v>
      </c>
      <c r="F19" s="8">
        <f t="shared" ref="F19" si="0">AVERAGE(C19:E19)</f>
        <v>395.51333333333332</v>
      </c>
      <c r="H19" s="235"/>
      <c r="I19" s="259"/>
      <c r="J19" s="235"/>
      <c r="K19" s="235"/>
      <c r="L19" s="8">
        <f>F19</f>
        <v>395.51333333333332</v>
      </c>
    </row>
    <row r="20" spans="1:12">
      <c r="A20" s="260" t="s">
        <v>166</v>
      </c>
      <c r="B20" s="260"/>
      <c r="C20" s="260"/>
      <c r="D20" s="260"/>
      <c r="E20" s="11"/>
      <c r="F20" s="6">
        <f>AVERAGE(F18:F19)</f>
        <v>395.51333333333332</v>
      </c>
      <c r="G20" s="15"/>
      <c r="H20" s="227" t="s">
        <v>16</v>
      </c>
      <c r="I20" s="227"/>
      <c r="J20" s="227"/>
      <c r="K20" s="227"/>
      <c r="L20" s="2">
        <f>AVERAGE(L18:L19)</f>
        <v>395.51333333333332</v>
      </c>
    </row>
    <row r="24" spans="1:12">
      <c r="A24" s="306" t="s">
        <v>181</v>
      </c>
      <c r="B24" s="306"/>
      <c r="C24" s="306"/>
      <c r="D24" s="306"/>
      <c r="E24" s="306"/>
      <c r="F24" s="306"/>
      <c r="G24" s="306"/>
      <c r="H24" s="306"/>
      <c r="I24" s="306"/>
      <c r="J24" s="306"/>
      <c r="K24" s="306"/>
      <c r="L24" s="306"/>
    </row>
    <row r="25" spans="1:12">
      <c r="A25" s="282" t="s">
        <v>161</v>
      </c>
      <c r="B25" s="282" t="s">
        <v>175</v>
      </c>
      <c r="C25" s="13" t="s">
        <v>234</v>
      </c>
      <c r="D25" s="13" t="s">
        <v>235</v>
      </c>
      <c r="E25" s="18" t="s">
        <v>236</v>
      </c>
      <c r="F25" s="280" t="s">
        <v>176</v>
      </c>
      <c r="H25" s="282" t="s">
        <v>3</v>
      </c>
      <c r="I25" s="282"/>
      <c r="J25" s="282"/>
      <c r="K25" s="282"/>
      <c r="L25" s="282"/>
    </row>
    <row r="26" spans="1:12" ht="45">
      <c r="A26" s="229"/>
      <c r="B26" s="229"/>
      <c r="C26" s="9" t="s">
        <v>177</v>
      </c>
      <c r="D26" s="9" t="s">
        <v>177</v>
      </c>
      <c r="E26" s="9" t="s">
        <v>177</v>
      </c>
      <c r="F26" s="281"/>
      <c r="H26" s="1" t="s">
        <v>12</v>
      </c>
      <c r="I26" s="1" t="s">
        <v>13</v>
      </c>
      <c r="J26" s="1" t="s">
        <v>14</v>
      </c>
      <c r="K26" s="1" t="s">
        <v>15</v>
      </c>
      <c r="L26" s="1" t="s">
        <v>16</v>
      </c>
    </row>
    <row r="27" spans="1:12">
      <c r="A27" s="69" t="s">
        <v>172</v>
      </c>
      <c r="B27" s="10" t="s">
        <v>199</v>
      </c>
      <c r="C27" s="33">
        <v>139.99</v>
      </c>
      <c r="D27" s="33">
        <v>1143.6400000000001</v>
      </c>
      <c r="E27" s="33">
        <v>415.37</v>
      </c>
      <c r="F27" s="8">
        <f t="shared" ref="F27" si="1">AVERAGE(C27:E27)</f>
        <v>566.33333333333337</v>
      </c>
      <c r="H27" s="67" t="e">
        <f>_xlfn.STDEV.S(F27:F27)</f>
        <v>#DIV/0!</v>
      </c>
      <c r="I27" s="68" t="e">
        <f>(H27/F28)*100</f>
        <v>#DIV/0!</v>
      </c>
      <c r="J27" s="67" t="e">
        <f>F28+H27</f>
        <v>#DIV/0!</v>
      </c>
      <c r="K27" s="67" t="e">
        <f>F28-H27</f>
        <v>#DIV/0!</v>
      </c>
      <c r="L27" s="8">
        <f>F27</f>
        <v>566.33333333333337</v>
      </c>
    </row>
    <row r="28" spans="1:12">
      <c r="A28" s="260" t="s">
        <v>166</v>
      </c>
      <c r="B28" s="260"/>
      <c r="C28" s="260"/>
      <c r="D28" s="260"/>
      <c r="E28" s="11"/>
      <c r="F28" s="6">
        <f>AVERAGE(F27:F27)</f>
        <v>566.33333333333337</v>
      </c>
      <c r="G28" s="15"/>
      <c r="H28" s="227" t="s">
        <v>16</v>
      </c>
      <c r="I28" s="227"/>
      <c r="J28" s="227"/>
      <c r="K28" s="227"/>
      <c r="L28" s="2">
        <f>AVERAGE(L27:L27)</f>
        <v>566.33333333333337</v>
      </c>
    </row>
  </sheetData>
  <mergeCells count="27">
    <mergeCell ref="A10:D10"/>
    <mergeCell ref="H10:K10"/>
    <mergeCell ref="F1:Q1"/>
    <mergeCell ref="A6:L6"/>
    <mergeCell ref="A7:A8"/>
    <mergeCell ref="B7:B8"/>
    <mergeCell ref="F7:F8"/>
    <mergeCell ref="H7:L7"/>
    <mergeCell ref="A20:D20"/>
    <mergeCell ref="H20:K20"/>
    <mergeCell ref="A15:L15"/>
    <mergeCell ref="A16:A17"/>
    <mergeCell ref="B16:B17"/>
    <mergeCell ref="F16:F17"/>
    <mergeCell ref="H16:L16"/>
    <mergeCell ref="A18:A19"/>
    <mergeCell ref="H18:H19"/>
    <mergeCell ref="I18:I19"/>
    <mergeCell ref="J18:J19"/>
    <mergeCell ref="K18:K19"/>
    <mergeCell ref="A28:D28"/>
    <mergeCell ref="H28:K28"/>
    <mergeCell ref="A24:L24"/>
    <mergeCell ref="A25:A26"/>
    <mergeCell ref="B25:B26"/>
    <mergeCell ref="F25:F26"/>
    <mergeCell ref="H25:L2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A4DAD-6A6D-4D7A-B0B5-E49B453F9D38}">
  <sheetPr>
    <tabColor rgb="FF92D050"/>
  </sheetPr>
  <dimension ref="B1:Q34"/>
  <sheetViews>
    <sheetView zoomScale="90" zoomScaleNormal="90" workbookViewId="0">
      <selection activeCell="N17" sqref="N17"/>
    </sheetView>
  </sheetViews>
  <sheetFormatPr defaultRowHeight="15"/>
  <cols>
    <col min="2" max="2" width="22.7109375" customWidth="1"/>
    <col min="3" max="3" width="17.7109375" customWidth="1"/>
    <col min="4" max="4" width="14.140625" customWidth="1"/>
    <col min="5" max="5" width="12.42578125" customWidth="1"/>
    <col min="6" max="6" width="12.7109375" bestFit="1" customWidth="1"/>
    <col min="7" max="7" width="12.7109375" customWidth="1"/>
    <col min="8" max="9" width="13.5703125" customWidth="1"/>
    <col min="11" max="11" width="31.7109375" bestFit="1" customWidth="1"/>
    <col min="12" max="12" width="20.140625" bestFit="1" customWidth="1"/>
    <col min="13" max="13" width="18.42578125" bestFit="1" customWidth="1"/>
    <col min="14" max="14" width="18.42578125" customWidth="1"/>
    <col min="15" max="15" width="18.85546875" customWidth="1"/>
    <col min="16" max="16" width="12" customWidth="1"/>
    <col min="17" max="17" width="13.5703125" customWidth="1"/>
  </cols>
  <sheetData>
    <row r="1" spans="2:14" ht="15.75" thickBot="1"/>
    <row r="2" spans="2:14" ht="15.75" thickBot="1">
      <c r="B2" s="329" t="s">
        <v>238</v>
      </c>
      <c r="C2" s="330"/>
      <c r="D2" s="330"/>
      <c r="E2" s="330"/>
      <c r="F2" s="331"/>
      <c r="G2" s="92"/>
    </row>
    <row r="3" spans="2:14" ht="15.75" thickBot="1">
      <c r="B3" s="60" t="s">
        <v>239</v>
      </c>
      <c r="C3" s="333" t="s">
        <v>240</v>
      </c>
      <c r="D3" s="333"/>
      <c r="E3" s="333"/>
      <c r="F3" s="333"/>
      <c r="G3" s="93"/>
      <c r="K3" s="334" t="s">
        <v>241</v>
      </c>
      <c r="L3" s="335"/>
      <c r="M3" s="336"/>
      <c r="N3" s="85"/>
    </row>
    <row r="4" spans="2:14" ht="50.25" customHeight="1">
      <c r="B4" s="61" t="s">
        <v>242</v>
      </c>
      <c r="C4" s="63" t="s">
        <v>218</v>
      </c>
      <c r="D4" s="63" t="s">
        <v>243</v>
      </c>
      <c r="E4" s="63" t="s">
        <v>155</v>
      </c>
      <c r="F4" s="62" t="s">
        <v>244</v>
      </c>
      <c r="G4" s="94"/>
      <c r="K4" s="46" t="s">
        <v>161</v>
      </c>
      <c r="L4" s="47" t="s">
        <v>245</v>
      </c>
      <c r="M4" s="47" t="s">
        <v>246</v>
      </c>
      <c r="N4" s="65" t="s">
        <v>247</v>
      </c>
    </row>
    <row r="5" spans="2:14">
      <c r="B5" s="86">
        <v>9000</v>
      </c>
      <c r="C5" s="158">
        <v>1199</v>
      </c>
      <c r="D5" s="158">
        <v>1199</v>
      </c>
      <c r="E5" s="158">
        <v>899</v>
      </c>
      <c r="F5" s="87">
        <f>AVERAGE(Tabela11[[#This Row],[MAGAZINE LUIZA]:[CARREFOUR]])</f>
        <v>1099</v>
      </c>
      <c r="G5" s="94"/>
      <c r="K5" s="48" t="s">
        <v>189</v>
      </c>
      <c r="L5" s="49">
        <v>0</v>
      </c>
      <c r="M5" s="49">
        <v>1022.5</v>
      </c>
      <c r="N5" s="174">
        <v>1118.67</v>
      </c>
    </row>
    <row r="6" spans="2:14" ht="27.75" customHeight="1">
      <c r="B6" s="86">
        <v>12000</v>
      </c>
      <c r="C6" s="158">
        <v>1199</v>
      </c>
      <c r="D6" s="158">
        <v>1199</v>
      </c>
      <c r="E6" s="158">
        <v>899</v>
      </c>
      <c r="F6" s="87">
        <f>AVERAGE(Tabela11[[#This Row],[MAGAZINE LUIZA]:[CARREFOUR]])</f>
        <v>1099</v>
      </c>
      <c r="G6" s="94"/>
      <c r="K6" s="48" t="s">
        <v>165</v>
      </c>
      <c r="L6" s="49">
        <v>912.21</v>
      </c>
      <c r="M6" s="49">
        <v>1007.09</v>
      </c>
      <c r="N6" s="174">
        <v>1189.83</v>
      </c>
    </row>
    <row r="7" spans="2:14">
      <c r="B7" s="86">
        <v>18000</v>
      </c>
      <c r="C7" s="158">
        <v>1499</v>
      </c>
      <c r="D7" s="158">
        <v>1499</v>
      </c>
      <c r="E7" s="158">
        <v>1079</v>
      </c>
      <c r="F7" s="87">
        <f>AVERAGE(Tabela11[[#This Row],[MAGAZINE LUIZA]:[CARREFOUR]])</f>
        <v>1359</v>
      </c>
      <c r="G7" s="94"/>
      <c r="K7" s="48" t="s">
        <v>172</v>
      </c>
      <c r="L7" s="49">
        <v>953.22</v>
      </c>
      <c r="M7" s="49">
        <v>992.56</v>
      </c>
      <c r="N7" s="174">
        <v>1085.21</v>
      </c>
    </row>
    <row r="8" spans="2:14">
      <c r="B8" s="86">
        <v>24000</v>
      </c>
      <c r="C8" s="158">
        <v>1499</v>
      </c>
      <c r="D8" s="158">
        <v>1499</v>
      </c>
      <c r="E8" s="158">
        <v>1079</v>
      </c>
      <c r="F8" s="87">
        <f>AVERAGE(Tabela11[[#This Row],[MAGAZINE LUIZA]:[CARREFOUR]])</f>
        <v>1359</v>
      </c>
      <c r="G8" s="94"/>
      <c r="K8" s="48" t="s">
        <v>231</v>
      </c>
      <c r="L8" s="49">
        <v>0</v>
      </c>
      <c r="M8" s="49">
        <v>0</v>
      </c>
      <c r="N8" s="174">
        <v>1132.05</v>
      </c>
    </row>
    <row r="9" spans="2:14" ht="15.75" thickBot="1">
      <c r="B9" s="86">
        <v>30000</v>
      </c>
      <c r="C9" s="158">
        <v>1499</v>
      </c>
      <c r="D9" s="158">
        <v>1499</v>
      </c>
      <c r="E9" s="158">
        <v>1079</v>
      </c>
      <c r="F9" s="87">
        <f>AVERAGE(Tabela11[[#This Row],[MAGAZINE LUIZA]:[CARREFOUR]])</f>
        <v>1359</v>
      </c>
      <c r="G9" s="94"/>
      <c r="K9" s="50" t="s">
        <v>248</v>
      </c>
      <c r="L9" s="51">
        <v>789.16</v>
      </c>
      <c r="M9" s="51">
        <v>940.16</v>
      </c>
      <c r="N9" s="175">
        <v>1093.03</v>
      </c>
    </row>
    <row r="10" spans="2:14">
      <c r="B10" s="88">
        <v>60000</v>
      </c>
      <c r="C10" s="159">
        <v>1699</v>
      </c>
      <c r="D10" s="159">
        <v>1699</v>
      </c>
      <c r="E10" s="159">
        <v>1299</v>
      </c>
      <c r="F10" s="89">
        <f>AVERAGE(Tabela11[[#This Row],[MAGAZINE LUIZA]:[CARREFOUR]])</f>
        <v>1565.6666666666667</v>
      </c>
      <c r="G10" s="91"/>
      <c r="K10" s="52" t="s">
        <v>249</v>
      </c>
      <c r="L10" s="53"/>
      <c r="M10" s="54"/>
      <c r="N10" s="44"/>
    </row>
    <row r="11" spans="2:14">
      <c r="C11" s="90"/>
      <c r="D11" s="90"/>
      <c r="E11" s="90"/>
      <c r="F11" s="91"/>
      <c r="G11" s="91"/>
      <c r="K11" s="55" t="s">
        <v>250</v>
      </c>
      <c r="L11" s="44"/>
      <c r="M11" s="56"/>
      <c r="N11" s="44"/>
    </row>
    <row r="12" spans="2:14" ht="15.75" thickBot="1">
      <c r="K12" s="57" t="s">
        <v>251</v>
      </c>
      <c r="L12" s="58"/>
      <c r="M12" s="59"/>
      <c r="N12" s="44"/>
    </row>
    <row r="18" spans="2:17">
      <c r="K18" s="332" t="s">
        <v>252</v>
      </c>
      <c r="L18" s="332"/>
      <c r="M18" s="332"/>
      <c r="N18" s="332"/>
      <c r="O18" s="332"/>
    </row>
    <row r="19" spans="2:17">
      <c r="B19" s="327" t="s">
        <v>253</v>
      </c>
      <c r="C19" s="328"/>
      <c r="D19" s="328"/>
      <c r="E19" s="328"/>
      <c r="F19" s="328"/>
      <c r="G19" s="328"/>
      <c r="H19" s="328"/>
      <c r="K19" s="66" t="s">
        <v>161</v>
      </c>
      <c r="L19" s="65" t="s">
        <v>254</v>
      </c>
      <c r="M19" s="64" t="s">
        <v>255</v>
      </c>
      <c r="N19" s="64" t="s">
        <v>256</v>
      </c>
      <c r="O19" s="38" t="s">
        <v>257</v>
      </c>
      <c r="P19" s="65" t="s">
        <v>258</v>
      </c>
      <c r="Q19" s="65" t="s">
        <v>259</v>
      </c>
    </row>
    <row r="20" spans="2:17">
      <c r="B20" s="66" t="s">
        <v>161</v>
      </c>
      <c r="C20" s="65" t="s">
        <v>254</v>
      </c>
      <c r="D20" s="64" t="s">
        <v>255</v>
      </c>
      <c r="E20" s="38" t="s">
        <v>256</v>
      </c>
      <c r="F20" s="65" t="s">
        <v>257</v>
      </c>
      <c r="G20" s="65" t="s">
        <v>258</v>
      </c>
      <c r="H20" s="65" t="s">
        <v>259</v>
      </c>
      <c r="K20" s="48" t="s">
        <v>189</v>
      </c>
      <c r="L20" s="49">
        <v>0</v>
      </c>
      <c r="M20" s="49">
        <f>M5</f>
        <v>1022.5</v>
      </c>
      <c r="N20" s="49">
        <f t="shared" ref="N20:O22" si="0">M5</f>
        <v>1022.5</v>
      </c>
      <c r="O20" s="174">
        <f t="shared" si="0"/>
        <v>1118.67</v>
      </c>
      <c r="P20" s="174">
        <f>N5</f>
        <v>1118.67</v>
      </c>
      <c r="Q20" s="174" t="s">
        <v>260</v>
      </c>
    </row>
    <row r="21" spans="2:17">
      <c r="B21" s="160" t="s">
        <v>189</v>
      </c>
      <c r="C21" s="161" t="s">
        <v>260</v>
      </c>
      <c r="D21" s="161">
        <f>F6</f>
        <v>1099</v>
      </c>
      <c r="E21" s="176">
        <f>F7</f>
        <v>1359</v>
      </c>
      <c r="F21" s="176">
        <v>1359</v>
      </c>
      <c r="G21" s="176">
        <v>1359</v>
      </c>
      <c r="H21" s="176"/>
      <c r="I21" s="177"/>
      <c r="K21" s="48" t="s">
        <v>165</v>
      </c>
      <c r="L21" s="49">
        <f>L6</f>
        <v>912.21</v>
      </c>
      <c r="M21" s="49">
        <f>M6</f>
        <v>1007.09</v>
      </c>
      <c r="N21" s="49">
        <f t="shared" si="0"/>
        <v>1007.09</v>
      </c>
      <c r="O21" s="174">
        <f t="shared" si="0"/>
        <v>1189.83</v>
      </c>
      <c r="P21" s="174"/>
      <c r="Q21" s="174"/>
    </row>
    <row r="22" spans="2:17">
      <c r="B22" s="160" t="s">
        <v>165</v>
      </c>
      <c r="C22" s="161">
        <f>F5</f>
        <v>1099</v>
      </c>
      <c r="D22" s="161">
        <f>F6</f>
        <v>1099</v>
      </c>
      <c r="E22" s="176">
        <v>1359</v>
      </c>
      <c r="F22" s="176">
        <f t="shared" ref="F22:F23" si="1">F7</f>
        <v>1359</v>
      </c>
      <c r="G22" s="176"/>
      <c r="H22" s="176"/>
      <c r="I22" s="177"/>
      <c r="K22" s="48" t="s">
        <v>172</v>
      </c>
      <c r="L22" s="49">
        <f>L7</f>
        <v>953.22</v>
      </c>
      <c r="M22" s="49">
        <f>M7</f>
        <v>992.56</v>
      </c>
      <c r="N22" s="49">
        <f t="shared" si="0"/>
        <v>992.56</v>
      </c>
      <c r="O22" s="174">
        <f t="shared" si="0"/>
        <v>1085.21</v>
      </c>
      <c r="P22" s="174">
        <f>N7</f>
        <v>1085.21</v>
      </c>
      <c r="Q22" s="174">
        <f>N7</f>
        <v>1085.21</v>
      </c>
    </row>
    <row r="23" spans="2:17">
      <c r="B23" s="160" t="s">
        <v>172</v>
      </c>
      <c r="C23" s="161">
        <f>F5</f>
        <v>1099</v>
      </c>
      <c r="D23" s="161">
        <f>F6</f>
        <v>1099</v>
      </c>
      <c r="E23" s="176">
        <v>1359</v>
      </c>
      <c r="F23" s="176">
        <f t="shared" si="1"/>
        <v>1359</v>
      </c>
      <c r="G23" s="176">
        <v>1359</v>
      </c>
      <c r="H23" s="176">
        <v>1565.67</v>
      </c>
      <c r="I23" s="177"/>
      <c r="K23" s="48" t="s">
        <v>231</v>
      </c>
      <c r="L23" s="49">
        <v>0</v>
      </c>
      <c r="M23" s="49">
        <v>0</v>
      </c>
      <c r="N23" s="49">
        <v>0</v>
      </c>
      <c r="O23" s="174" t="s">
        <v>260</v>
      </c>
      <c r="P23" s="174" t="s">
        <v>260</v>
      </c>
      <c r="Q23" s="174">
        <f>N8</f>
        <v>1132.05</v>
      </c>
    </row>
    <row r="24" spans="2:17" ht="15.75" thickBot="1">
      <c r="B24" s="160" t="s">
        <v>231</v>
      </c>
      <c r="C24" s="161" t="s">
        <v>260</v>
      </c>
      <c r="D24" s="161" t="s">
        <v>260</v>
      </c>
      <c r="E24" s="176" t="s">
        <v>260</v>
      </c>
      <c r="F24" s="176"/>
      <c r="G24" s="176"/>
      <c r="H24" s="176">
        <v>1565.67</v>
      </c>
      <c r="I24" s="177"/>
      <c r="K24" s="50" t="s">
        <v>248</v>
      </c>
      <c r="L24" s="51">
        <f>L9</f>
        <v>789.16</v>
      </c>
      <c r="M24" s="51">
        <f>M9</f>
        <v>940.16</v>
      </c>
      <c r="N24" s="51">
        <f>M9</f>
        <v>940.16</v>
      </c>
      <c r="O24" s="175"/>
      <c r="P24" s="175"/>
      <c r="Q24" s="175">
        <f>N9</f>
        <v>1093.03</v>
      </c>
    </row>
    <row r="25" spans="2:17">
      <c r="B25" s="160" t="s">
        <v>248</v>
      </c>
      <c r="C25" s="161">
        <f>F5</f>
        <v>1099</v>
      </c>
      <c r="D25" s="161">
        <f>F6</f>
        <v>1099</v>
      </c>
      <c r="E25" s="176">
        <v>1359</v>
      </c>
      <c r="F25" s="176"/>
      <c r="G25" s="176"/>
      <c r="H25" s="176">
        <v>1565.67</v>
      </c>
      <c r="I25" s="177"/>
    </row>
    <row r="28" spans="2:17">
      <c r="B28" s="327" t="s">
        <v>261</v>
      </c>
      <c r="C28" s="328"/>
      <c r="D28" s="328"/>
      <c r="E28" s="328"/>
      <c r="F28" s="328"/>
      <c r="G28" s="328"/>
      <c r="H28" s="328"/>
    </row>
    <row r="29" spans="2:17">
      <c r="B29" s="66" t="s">
        <v>161</v>
      </c>
      <c r="C29" s="65" t="s">
        <v>254</v>
      </c>
      <c r="D29" s="64" t="s">
        <v>255</v>
      </c>
      <c r="E29" s="38" t="s">
        <v>256</v>
      </c>
      <c r="F29" s="65" t="s">
        <v>257</v>
      </c>
      <c r="G29" s="65" t="s">
        <v>258</v>
      </c>
      <c r="H29" s="65" t="s">
        <v>259</v>
      </c>
    </row>
    <row r="30" spans="2:17">
      <c r="B30" s="38" t="s">
        <v>189</v>
      </c>
      <c r="C30" s="49" t="str">
        <f t="shared" ref="C30" si="2">C21</f>
        <v>-</v>
      </c>
      <c r="D30" s="49">
        <f>MEDIAN(D21,M20)</f>
        <v>1060.75</v>
      </c>
      <c r="E30" s="49">
        <f>MEDIAN(E21,N20)</f>
        <v>1190.75</v>
      </c>
      <c r="F30" s="49">
        <f>MEDIAN(F21,O20)</f>
        <v>1238.835</v>
      </c>
      <c r="G30" s="49">
        <f>MEDIAN(G21,P20)</f>
        <v>1238.835</v>
      </c>
      <c r="H30" s="178"/>
    </row>
    <row r="31" spans="2:17">
      <c r="B31" s="38" t="s">
        <v>165</v>
      </c>
      <c r="C31" s="49">
        <f>MEDIAN(C22,L21)</f>
        <v>1005.605</v>
      </c>
      <c r="D31" s="49">
        <f>AVERAGE(D22,M21)</f>
        <v>1053.0450000000001</v>
      </c>
      <c r="E31" s="49">
        <f t="shared" ref="E31" si="3">AVERAGE(E22,N21)</f>
        <v>1183.0450000000001</v>
      </c>
      <c r="F31" s="49">
        <f t="shared" ref="F31" si="4">AVERAGE(F22,O21)</f>
        <v>1274.415</v>
      </c>
      <c r="G31" s="178"/>
      <c r="H31" s="178"/>
    </row>
    <row r="32" spans="2:17">
      <c r="B32" s="38" t="s">
        <v>172</v>
      </c>
      <c r="C32" s="49">
        <f>MEDIAN(C23,L22)</f>
        <v>1026.1100000000001</v>
      </c>
      <c r="D32" s="49">
        <f t="shared" ref="D32:G32" si="5">MEDIAN(D23,M22)</f>
        <v>1045.78</v>
      </c>
      <c r="E32" s="49">
        <f t="shared" si="5"/>
        <v>1175.78</v>
      </c>
      <c r="F32" s="49">
        <f t="shared" si="5"/>
        <v>1222.105</v>
      </c>
      <c r="G32" s="49">
        <f t="shared" si="5"/>
        <v>1222.105</v>
      </c>
      <c r="H32" s="49">
        <f t="shared" ref="H32" si="6">MEDIAN(H23,Q22)</f>
        <v>1325.44</v>
      </c>
    </row>
    <row r="33" spans="2:8">
      <c r="B33" s="38" t="s">
        <v>231</v>
      </c>
      <c r="C33" s="49"/>
      <c r="D33" s="49"/>
      <c r="E33" s="178"/>
      <c r="F33" s="178"/>
      <c r="G33" s="178"/>
      <c r="H33" s="178">
        <f>AVERAGE(H24,Q23)</f>
        <v>1348.8600000000001</v>
      </c>
    </row>
    <row r="34" spans="2:8">
      <c r="B34" s="38" t="s">
        <v>248</v>
      </c>
      <c r="C34" s="49">
        <f>MEDIAN(C25,L24)</f>
        <v>944.07999999999993</v>
      </c>
      <c r="D34" s="49">
        <f t="shared" ref="D34:E34" si="7">MEDIAN(D25,M24)</f>
        <v>1019.5799999999999</v>
      </c>
      <c r="E34" s="49">
        <f t="shared" si="7"/>
        <v>1149.58</v>
      </c>
      <c r="F34" s="178"/>
      <c r="G34" s="178"/>
      <c r="H34" s="49">
        <f t="shared" ref="H34" si="8">MEDIAN(H25,Q24)</f>
        <v>1329.35</v>
      </c>
    </row>
  </sheetData>
  <mergeCells count="6">
    <mergeCell ref="B28:H28"/>
    <mergeCell ref="B2:F2"/>
    <mergeCell ref="K18:O18"/>
    <mergeCell ref="C3:F3"/>
    <mergeCell ref="K3:M3"/>
    <mergeCell ref="B19:H19"/>
  </mergeCells>
  <phoneticPr fontId="15" type="noConversion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H33" calculatedColumn="1"/>
  </ignoredErrors>
  <tableParts count="5">
    <tablePart r:id="rId2"/>
    <tablePart r:id="rId3"/>
    <tablePart r:id="rId4"/>
    <tablePart r:id="rId5"/>
    <tablePart r:id="rId6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52DDA-5506-4632-98A0-0B61A95A1761}">
  <sheetPr>
    <tabColor rgb="FF92D050"/>
  </sheetPr>
  <dimension ref="A2:G45"/>
  <sheetViews>
    <sheetView showGridLines="0" zoomScale="70" zoomScaleNormal="70" workbookViewId="0">
      <selection activeCell="C46" sqref="C46"/>
    </sheetView>
  </sheetViews>
  <sheetFormatPr defaultRowHeight="15"/>
  <cols>
    <col min="2" max="2" width="27.7109375" customWidth="1"/>
    <col min="3" max="3" width="17.140625" customWidth="1"/>
    <col min="4" max="4" width="16.7109375" customWidth="1"/>
    <col min="5" max="5" width="29.28515625" customWidth="1"/>
    <col min="6" max="6" width="17.140625" customWidth="1"/>
    <col min="7" max="7" width="18.7109375" customWidth="1"/>
  </cols>
  <sheetData>
    <row r="2" spans="1:7">
      <c r="B2" s="260" t="s">
        <v>262</v>
      </c>
      <c r="C2" s="260"/>
      <c r="D2" s="260"/>
      <c r="E2" s="260"/>
      <c r="F2" s="260"/>
      <c r="G2" s="260"/>
    </row>
    <row r="3" spans="1:7" ht="45.75" thickBot="1">
      <c r="A3" t="s">
        <v>263</v>
      </c>
      <c r="B3" t="s">
        <v>264</v>
      </c>
      <c r="C3" s="103" t="s">
        <v>265</v>
      </c>
      <c r="D3" s="103" t="s">
        <v>266</v>
      </c>
      <c r="E3" s="16" t="s">
        <v>267</v>
      </c>
      <c r="F3" t="s">
        <v>268</v>
      </c>
      <c r="G3" s="103" t="s">
        <v>269</v>
      </c>
    </row>
    <row r="4" spans="1:7" ht="49.5" customHeight="1" thickBot="1">
      <c r="A4" s="104">
        <v>1</v>
      </c>
      <c r="B4" s="105" t="s">
        <v>270</v>
      </c>
      <c r="C4" s="162">
        <f>'FEDERAL-12000 BTU'!E8</f>
        <v>2171.9949999999999</v>
      </c>
      <c r="D4" s="163" t="s">
        <v>271</v>
      </c>
      <c r="E4" s="163">
        <f>'PESQUISA MERCADO 12000 BTU '!Q16</f>
        <v>3383.7700000000004</v>
      </c>
      <c r="F4" s="164">
        <f>AVERAGE(Tabela3[[#This Row],[PREÇOS -ESFERA 
 FEDERAL]:[PREÇOS -  MERCADO]])</f>
        <v>2777.8825000000002</v>
      </c>
      <c r="G4" s="165">
        <f>Tabela3[[#This Row],[MÉDIA FINAL]]+INSTALAÇÃO!D30</f>
        <v>3838.6325000000002</v>
      </c>
    </row>
    <row r="5" spans="1:7" ht="46.5" customHeight="1" thickBot="1">
      <c r="A5" s="104">
        <v>2</v>
      </c>
      <c r="B5" s="105" t="s">
        <v>272</v>
      </c>
      <c r="C5" s="162">
        <f>'FEDERAL-18000 BTU'!N9</f>
        <v>3024.02</v>
      </c>
      <c r="D5" s="166" t="s">
        <v>271</v>
      </c>
      <c r="E5" s="163">
        <f>'PESQUISA MERCADO 18000 BTU  '!Q16</f>
        <v>4021.0783333333334</v>
      </c>
      <c r="F5" s="179">
        <f>AVERAGE(Tabela3[[#This Row],[PREÇOS -ESFERA 
 FEDERAL]:[PREÇOS -  MERCADO]])</f>
        <v>3522.5491666666667</v>
      </c>
      <c r="G5" s="180">
        <f>Tabela3[[#This Row],[MÉDIA FINAL]]+INSTALAÇÃO!E30</f>
        <v>4713.2991666666667</v>
      </c>
    </row>
    <row r="6" spans="1:7" ht="45.75" customHeight="1" thickBot="1">
      <c r="A6" s="106">
        <v>3</v>
      </c>
      <c r="B6" s="107" t="s">
        <v>273</v>
      </c>
      <c r="C6" s="167">
        <f>'FEDERAL-24000 BTU'!N16</f>
        <v>4161.4142857142861</v>
      </c>
      <c r="D6" s="168" t="s">
        <v>271</v>
      </c>
      <c r="E6" s="169">
        <f>'PESQUISA MERCADO 24000 BTU  '!Q16</f>
        <v>4677.8516666666665</v>
      </c>
      <c r="F6" s="181">
        <f>AVERAGE(Tabela3[[#This Row],[PREÇOS -ESFERA 
 FEDERAL]:[PREÇOS -  MERCADO]])</f>
        <v>4419.6329761904763</v>
      </c>
      <c r="G6" s="180">
        <f>Tabela3[[#This Row],[MÉDIA FINAL]]+INSTALAÇÃO!F30</f>
        <v>5658.4679761904763</v>
      </c>
    </row>
    <row r="7" spans="1:7" ht="45.75" customHeight="1" thickBot="1">
      <c r="A7" s="104">
        <v>4</v>
      </c>
      <c r="B7" s="107" t="s">
        <v>274</v>
      </c>
      <c r="C7" s="182" t="s">
        <v>275</v>
      </c>
      <c r="D7" s="183" t="s">
        <v>275</v>
      </c>
      <c r="E7" s="183">
        <f>'PESQUISA MERCADO 30000 BTU'!Q16</f>
        <v>7246.0333333333328</v>
      </c>
      <c r="F7" s="183">
        <f>AVERAGE(Tabela3[[#This Row],[PREÇOS -ESFERA 
 FEDERAL]:[PREÇOS -  MERCADO]])</f>
        <v>7246.0333333333328</v>
      </c>
      <c r="G7" s="184">
        <f>Tabela3[[#This Row],[MÉDIA FINAL]]+INSTALAÇÃO!G30</f>
        <v>8484.868333333332</v>
      </c>
    </row>
    <row r="11" spans="1:7">
      <c r="B11" s="260" t="s">
        <v>276</v>
      </c>
      <c r="C11" s="260"/>
      <c r="D11" s="260"/>
      <c r="E11" s="260"/>
      <c r="F11" s="260"/>
      <c r="G11" s="260"/>
    </row>
    <row r="12" spans="1:7" ht="54.75" customHeight="1">
      <c r="A12" t="s">
        <v>263</v>
      </c>
      <c r="B12" t="s">
        <v>264</v>
      </c>
      <c r="C12" s="103" t="s">
        <v>277</v>
      </c>
      <c r="D12" s="103" t="s">
        <v>266</v>
      </c>
      <c r="E12" t="s">
        <v>267</v>
      </c>
      <c r="F12" t="s">
        <v>268</v>
      </c>
      <c r="G12" s="103" t="s">
        <v>278</v>
      </c>
    </row>
    <row r="13" spans="1:7" ht="43.5" customHeight="1" thickBot="1">
      <c r="A13" s="108">
        <v>5</v>
      </c>
      <c r="B13" s="109" t="s">
        <v>279</v>
      </c>
      <c r="C13" s="185">
        <f>'FEDERAL-9000 BTU '!N15</f>
        <v>1868.4099999999999</v>
      </c>
      <c r="D13" s="186" t="s">
        <v>271</v>
      </c>
      <c r="E13" s="180">
        <f>'PESQUISA MERCADO 9000 BTU  '!Q15</f>
        <v>2673.998333333333</v>
      </c>
      <c r="F13" s="180">
        <f>AVERAGE(Tabela33[[#This Row],[PREÇOS -ESFERA  
FEDERAL]:[PREÇOS -  MERCADO]])</f>
        <v>2271.2041666666664</v>
      </c>
      <c r="G13" s="187">
        <f>Tabela33[[#This Row],[MÉDIA FINAL]]+INSTALAÇÃO!C31</f>
        <v>3276.8091666666664</v>
      </c>
    </row>
    <row r="14" spans="1:7" ht="42.75" customHeight="1" thickBot="1">
      <c r="A14" s="104">
        <v>6</v>
      </c>
      <c r="B14" s="110" t="s">
        <v>280</v>
      </c>
      <c r="C14" s="162">
        <f>'FEDERAL-12000 BTU'!E15</f>
        <v>2420</v>
      </c>
      <c r="D14" s="163" t="s">
        <v>271</v>
      </c>
      <c r="E14" s="163">
        <f>'PESQUISA MERCADO 12000 BTU '!Q31</f>
        <v>3174.88</v>
      </c>
      <c r="F14" s="179">
        <f>AVERAGE(Tabela33[[#This Row],[PREÇOS -ESFERA  
FEDERAL]:[PREÇOS -  MERCADO]])</f>
        <v>2797.44</v>
      </c>
      <c r="G14" s="180">
        <f>Tabela33[[#This Row],[MÉDIA FINAL]]+INSTALAÇÃO!D31</f>
        <v>3850.4850000000001</v>
      </c>
    </row>
    <row r="15" spans="1:7" ht="42.75" customHeight="1" thickBot="1">
      <c r="A15" s="104">
        <v>7</v>
      </c>
      <c r="B15" s="110" t="s">
        <v>281</v>
      </c>
      <c r="C15" s="162">
        <f>'FEDERAL-18000 BTU'!N26</f>
        <v>3000</v>
      </c>
      <c r="D15" s="163">
        <f>'ESTADUAL-18000 BTU'!N20</f>
        <v>3182.6800000000003</v>
      </c>
      <c r="E15" s="163">
        <f>'PESQUISA MERCADO 18000 BTU  '!Q30</f>
        <v>3829.6666666666665</v>
      </c>
      <c r="F15" s="179">
        <f>AVERAGE(Tabela33[[#This Row],[PREÇOS -ESFERA  
FEDERAL]:[PREÇOS -  MERCADO]])</f>
        <v>3337.4488888888886</v>
      </c>
      <c r="G15" s="180">
        <f>Tabela33[[#This Row],[MÉDIA FINAL]]+INSTALAÇÃO!E31</f>
        <v>4520.4938888888883</v>
      </c>
    </row>
    <row r="16" spans="1:7" ht="42.75" customHeight="1" thickBot="1">
      <c r="A16" s="106">
        <v>8</v>
      </c>
      <c r="B16" s="111" t="s">
        <v>282</v>
      </c>
      <c r="C16" s="162">
        <f>'FEDERAL-24000 BTU'!N38</f>
        <v>3894.9377777777781</v>
      </c>
      <c r="D16" s="168" t="s">
        <v>271</v>
      </c>
      <c r="E16" s="169">
        <f>'PESQUISA MERCADO 24000 BTU  '!Q30</f>
        <v>4537.6099999999997</v>
      </c>
      <c r="F16" s="181">
        <f>AVERAGE(Tabela33[[#This Row],[PREÇOS -ESFERA  
FEDERAL]:[PREÇOS -  MERCADO]])</f>
        <v>4216.2738888888889</v>
      </c>
      <c r="G16" s="180">
        <f>Tabela33[[#This Row],[MÉDIA FINAL]]+INSTALAÇÃO!F31</f>
        <v>5490.6888888888889</v>
      </c>
    </row>
    <row r="21" spans="1:7">
      <c r="B21" s="260" t="s">
        <v>283</v>
      </c>
      <c r="C21" s="260"/>
      <c r="D21" s="260"/>
      <c r="E21" s="260"/>
      <c r="F21" s="260"/>
      <c r="G21" s="260"/>
    </row>
    <row r="22" spans="1:7" ht="48.75" customHeight="1">
      <c r="A22" t="s">
        <v>263</v>
      </c>
      <c r="B22" t="s">
        <v>264</v>
      </c>
      <c r="C22" s="103" t="s">
        <v>277</v>
      </c>
      <c r="D22" s="103" t="s">
        <v>284</v>
      </c>
      <c r="E22" t="s">
        <v>267</v>
      </c>
      <c r="F22" t="s">
        <v>268</v>
      </c>
      <c r="G22" s="103" t="s">
        <v>285</v>
      </c>
    </row>
    <row r="23" spans="1:7" ht="48.75" customHeight="1" thickBot="1">
      <c r="A23" s="108">
        <v>9</v>
      </c>
      <c r="B23" s="109" t="s">
        <v>286</v>
      </c>
      <c r="C23" s="185">
        <f>'FEDERAL-9000 BTU '!N28</f>
        <v>1867.29</v>
      </c>
      <c r="D23" s="186" t="s">
        <v>271</v>
      </c>
      <c r="E23" s="180">
        <f>'PESQUISA MERCADO 9000 BTU  '!Q26</f>
        <v>2632.1983333333337</v>
      </c>
      <c r="F23" s="180">
        <f>AVERAGE(Tabela34[[#This Row],[PREÇOS -ESFERA  
FEDERAL]:[PREÇOS -  MERCADO]])</f>
        <v>2249.7441666666668</v>
      </c>
      <c r="G23" s="187">
        <f>Tabela34[[#This Row],[MÉDIA FINAL]]+INSTALAÇÃO!C34</f>
        <v>3193.8241666666668</v>
      </c>
    </row>
    <row r="24" spans="1:7" ht="42" customHeight="1" thickBot="1">
      <c r="A24" s="104">
        <v>10</v>
      </c>
      <c r="B24" s="110" t="s">
        <v>280</v>
      </c>
      <c r="C24" s="167">
        <f>'FEDERAL-12000 BTU'!O30</f>
        <v>1936.6666666666667</v>
      </c>
      <c r="D24" s="166" t="s">
        <v>271</v>
      </c>
      <c r="E24" s="163">
        <f>'PESQUISA MERCADO 12000 BTU '!Q42</f>
        <v>2900.21</v>
      </c>
      <c r="F24" s="179">
        <f>AVERAGE(Tabela34[[#This Row],[PREÇOS -ESFERA  
FEDERAL]:[PREÇOS -  MERCADO]])</f>
        <v>2418.4383333333335</v>
      </c>
      <c r="G24" s="187">
        <f>Tabela34[[#This Row],[MÉDIA FINAL]]+INSTALAÇÃO!D34</f>
        <v>3438.0183333333334</v>
      </c>
    </row>
    <row r="25" spans="1:7" ht="47.25" customHeight="1" thickBot="1">
      <c r="A25" s="104">
        <v>11</v>
      </c>
      <c r="B25" s="110" t="s">
        <v>281</v>
      </c>
      <c r="C25" s="162">
        <f>'FEDERAL-18000 BTU'!N37</f>
        <v>3238.95</v>
      </c>
      <c r="D25" s="166" t="s">
        <v>271</v>
      </c>
      <c r="E25" s="163">
        <f>'PESQUISA MERCADO 18000 BTU  '!Q45</f>
        <v>3896.5733333333333</v>
      </c>
      <c r="F25" s="179">
        <f>AVERAGE(Tabela34[[#This Row],[PREÇOS -ESFERA  
FEDERAL]:[PREÇOS -  MERCADO]])</f>
        <v>3567.7616666666663</v>
      </c>
      <c r="G25" s="180">
        <f>Tabela34[[#This Row],[MÉDIA FINAL]]+INSTALAÇÃO!E34</f>
        <v>4717.3416666666662</v>
      </c>
    </row>
    <row r="26" spans="1:7" ht="48.75" customHeight="1" thickBot="1">
      <c r="A26" s="106">
        <v>12</v>
      </c>
      <c r="B26" s="112" t="s">
        <v>287</v>
      </c>
      <c r="C26" s="167" t="s">
        <v>288</v>
      </c>
      <c r="D26" s="168" t="s">
        <v>271</v>
      </c>
      <c r="E26" s="169">
        <f>'PESQUISA MERCADO 60000 BTU  '!Q34</f>
        <v>12220.013333333332</v>
      </c>
      <c r="F26" s="181">
        <f>AVERAGE(Tabela34[[#This Row],[PREÇOS -ESFERA  
FEDERAL]:[PREÇOS -  MERCADO]])</f>
        <v>12220.013333333332</v>
      </c>
      <c r="G26" s="180">
        <f>Tabela34[[#This Row],[MÉDIA FINAL]]+INSTALAÇÃO!H34</f>
        <v>13549.363333333333</v>
      </c>
    </row>
    <row r="31" spans="1:7">
      <c r="B31" s="260" t="s">
        <v>289</v>
      </c>
      <c r="C31" s="260"/>
      <c r="D31" s="260"/>
      <c r="E31" s="260"/>
      <c r="F31" s="260"/>
      <c r="G31" s="260"/>
    </row>
    <row r="32" spans="1:7" ht="62.25" customHeight="1">
      <c r="A32" t="s">
        <v>263</v>
      </c>
      <c r="B32" t="s">
        <v>264</v>
      </c>
      <c r="C32" s="103" t="s">
        <v>290</v>
      </c>
      <c r="D32" s="103" t="s">
        <v>266</v>
      </c>
      <c r="E32" t="s">
        <v>267</v>
      </c>
      <c r="F32" t="s">
        <v>268</v>
      </c>
      <c r="G32" s="103" t="s">
        <v>278</v>
      </c>
    </row>
    <row r="33" spans="1:7" ht="62.25" customHeight="1" thickBot="1">
      <c r="A33" s="104">
        <v>13</v>
      </c>
      <c r="B33" s="109" t="s">
        <v>279</v>
      </c>
      <c r="C33" s="185">
        <f>'FEDERAL-9000 BTU '!N39</f>
        <v>2212.5</v>
      </c>
      <c r="D33" s="186" t="s">
        <v>271</v>
      </c>
      <c r="E33" s="180">
        <f>'PESQUISA MERCADO 9000 BTU  '!Q39</f>
        <v>2642.8183333333336</v>
      </c>
      <c r="F33" s="180">
        <f>AVERAGE(Tabela35[[#This Row],[PREÇOS -ESFERA
  FEDERAL]:[PREÇOS -  MERCADO]])</f>
        <v>2427.6591666666668</v>
      </c>
      <c r="G33" s="187">
        <f>Tabela35[[#This Row],[MÉDIA FINAL]]+INSTALAÇÃO!C32</f>
        <v>3453.7691666666669</v>
      </c>
    </row>
    <row r="34" spans="1:7" ht="44.25" customHeight="1" thickBot="1">
      <c r="A34" s="104">
        <v>14</v>
      </c>
      <c r="B34" s="110" t="s">
        <v>280</v>
      </c>
      <c r="C34" s="162">
        <f>'FEDERAL-12000 BTU'!E46</f>
        <v>2762.4949999999999</v>
      </c>
      <c r="D34" s="163" t="s">
        <v>271</v>
      </c>
      <c r="E34" s="163">
        <f>'PESQUISA MERCADO 12000 BTU '!Q55</f>
        <v>2903.5433333333335</v>
      </c>
      <c r="F34" s="179">
        <f>AVERAGE(Tabela35[[#This Row],[PREÇOS -ESFERA
  FEDERAL]:[PREÇOS -  MERCADO]])</f>
        <v>2833.0191666666669</v>
      </c>
      <c r="G34" s="180">
        <f>Tabela35[[#This Row],[MÉDIA FINAL]]+INSTALAÇÃO!D32</f>
        <v>3878.7991666666667</v>
      </c>
    </row>
    <row r="35" spans="1:7" ht="47.25" customHeight="1" thickBot="1">
      <c r="A35" s="104">
        <v>15</v>
      </c>
      <c r="B35" s="110" t="s">
        <v>281</v>
      </c>
      <c r="C35" s="162">
        <f>'FEDERAL-18000 BTU'!N52</f>
        <v>3381.0860000000002</v>
      </c>
      <c r="D35" s="163">
        <f>'ESTADUAL-18000 BTU'!N37</f>
        <v>3037.4949999999999</v>
      </c>
      <c r="E35" s="163">
        <f>'PESQUISA MERCADO 18000 BTU  '!Q59</f>
        <v>3828.5066666666667</v>
      </c>
      <c r="F35" s="179">
        <f>AVERAGE(Tabela35[[#This Row],[PREÇOS -ESFERA
  FEDERAL]:[PREÇOS -  MERCADO]])</f>
        <v>3415.6958888888889</v>
      </c>
      <c r="G35" s="180">
        <f>Tabela35[[#This Row],[MÉDIA FINAL]]+INSTALAÇÃO!E32</f>
        <v>4591.4758888888891</v>
      </c>
    </row>
    <row r="36" spans="1:7" ht="56.25" customHeight="1" thickBot="1">
      <c r="A36" s="106">
        <v>16</v>
      </c>
      <c r="B36" s="111" t="s">
        <v>282</v>
      </c>
      <c r="C36" s="162">
        <f>'FEDERAL-24000 BTU'!N58</f>
        <v>4114.4160000000002</v>
      </c>
      <c r="D36" s="168" t="s">
        <v>275</v>
      </c>
      <c r="E36" s="169">
        <f>'PESQUISA MERCADO 24000 BTU  '!Q45</f>
        <v>4470.72</v>
      </c>
      <c r="F36" s="181">
        <f>AVERAGE(Tabela35[[#This Row],[PREÇOS -ESFERA
  FEDERAL]:[PREÇOS -  MERCADO]])</f>
        <v>4292.5680000000002</v>
      </c>
      <c r="G36" s="180">
        <f>Tabela35[[#This Row],[MÉDIA FINAL]]+INSTALAÇÃO!F32</f>
        <v>5514.6730000000007</v>
      </c>
    </row>
    <row r="37" spans="1:7" ht="45.75" customHeight="1" thickBot="1">
      <c r="A37" s="104">
        <v>17</v>
      </c>
      <c r="B37" s="113" t="s">
        <v>291</v>
      </c>
      <c r="C37" s="188">
        <f>'FEDERAL-30000 BTU '!N16</f>
        <v>4828.5</v>
      </c>
      <c r="D37" s="183" t="s">
        <v>275</v>
      </c>
      <c r="E37" s="183">
        <f>'PESQUISA MERCADO 30000 BTU'!Q29</f>
        <v>6955.7283333333335</v>
      </c>
      <c r="F37" s="179">
        <f>AVERAGE(Tabela35[[#This Row],[PREÇOS -ESFERA
  FEDERAL]:[PREÇOS -  MERCADO]])</f>
        <v>5892.1141666666663</v>
      </c>
      <c r="G37" s="184">
        <f>Tabela35[[#This Row],[MÉDIA FINAL]]+INSTALAÇÃO!G32</f>
        <v>7114.2191666666658</v>
      </c>
    </row>
    <row r="38" spans="1:7" ht="52.5" customHeight="1">
      <c r="A38" s="104">
        <v>18</v>
      </c>
      <c r="B38" s="113" t="s">
        <v>287</v>
      </c>
      <c r="C38" s="188">
        <f>'FEDERAL 60000 BTU '!N18</f>
        <v>9900</v>
      </c>
      <c r="D38" s="183" t="s">
        <v>275</v>
      </c>
      <c r="E38" s="183">
        <f>'PESQUISA MERCADO 60000 BTU  '!Q48</f>
        <v>12390.833333333334</v>
      </c>
      <c r="F38" s="179">
        <f>AVERAGE(Tabela35[[#This Row],[PREÇOS -ESFERA
  FEDERAL]:[PREÇOS -  MERCADO]])</f>
        <v>11145.416666666668</v>
      </c>
      <c r="G38" s="184">
        <f>Tabela35[[#This Row],[MÉDIA FINAL]]+INSTALAÇÃO!H32</f>
        <v>12470.856666666668</v>
      </c>
    </row>
    <row r="43" spans="1:7">
      <c r="B43" s="260" t="s">
        <v>292</v>
      </c>
      <c r="C43" s="260"/>
      <c r="D43" s="260"/>
      <c r="E43" s="260"/>
      <c r="F43" s="260"/>
      <c r="G43" s="260"/>
    </row>
    <row r="44" spans="1:7" ht="52.5" customHeight="1" thickBot="1">
      <c r="A44" t="s">
        <v>263</v>
      </c>
      <c r="B44" t="s">
        <v>264</v>
      </c>
      <c r="C44" s="103" t="s">
        <v>265</v>
      </c>
      <c r="D44" s="16" t="s">
        <v>293</v>
      </c>
      <c r="E44" t="s">
        <v>267</v>
      </c>
      <c r="F44" t="s">
        <v>268</v>
      </c>
      <c r="G44" s="103" t="s">
        <v>278</v>
      </c>
    </row>
    <row r="45" spans="1:7" ht="45" customHeight="1">
      <c r="A45" s="104">
        <v>19</v>
      </c>
      <c r="B45" s="109" t="s">
        <v>287</v>
      </c>
      <c r="C45" s="162" t="s">
        <v>271</v>
      </c>
      <c r="D45" s="166" t="s">
        <v>271</v>
      </c>
      <c r="E45" s="163">
        <f>'PESQUISA MERCADO 60000 BTU  '!Q16</f>
        <v>12162.346666666666</v>
      </c>
      <c r="F45" s="179">
        <f>AVERAGE(Tabela36[[#This Row],[PREÇOS -ESFERA 
 FEDERAL]:[PREÇOS -  MERCADO]])</f>
        <v>12162.346666666666</v>
      </c>
      <c r="G45" s="180">
        <f>Tabela36[[#This Row],[MÉDIA FINAL]]+INSTALAÇÃO!H33</f>
        <v>13511.206666666667</v>
      </c>
    </row>
  </sheetData>
  <mergeCells count="5">
    <mergeCell ref="B2:G2"/>
    <mergeCell ref="B11:G11"/>
    <mergeCell ref="B21:G21"/>
    <mergeCell ref="B31:G31"/>
    <mergeCell ref="B43:G43"/>
  </mergeCells>
  <pageMargins left="0.511811024" right="0.511811024" top="0.78740157499999996" bottom="0.78740157499999996" header="0.31496062000000002" footer="0.31496062000000002"/>
  <ignoredErrors>
    <ignoredError sqref="C5 C15:C16 D15 E14:E16 E4:E6 C25 E24:E25 C36 E34 E35 E36" calculatedColumn="1"/>
  </ignoredErrors>
  <tableParts count="5">
    <tablePart r:id="rId1"/>
    <tablePart r:id="rId2"/>
    <tablePart r:id="rId3"/>
    <tablePart r:id="rId4"/>
    <tablePart r:id="rId5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1A6C0-FC31-4693-BAF9-A3026FB878A5}">
  <sheetPr>
    <tabColor rgb="FF92D050"/>
  </sheetPr>
  <dimension ref="A1:F27"/>
  <sheetViews>
    <sheetView showGridLines="0" topLeftCell="B4" zoomScale="80" zoomScaleNormal="80" workbookViewId="0">
      <selection activeCell="C20" sqref="C20"/>
    </sheetView>
  </sheetViews>
  <sheetFormatPr defaultColWidth="21.28515625" defaultRowHeight="15"/>
  <cols>
    <col min="1" max="1" width="8.140625" style="29" customWidth="1"/>
    <col min="2" max="2" width="70.42578125" style="29" customWidth="1"/>
    <col min="3" max="3" width="13.85546875" style="29" customWidth="1"/>
    <col min="4" max="4" width="11.42578125" style="29" customWidth="1"/>
    <col min="5" max="5" width="11.28515625" style="29" customWidth="1"/>
    <col min="6" max="6" width="13.140625" style="29" customWidth="1"/>
    <col min="7" max="16384" width="21.28515625" style="29"/>
  </cols>
  <sheetData>
    <row r="1" spans="1:6" ht="36.6" customHeight="1" thickBot="1">
      <c r="A1" s="337" t="s">
        <v>294</v>
      </c>
      <c r="B1" s="338"/>
      <c r="C1" s="338"/>
      <c r="D1" s="338"/>
      <c r="E1" s="338"/>
      <c r="F1" s="338"/>
    </row>
    <row r="2" spans="1:6" ht="74.25" customHeight="1">
      <c r="A2" s="45" t="s">
        <v>263</v>
      </c>
      <c r="B2" s="45" t="s">
        <v>295</v>
      </c>
      <c r="C2" s="45" t="s">
        <v>296</v>
      </c>
      <c r="D2" s="45" t="s">
        <v>297</v>
      </c>
      <c r="E2" s="45" t="s">
        <v>298</v>
      </c>
      <c r="F2" s="45" t="s">
        <v>299</v>
      </c>
    </row>
    <row r="3" spans="1:6" ht="105">
      <c r="A3" s="30">
        <v>1</v>
      </c>
      <c r="B3" s="96" t="s">
        <v>300</v>
      </c>
      <c r="C3" s="97">
        <v>458218</v>
      </c>
      <c r="D3" s="189" t="s">
        <v>301</v>
      </c>
      <c r="E3" s="189">
        <v>1</v>
      </c>
      <c r="F3" s="98">
        <v>2</v>
      </c>
    </row>
    <row r="4" spans="1:6" ht="120">
      <c r="A4" s="30">
        <v>2</v>
      </c>
      <c r="B4" s="96" t="s">
        <v>302</v>
      </c>
      <c r="C4" s="97">
        <v>458191</v>
      </c>
      <c r="D4" s="189" t="s">
        <v>301</v>
      </c>
      <c r="E4" s="189">
        <v>1</v>
      </c>
      <c r="F4" s="98">
        <v>21</v>
      </c>
    </row>
    <row r="5" spans="1:6" ht="120">
      <c r="A5" s="30">
        <v>3</v>
      </c>
      <c r="B5" s="96" t="s">
        <v>303</v>
      </c>
      <c r="C5" s="97">
        <v>440747</v>
      </c>
      <c r="D5" s="189" t="s">
        <v>301</v>
      </c>
      <c r="E5" s="189">
        <v>1</v>
      </c>
      <c r="F5" s="98">
        <v>8</v>
      </c>
    </row>
    <row r="6" spans="1:6" ht="118.5" customHeight="1">
      <c r="A6" s="95">
        <v>4</v>
      </c>
      <c r="B6" s="96" t="s">
        <v>304</v>
      </c>
      <c r="C6" s="99">
        <v>483097</v>
      </c>
      <c r="D6" s="189" t="s">
        <v>301</v>
      </c>
      <c r="E6" s="189">
        <v>1</v>
      </c>
      <c r="F6" s="100">
        <v>3</v>
      </c>
    </row>
    <row r="7" spans="1:6" ht="45">
      <c r="A7" s="45" t="s">
        <v>263</v>
      </c>
      <c r="B7" s="45" t="s">
        <v>305</v>
      </c>
      <c r="C7" s="45" t="s">
        <v>296</v>
      </c>
      <c r="D7" s="45" t="s">
        <v>297</v>
      </c>
      <c r="E7" s="45" t="s">
        <v>298</v>
      </c>
      <c r="F7" s="45" t="s">
        <v>299</v>
      </c>
    </row>
    <row r="8" spans="1:6" ht="120">
      <c r="A8" s="30">
        <v>5</v>
      </c>
      <c r="B8" s="96" t="s">
        <v>306</v>
      </c>
      <c r="C8" s="97">
        <v>458194</v>
      </c>
      <c r="D8" s="189" t="s">
        <v>301</v>
      </c>
      <c r="E8" s="189">
        <v>1</v>
      </c>
      <c r="F8" s="98">
        <v>8</v>
      </c>
    </row>
    <row r="9" spans="1:6" ht="120.75" customHeight="1">
      <c r="A9" s="30">
        <v>6</v>
      </c>
      <c r="B9" s="170" t="s">
        <v>307</v>
      </c>
      <c r="C9" s="97">
        <v>458218</v>
      </c>
      <c r="D9" s="189" t="s">
        <v>301</v>
      </c>
      <c r="E9" s="189">
        <v>1</v>
      </c>
      <c r="F9" s="98">
        <v>29</v>
      </c>
    </row>
    <row r="10" spans="1:6" ht="121.5">
      <c r="A10" s="30">
        <v>7</v>
      </c>
      <c r="B10" s="170" t="s">
        <v>308</v>
      </c>
      <c r="C10" s="97">
        <v>458191</v>
      </c>
      <c r="D10" s="189" t="s">
        <v>301</v>
      </c>
      <c r="E10" s="189">
        <v>1</v>
      </c>
      <c r="F10" s="98">
        <v>8</v>
      </c>
    </row>
    <row r="11" spans="1:6" ht="126" customHeight="1">
      <c r="A11" s="101">
        <v>8</v>
      </c>
      <c r="B11" s="96" t="s">
        <v>309</v>
      </c>
      <c r="C11" s="97">
        <v>440747</v>
      </c>
      <c r="D11" s="189" t="s">
        <v>301</v>
      </c>
      <c r="E11" s="189">
        <v>1</v>
      </c>
      <c r="F11" s="98">
        <v>1</v>
      </c>
    </row>
    <row r="12" spans="1:6" ht="69" customHeight="1">
      <c r="A12" s="28" t="s">
        <v>263</v>
      </c>
      <c r="B12" s="28" t="s">
        <v>310</v>
      </c>
      <c r="C12" s="28" t="s">
        <v>311</v>
      </c>
      <c r="D12" s="28" t="s">
        <v>297</v>
      </c>
      <c r="E12" s="28" t="s">
        <v>298</v>
      </c>
      <c r="F12" s="28" t="s">
        <v>299</v>
      </c>
    </row>
    <row r="13" spans="1:6" ht="129" customHeight="1">
      <c r="A13" s="28">
        <v>9</v>
      </c>
      <c r="B13" s="96" t="s">
        <v>312</v>
      </c>
      <c r="C13" s="97">
        <v>458194</v>
      </c>
      <c r="D13" s="189" t="s">
        <v>301</v>
      </c>
      <c r="E13" s="189">
        <v>1</v>
      </c>
      <c r="F13" s="190">
        <v>5</v>
      </c>
    </row>
    <row r="14" spans="1:6" ht="125.25" customHeight="1">
      <c r="A14" s="30">
        <v>10</v>
      </c>
      <c r="B14" s="96" t="s">
        <v>313</v>
      </c>
      <c r="C14" s="97">
        <v>458218</v>
      </c>
      <c r="D14" s="189" t="s">
        <v>301</v>
      </c>
      <c r="E14" s="189">
        <v>1</v>
      </c>
      <c r="F14" s="98">
        <v>17</v>
      </c>
    </row>
    <row r="15" spans="1:6" ht="120" customHeight="1">
      <c r="A15" s="30">
        <v>11</v>
      </c>
      <c r="B15" s="96" t="s">
        <v>314</v>
      </c>
      <c r="C15" s="97">
        <v>458191</v>
      </c>
      <c r="D15" s="189" t="s">
        <v>301</v>
      </c>
      <c r="E15" s="189">
        <v>1</v>
      </c>
      <c r="F15" s="98">
        <v>7</v>
      </c>
    </row>
    <row r="16" spans="1:6" ht="125.25" customHeight="1">
      <c r="A16" s="30">
        <v>12</v>
      </c>
      <c r="B16" s="96" t="s">
        <v>315</v>
      </c>
      <c r="C16" s="97">
        <v>398485</v>
      </c>
      <c r="D16" s="189" t="s">
        <v>301</v>
      </c>
      <c r="E16" s="189">
        <v>1</v>
      </c>
      <c r="F16" s="98">
        <v>1</v>
      </c>
    </row>
    <row r="17" spans="1:6" ht="64.5" customHeight="1">
      <c r="A17" s="28" t="s">
        <v>263</v>
      </c>
      <c r="B17" s="28" t="s">
        <v>316</v>
      </c>
      <c r="C17" s="28" t="s">
        <v>311</v>
      </c>
      <c r="D17" s="28" t="s">
        <v>297</v>
      </c>
      <c r="E17" s="28" t="s">
        <v>298</v>
      </c>
      <c r="F17" s="28" t="s">
        <v>299</v>
      </c>
    </row>
    <row r="18" spans="1:6" ht="144.75" customHeight="1">
      <c r="A18" s="191">
        <v>13</v>
      </c>
      <c r="B18" s="96" t="s">
        <v>317</v>
      </c>
      <c r="C18" s="97">
        <v>458194</v>
      </c>
      <c r="D18" s="189" t="s">
        <v>301</v>
      </c>
      <c r="E18" s="189">
        <v>1</v>
      </c>
      <c r="F18" s="98">
        <v>7</v>
      </c>
    </row>
    <row r="19" spans="1:6" ht="144" customHeight="1">
      <c r="A19" s="30">
        <v>14</v>
      </c>
      <c r="B19" s="170" t="s">
        <v>318</v>
      </c>
      <c r="C19" s="97">
        <v>458218</v>
      </c>
      <c r="D19" s="189" t="s">
        <v>301</v>
      </c>
      <c r="E19" s="189">
        <v>1</v>
      </c>
      <c r="F19" s="98">
        <v>17</v>
      </c>
    </row>
    <row r="20" spans="1:6" ht="120">
      <c r="A20" s="30">
        <v>15</v>
      </c>
      <c r="B20" s="170" t="s">
        <v>319</v>
      </c>
      <c r="C20" s="97">
        <v>458191</v>
      </c>
      <c r="D20" s="189" t="s">
        <v>301</v>
      </c>
      <c r="E20" s="189">
        <v>1</v>
      </c>
      <c r="F20" s="98">
        <v>4</v>
      </c>
    </row>
    <row r="21" spans="1:6" ht="120">
      <c r="A21" s="30">
        <v>16</v>
      </c>
      <c r="B21" s="170" t="s">
        <v>320</v>
      </c>
      <c r="C21" s="97">
        <v>440747</v>
      </c>
      <c r="D21" s="189" t="s">
        <v>301</v>
      </c>
      <c r="E21" s="189">
        <v>1</v>
      </c>
      <c r="F21" s="98">
        <v>1</v>
      </c>
    </row>
    <row r="22" spans="1:6" ht="141" customHeight="1">
      <c r="A22" s="101">
        <v>17</v>
      </c>
      <c r="B22" s="170" t="s">
        <v>321</v>
      </c>
      <c r="C22" s="99">
        <v>483097</v>
      </c>
      <c r="D22" s="189" t="s">
        <v>301</v>
      </c>
      <c r="E22" s="189">
        <v>1</v>
      </c>
      <c r="F22" s="102">
        <v>3</v>
      </c>
    </row>
    <row r="23" spans="1:6" ht="134.25" customHeight="1">
      <c r="A23" s="101">
        <v>18</v>
      </c>
      <c r="B23" s="170" t="s">
        <v>322</v>
      </c>
      <c r="C23" s="97">
        <v>398485</v>
      </c>
      <c r="D23" s="189" t="s">
        <v>301</v>
      </c>
      <c r="E23" s="189">
        <v>1</v>
      </c>
      <c r="F23" s="102">
        <v>4</v>
      </c>
    </row>
    <row r="24" spans="1:6" ht="73.5" customHeight="1">
      <c r="A24" s="28" t="s">
        <v>263</v>
      </c>
      <c r="B24" s="28" t="s">
        <v>323</v>
      </c>
      <c r="C24" s="28" t="s">
        <v>311</v>
      </c>
      <c r="D24" s="28" t="s">
        <v>297</v>
      </c>
      <c r="E24" s="28" t="s">
        <v>298</v>
      </c>
      <c r="F24" s="28" t="s">
        <v>299</v>
      </c>
    </row>
    <row r="25" spans="1:6" ht="120">
      <c r="A25" s="30">
        <v>19</v>
      </c>
      <c r="B25" s="96" t="s">
        <v>324</v>
      </c>
      <c r="C25" s="97">
        <v>398485</v>
      </c>
      <c r="D25" s="189" t="s">
        <v>301</v>
      </c>
      <c r="E25" s="189">
        <v>1</v>
      </c>
      <c r="F25" s="98">
        <v>2</v>
      </c>
    </row>
    <row r="26" spans="1:6">
      <c r="A26" s="41"/>
      <c r="B26" s="42"/>
      <c r="C26" s="41"/>
      <c r="D26" s="41"/>
      <c r="E26" s="41"/>
      <c r="F26" s="43"/>
    </row>
    <row r="27" spans="1:6">
      <c r="C27" s="31"/>
      <c r="D27" s="31"/>
      <c r="E27" s="31"/>
      <c r="F27" s="32"/>
    </row>
  </sheetData>
  <mergeCells count="1">
    <mergeCell ref="A1:F1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3A4F8-23D0-41CB-A339-5CB51764A22F}">
  <sheetPr>
    <tabColor rgb="FF92D050"/>
  </sheetPr>
  <dimension ref="A1:H27"/>
  <sheetViews>
    <sheetView showGridLines="0" tabSelected="1" topLeftCell="A22" zoomScale="65" zoomScaleNormal="65" workbookViewId="0">
      <selection activeCell="H25" sqref="H25"/>
    </sheetView>
  </sheetViews>
  <sheetFormatPr defaultColWidth="21.28515625" defaultRowHeight="15"/>
  <cols>
    <col min="1" max="1" width="8.140625" style="29" customWidth="1"/>
    <col min="2" max="2" width="70.42578125" style="29" customWidth="1"/>
    <col min="3" max="3" width="13.85546875" style="29" customWidth="1"/>
    <col min="4" max="4" width="11.42578125" style="29" customWidth="1"/>
    <col min="5" max="5" width="11.28515625" style="29" customWidth="1"/>
    <col min="6" max="6" width="13.140625" style="29" customWidth="1"/>
    <col min="7" max="7" width="15.85546875" style="29" customWidth="1"/>
    <col min="8" max="8" width="21.7109375" style="29" customWidth="1"/>
    <col min="9" max="16384" width="21.28515625" style="29"/>
  </cols>
  <sheetData>
    <row r="1" spans="1:8" ht="36.6" customHeight="1" thickBot="1">
      <c r="A1" s="337" t="s">
        <v>294</v>
      </c>
      <c r="B1" s="338"/>
      <c r="C1" s="338"/>
      <c r="D1" s="338"/>
      <c r="E1" s="338"/>
      <c r="F1" s="338"/>
      <c r="G1" s="338"/>
      <c r="H1" s="339"/>
    </row>
    <row r="2" spans="1:8" ht="74.25" customHeight="1">
      <c r="A2" s="45" t="s">
        <v>263</v>
      </c>
      <c r="B2" s="45" t="s">
        <v>295</v>
      </c>
      <c r="C2" s="45" t="s">
        <v>296</v>
      </c>
      <c r="D2" s="45" t="s">
        <v>297</v>
      </c>
      <c r="E2" s="45" t="s">
        <v>298</v>
      </c>
      <c r="F2" s="45" t="s">
        <v>299</v>
      </c>
      <c r="G2" s="45" t="s">
        <v>325</v>
      </c>
      <c r="H2" s="114" t="s">
        <v>326</v>
      </c>
    </row>
    <row r="3" spans="1:8" ht="138.75" customHeight="1">
      <c r="A3" s="30">
        <v>1</v>
      </c>
      <c r="B3" s="115" t="s">
        <v>300</v>
      </c>
      <c r="C3" s="116">
        <v>458218</v>
      </c>
      <c r="D3" s="192" t="s">
        <v>301</v>
      </c>
      <c r="E3" s="192">
        <v>1</v>
      </c>
      <c r="F3" s="117">
        <v>2</v>
      </c>
      <c r="G3" s="118">
        <v>3838.63</v>
      </c>
      <c r="H3" s="118">
        <f>G3*F3</f>
        <v>7677.26</v>
      </c>
    </row>
    <row r="4" spans="1:8" ht="146.25" customHeight="1">
      <c r="A4" s="30">
        <v>2</v>
      </c>
      <c r="B4" s="115" t="s">
        <v>302</v>
      </c>
      <c r="C4" s="116">
        <v>458191</v>
      </c>
      <c r="D4" s="192" t="s">
        <v>301</v>
      </c>
      <c r="E4" s="192">
        <v>1</v>
      </c>
      <c r="F4" s="117">
        <v>21</v>
      </c>
      <c r="G4" s="118">
        <v>4713.3</v>
      </c>
      <c r="H4" s="118">
        <f>G4*F4</f>
        <v>98979.3</v>
      </c>
    </row>
    <row r="5" spans="1:8" ht="144.75" customHeight="1">
      <c r="A5" s="30">
        <v>3</v>
      </c>
      <c r="B5" s="115" t="s">
        <v>303</v>
      </c>
      <c r="C5" s="116">
        <v>440747</v>
      </c>
      <c r="D5" s="192" t="s">
        <v>301</v>
      </c>
      <c r="E5" s="192">
        <v>1</v>
      </c>
      <c r="F5" s="117">
        <v>8</v>
      </c>
      <c r="G5" s="118">
        <v>5658.47</v>
      </c>
      <c r="H5" s="118">
        <f>G5*F5</f>
        <v>45267.76</v>
      </c>
    </row>
    <row r="6" spans="1:8" ht="138.75" customHeight="1">
      <c r="A6" s="95">
        <v>4</v>
      </c>
      <c r="B6" s="115" t="s">
        <v>304</v>
      </c>
      <c r="C6" s="119">
        <v>483097</v>
      </c>
      <c r="D6" s="192" t="s">
        <v>301</v>
      </c>
      <c r="E6" s="192">
        <v>1</v>
      </c>
      <c r="F6" s="120">
        <v>3</v>
      </c>
      <c r="G6" s="118">
        <f>'MÉDIA FINAL'!G7</f>
        <v>8484.868333333332</v>
      </c>
      <c r="H6" s="118">
        <f>G6*F6</f>
        <v>25454.604999999996</v>
      </c>
    </row>
    <row r="7" spans="1:8" ht="60">
      <c r="A7" s="45" t="s">
        <v>263</v>
      </c>
      <c r="B7" s="45" t="s">
        <v>305</v>
      </c>
      <c r="C7" s="45" t="s">
        <v>296</v>
      </c>
      <c r="D7" s="45" t="s">
        <v>297</v>
      </c>
      <c r="E7" s="45" t="s">
        <v>298</v>
      </c>
      <c r="F7" s="45" t="s">
        <v>299</v>
      </c>
      <c r="G7" s="45" t="s">
        <v>325</v>
      </c>
      <c r="H7" s="114" t="s">
        <v>326</v>
      </c>
    </row>
    <row r="8" spans="1:8" ht="137.25" customHeight="1">
      <c r="A8" s="30">
        <v>5</v>
      </c>
      <c r="B8" s="115" t="s">
        <v>306</v>
      </c>
      <c r="C8" s="116">
        <v>458194</v>
      </c>
      <c r="D8" s="192" t="s">
        <v>301</v>
      </c>
      <c r="E8" s="192">
        <v>1</v>
      </c>
      <c r="F8" s="117">
        <v>8</v>
      </c>
      <c r="G8" s="118">
        <v>3276.81</v>
      </c>
      <c r="H8" s="118">
        <f>G8*F8</f>
        <v>26214.48</v>
      </c>
    </row>
    <row r="9" spans="1:8" ht="147" customHeight="1">
      <c r="A9" s="30">
        <v>6</v>
      </c>
      <c r="B9" s="171" t="s">
        <v>327</v>
      </c>
      <c r="C9" s="116">
        <v>458218</v>
      </c>
      <c r="D9" s="192" t="s">
        <v>301</v>
      </c>
      <c r="E9" s="192">
        <v>1</v>
      </c>
      <c r="F9" s="117">
        <v>29</v>
      </c>
      <c r="G9" s="118">
        <v>3850.49</v>
      </c>
      <c r="H9" s="118">
        <f>G9*F9</f>
        <v>111664.20999999999</v>
      </c>
    </row>
    <row r="10" spans="1:8" ht="144.75" customHeight="1">
      <c r="A10" s="30">
        <v>7</v>
      </c>
      <c r="B10" s="222" t="s">
        <v>308</v>
      </c>
      <c r="C10" s="223">
        <v>458191</v>
      </c>
      <c r="D10" s="223" t="s">
        <v>301</v>
      </c>
      <c r="E10" s="223">
        <v>1</v>
      </c>
      <c r="F10" s="224">
        <v>8</v>
      </c>
      <c r="G10" s="225">
        <v>4520.49</v>
      </c>
      <c r="H10" s="118">
        <f>G10*F10</f>
        <v>36163.919999999998</v>
      </c>
    </row>
    <row r="11" spans="1:8" ht="141" customHeight="1">
      <c r="A11" s="101">
        <v>8</v>
      </c>
      <c r="B11" s="115" t="s">
        <v>309</v>
      </c>
      <c r="C11" s="116">
        <v>440747</v>
      </c>
      <c r="D11" s="192" t="s">
        <v>301</v>
      </c>
      <c r="E11" s="192">
        <v>1</v>
      </c>
      <c r="F11" s="117">
        <v>1</v>
      </c>
      <c r="G11" s="118">
        <f>'MÉDIA FINAL'!G16</f>
        <v>5490.6888888888889</v>
      </c>
      <c r="H11" s="118">
        <f>G11*F11</f>
        <v>5490.6888888888889</v>
      </c>
    </row>
    <row r="12" spans="1:8" ht="69" customHeight="1">
      <c r="A12" s="28" t="s">
        <v>263</v>
      </c>
      <c r="B12" s="28" t="s">
        <v>310</v>
      </c>
      <c r="C12" s="28" t="s">
        <v>311</v>
      </c>
      <c r="D12" s="28" t="s">
        <v>297</v>
      </c>
      <c r="E12" s="28" t="s">
        <v>298</v>
      </c>
      <c r="F12" s="28" t="s">
        <v>299</v>
      </c>
      <c r="G12" s="28" t="s">
        <v>325</v>
      </c>
      <c r="H12" s="121" t="s">
        <v>326</v>
      </c>
    </row>
    <row r="13" spans="1:8" ht="146.25" customHeight="1">
      <c r="A13" s="28">
        <v>9</v>
      </c>
      <c r="B13" s="115" t="s">
        <v>312</v>
      </c>
      <c r="C13" s="116">
        <v>458194</v>
      </c>
      <c r="D13" s="192" t="s">
        <v>301</v>
      </c>
      <c r="E13" s="192">
        <v>1</v>
      </c>
      <c r="F13" s="191">
        <v>5</v>
      </c>
      <c r="G13" s="118">
        <v>3193.82</v>
      </c>
      <c r="H13" s="118">
        <f>G13*F13</f>
        <v>15969.1</v>
      </c>
    </row>
    <row r="14" spans="1:8" ht="153" customHeight="1">
      <c r="A14" s="30">
        <v>10</v>
      </c>
      <c r="B14" s="115" t="s">
        <v>313</v>
      </c>
      <c r="C14" s="116">
        <v>458218</v>
      </c>
      <c r="D14" s="192" t="s">
        <v>301</v>
      </c>
      <c r="E14" s="192">
        <v>1</v>
      </c>
      <c r="F14" s="117">
        <v>17</v>
      </c>
      <c r="G14" s="118">
        <v>3438.02</v>
      </c>
      <c r="H14" s="118">
        <f>G14*F14</f>
        <v>58446.34</v>
      </c>
    </row>
    <row r="15" spans="1:8" ht="120" customHeight="1">
      <c r="A15" s="30">
        <v>11</v>
      </c>
      <c r="B15" s="115" t="s">
        <v>314</v>
      </c>
      <c r="C15" s="116">
        <v>458191</v>
      </c>
      <c r="D15" s="192" t="s">
        <v>301</v>
      </c>
      <c r="E15" s="192">
        <v>1</v>
      </c>
      <c r="F15" s="117">
        <v>7</v>
      </c>
      <c r="G15" s="118">
        <v>4717.34</v>
      </c>
      <c r="H15" s="118">
        <f>G15*F15</f>
        <v>33021.380000000005</v>
      </c>
    </row>
    <row r="16" spans="1:8" ht="125.25" customHeight="1">
      <c r="A16" s="30">
        <v>12</v>
      </c>
      <c r="B16" s="115" t="s">
        <v>315</v>
      </c>
      <c r="C16" s="116">
        <v>398485</v>
      </c>
      <c r="D16" s="192" t="s">
        <v>301</v>
      </c>
      <c r="E16" s="192">
        <v>1</v>
      </c>
      <c r="F16" s="117">
        <v>1</v>
      </c>
      <c r="G16" s="118">
        <f>'MÉDIA FINAL'!G26</f>
        <v>13549.363333333333</v>
      </c>
      <c r="H16" s="118">
        <f>G16*F16</f>
        <v>13549.363333333333</v>
      </c>
    </row>
    <row r="17" spans="1:8" ht="64.5" customHeight="1">
      <c r="A17" s="28" t="s">
        <v>263</v>
      </c>
      <c r="B17" s="28" t="s">
        <v>316</v>
      </c>
      <c r="C17" s="28" t="s">
        <v>311</v>
      </c>
      <c r="D17" s="28" t="s">
        <v>297</v>
      </c>
      <c r="E17" s="28" t="s">
        <v>298</v>
      </c>
      <c r="F17" s="28" t="s">
        <v>299</v>
      </c>
      <c r="G17" s="28" t="s">
        <v>325</v>
      </c>
      <c r="H17" s="121" t="s">
        <v>326</v>
      </c>
    </row>
    <row r="18" spans="1:8" ht="177" customHeight="1">
      <c r="A18" s="191">
        <v>13</v>
      </c>
      <c r="B18" s="115" t="s">
        <v>317</v>
      </c>
      <c r="C18" s="116">
        <v>458194</v>
      </c>
      <c r="D18" s="192" t="s">
        <v>301</v>
      </c>
      <c r="E18" s="192">
        <v>1</v>
      </c>
      <c r="F18" s="117">
        <v>7</v>
      </c>
      <c r="G18" s="118">
        <v>3453.77</v>
      </c>
      <c r="H18" s="118">
        <f>G18*F18</f>
        <v>24176.39</v>
      </c>
    </row>
    <row r="19" spans="1:8" ht="168.75" customHeight="1">
      <c r="A19" s="30">
        <v>14</v>
      </c>
      <c r="B19" s="171" t="s">
        <v>328</v>
      </c>
      <c r="C19" s="116">
        <v>458218</v>
      </c>
      <c r="D19" s="192" t="s">
        <v>301</v>
      </c>
      <c r="E19" s="192">
        <v>1</v>
      </c>
      <c r="F19" s="117">
        <v>17</v>
      </c>
      <c r="G19" s="118">
        <v>3878.8</v>
      </c>
      <c r="H19" s="118">
        <f>G19*F19</f>
        <v>65939.600000000006</v>
      </c>
    </row>
    <row r="20" spans="1:8" ht="121.5">
      <c r="A20" s="30">
        <v>15</v>
      </c>
      <c r="B20" s="171" t="s">
        <v>329</v>
      </c>
      <c r="C20" s="116">
        <v>458191</v>
      </c>
      <c r="D20" s="192" t="s">
        <v>301</v>
      </c>
      <c r="E20" s="192">
        <v>1</v>
      </c>
      <c r="F20" s="117">
        <v>4</v>
      </c>
      <c r="G20" s="118">
        <v>4591.4799999999996</v>
      </c>
      <c r="H20" s="118">
        <f>G20*F20</f>
        <v>18365.919999999998</v>
      </c>
    </row>
    <row r="21" spans="1:8" ht="169.5" customHeight="1">
      <c r="A21" s="30">
        <v>16</v>
      </c>
      <c r="B21" s="115" t="s">
        <v>330</v>
      </c>
      <c r="C21" s="116">
        <v>440747</v>
      </c>
      <c r="D21" s="192" t="s">
        <v>301</v>
      </c>
      <c r="E21" s="192">
        <v>1</v>
      </c>
      <c r="F21" s="117">
        <v>1</v>
      </c>
      <c r="G21" s="118">
        <f>'MÉDIA FINAL'!G36</f>
        <v>5514.6730000000007</v>
      </c>
      <c r="H21" s="118">
        <f t="shared" ref="H21:H25" si="0">G21*F21</f>
        <v>5514.6730000000007</v>
      </c>
    </row>
    <row r="22" spans="1:8" ht="175.5" customHeight="1">
      <c r="A22" s="101">
        <v>17</v>
      </c>
      <c r="B22" s="115" t="s">
        <v>331</v>
      </c>
      <c r="C22" s="119">
        <v>483097</v>
      </c>
      <c r="D22" s="192" t="s">
        <v>301</v>
      </c>
      <c r="E22" s="192">
        <v>1</v>
      </c>
      <c r="F22" s="122">
        <v>3</v>
      </c>
      <c r="G22" s="118">
        <f>'MÉDIA FINAL'!G37</f>
        <v>7114.2191666666658</v>
      </c>
      <c r="H22" s="118">
        <f t="shared" si="0"/>
        <v>21342.657499999998</v>
      </c>
    </row>
    <row r="23" spans="1:8" ht="150.75" customHeight="1">
      <c r="A23" s="101">
        <v>18</v>
      </c>
      <c r="B23" s="115" t="s">
        <v>332</v>
      </c>
      <c r="C23" s="116">
        <v>398485</v>
      </c>
      <c r="D23" s="192" t="s">
        <v>301</v>
      </c>
      <c r="E23" s="192">
        <v>1</v>
      </c>
      <c r="F23" s="122">
        <v>4</v>
      </c>
      <c r="G23" s="118">
        <v>12470.86</v>
      </c>
      <c r="H23" s="118">
        <f t="shared" si="0"/>
        <v>49883.44</v>
      </c>
    </row>
    <row r="24" spans="1:8" ht="73.5" customHeight="1">
      <c r="A24" s="28" t="s">
        <v>263</v>
      </c>
      <c r="B24" s="28" t="s">
        <v>323</v>
      </c>
      <c r="C24" s="28" t="s">
        <v>311</v>
      </c>
      <c r="D24" s="28" t="s">
        <v>297</v>
      </c>
      <c r="E24" s="28" t="s">
        <v>298</v>
      </c>
      <c r="F24" s="28" t="s">
        <v>299</v>
      </c>
      <c r="G24" s="28" t="s">
        <v>325</v>
      </c>
      <c r="H24" s="121" t="s">
        <v>326</v>
      </c>
    </row>
    <row r="25" spans="1:8" ht="146.25" customHeight="1">
      <c r="A25" s="30">
        <v>19</v>
      </c>
      <c r="B25" s="115" t="s">
        <v>324</v>
      </c>
      <c r="C25" s="116">
        <v>398485</v>
      </c>
      <c r="D25" s="192" t="s">
        <v>301</v>
      </c>
      <c r="E25" s="192">
        <v>1</v>
      </c>
      <c r="F25" s="117">
        <v>2</v>
      </c>
      <c r="G25" s="118">
        <v>13511.21</v>
      </c>
      <c r="H25" s="118">
        <f t="shared" si="0"/>
        <v>27022.42</v>
      </c>
    </row>
    <row r="26" spans="1:8">
      <c r="A26" s="41"/>
      <c r="B26" s="42"/>
      <c r="C26" s="41"/>
      <c r="D26" s="41"/>
      <c r="E26" s="41"/>
      <c r="F26" s="43"/>
      <c r="G26" s="41"/>
      <c r="H26" s="123"/>
    </row>
    <row r="27" spans="1:8">
      <c r="C27" s="31" t="s">
        <v>333</v>
      </c>
      <c r="D27" s="31"/>
      <c r="E27" s="31"/>
      <c r="F27" s="32"/>
      <c r="H27" s="124">
        <f>SUM(H3:H6,H8:H11,H13:H16,H18:H23,H25)</f>
        <v>690143.50772222213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8E344-4F34-4B00-8921-537451624C42}">
  <sheetPr>
    <tabColor rgb="FF00B050"/>
  </sheetPr>
  <dimension ref="A1:N52"/>
  <sheetViews>
    <sheetView showGridLines="0" topLeftCell="A27" workbookViewId="0">
      <selection activeCell="N27" sqref="N27"/>
    </sheetView>
  </sheetViews>
  <sheetFormatPr defaultRowHeight="15"/>
  <cols>
    <col min="1" max="1" width="13.85546875" customWidth="1"/>
    <col min="3" max="3" width="13.42578125" customWidth="1"/>
    <col min="5" max="5" width="10.85546875" customWidth="1"/>
    <col min="6" max="6" width="29.5703125" customWidth="1"/>
    <col min="7" max="7" width="26.7109375" customWidth="1"/>
    <col min="8" max="8" width="12.7109375" customWidth="1"/>
    <col min="9" max="9" width="1.5703125" customWidth="1"/>
    <col min="11" max="11" width="12" customWidth="1"/>
    <col min="12" max="12" width="11" customWidth="1"/>
    <col min="13" max="13" width="11.42578125" customWidth="1"/>
    <col min="14" max="14" width="11.85546875" customWidth="1"/>
  </cols>
  <sheetData>
    <row r="1" spans="1:14" ht="18.75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4" spans="1:14">
      <c r="A4" s="228" t="s">
        <v>44</v>
      </c>
      <c r="B4" s="228"/>
      <c r="C4" s="228"/>
      <c r="D4" s="228"/>
      <c r="E4" s="228"/>
      <c r="F4" s="228"/>
      <c r="G4" s="228"/>
      <c r="H4" s="228"/>
      <c r="J4" s="228" t="s">
        <v>44</v>
      </c>
      <c r="K4" s="228"/>
      <c r="L4" s="228"/>
      <c r="M4" s="228"/>
      <c r="N4" s="228"/>
    </row>
    <row r="5" spans="1:14">
      <c r="A5" s="228" t="s">
        <v>64</v>
      </c>
      <c r="B5" s="228"/>
      <c r="C5" s="228"/>
      <c r="D5" s="228"/>
      <c r="E5" s="228"/>
      <c r="F5" s="228"/>
      <c r="G5" s="228"/>
      <c r="H5" s="228"/>
      <c r="J5" s="229" t="s">
        <v>3</v>
      </c>
      <c r="K5" s="229"/>
      <c r="L5" s="229"/>
      <c r="M5" s="229"/>
      <c r="N5" s="229"/>
    </row>
    <row r="6" spans="1:14" ht="45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  <c r="N6" s="1" t="s">
        <v>16</v>
      </c>
    </row>
    <row r="7" spans="1:14" ht="80.25" customHeight="1">
      <c r="A7" s="78" t="s">
        <v>17</v>
      </c>
      <c r="B7" s="78">
        <v>458191</v>
      </c>
      <c r="C7" s="78" t="s">
        <v>18</v>
      </c>
      <c r="D7" s="78">
        <v>14</v>
      </c>
      <c r="E7" s="79">
        <v>3000</v>
      </c>
      <c r="F7" s="152" t="s">
        <v>65</v>
      </c>
      <c r="G7" s="80" t="s">
        <v>66</v>
      </c>
      <c r="H7" s="81">
        <v>45705</v>
      </c>
      <c r="J7" s="230">
        <f>_xlfn.STDEV.S(E7:E8)</f>
        <v>33.969409768201714</v>
      </c>
      <c r="K7" s="232">
        <f>(J7/E9)*100</f>
        <v>1.1233196132367416</v>
      </c>
      <c r="L7" s="230">
        <f>E9+J7</f>
        <v>3057.9894097682018</v>
      </c>
      <c r="M7" s="230">
        <f>E9-J7</f>
        <v>2990.0505902317982</v>
      </c>
      <c r="N7" s="8">
        <f>E7</f>
        <v>3000</v>
      </c>
    </row>
    <row r="8" spans="1:14" ht="66" customHeight="1">
      <c r="A8" s="78" t="s">
        <v>17</v>
      </c>
      <c r="B8" s="78">
        <v>458191</v>
      </c>
      <c r="C8" s="78" t="s">
        <v>18</v>
      </c>
      <c r="D8" s="78">
        <v>10</v>
      </c>
      <c r="E8" s="79">
        <v>3048.04</v>
      </c>
      <c r="F8" s="152" t="s">
        <v>67</v>
      </c>
      <c r="G8" s="152" t="s">
        <v>68</v>
      </c>
      <c r="H8" s="153">
        <v>45811</v>
      </c>
      <c r="J8" s="231"/>
      <c r="K8" s="233"/>
      <c r="L8" s="231"/>
      <c r="M8" s="231"/>
      <c r="N8" s="8">
        <f>E8</f>
        <v>3048.04</v>
      </c>
    </row>
    <row r="9" spans="1:14" ht="19.5" customHeight="1">
      <c r="A9" s="226" t="s">
        <v>28</v>
      </c>
      <c r="B9" s="226"/>
      <c r="C9" s="226"/>
      <c r="D9" s="226"/>
      <c r="E9" s="8">
        <f>AVERAGE(E7:E8)</f>
        <v>3024.02</v>
      </c>
      <c r="J9" s="227" t="s">
        <v>16</v>
      </c>
      <c r="K9" s="227"/>
      <c r="L9" s="227"/>
      <c r="M9" s="227"/>
      <c r="N9" s="2">
        <f>AVERAGE(N7:N8)</f>
        <v>3024.02</v>
      </c>
    </row>
    <row r="19" spans="1:14" ht="21.75" customHeight="1">
      <c r="A19" s="228" t="s">
        <v>1</v>
      </c>
      <c r="B19" s="228"/>
      <c r="C19" s="228"/>
      <c r="D19" s="228"/>
      <c r="E19" s="228"/>
      <c r="F19" s="228"/>
      <c r="G19" s="228"/>
      <c r="H19" s="228"/>
      <c r="J19" s="228" t="s">
        <v>1</v>
      </c>
      <c r="K19" s="228"/>
      <c r="L19" s="228"/>
      <c r="M19" s="228"/>
      <c r="N19" s="228"/>
    </row>
    <row r="20" spans="1:14" ht="24" customHeight="1">
      <c r="A20" s="228" t="s">
        <v>64</v>
      </c>
      <c r="B20" s="228"/>
      <c r="C20" s="228"/>
      <c r="D20" s="228"/>
      <c r="E20" s="228"/>
      <c r="F20" s="228"/>
      <c r="G20" s="228"/>
      <c r="H20" s="228"/>
      <c r="J20" s="229" t="s">
        <v>3</v>
      </c>
      <c r="K20" s="229"/>
      <c r="L20" s="229"/>
      <c r="M20" s="229"/>
      <c r="N20" s="229"/>
    </row>
    <row r="21" spans="1:14" ht="45">
      <c r="A21" s="1" t="s">
        <v>4</v>
      </c>
      <c r="B21" s="1" t="s">
        <v>5</v>
      </c>
      <c r="C21" s="1" t="s">
        <v>6</v>
      </c>
      <c r="D21" s="1" t="s">
        <v>7</v>
      </c>
      <c r="E21" s="1" t="s">
        <v>8</v>
      </c>
      <c r="F21" s="1" t="s">
        <v>9</v>
      </c>
      <c r="G21" s="1" t="s">
        <v>10</v>
      </c>
      <c r="H21" s="1" t="s">
        <v>11</v>
      </c>
      <c r="J21" s="1" t="s">
        <v>12</v>
      </c>
      <c r="K21" s="1" t="s">
        <v>13</v>
      </c>
      <c r="L21" s="1" t="s">
        <v>14</v>
      </c>
      <c r="M21" s="1" t="s">
        <v>15</v>
      </c>
      <c r="N21" s="1" t="s">
        <v>16</v>
      </c>
    </row>
    <row r="22" spans="1:14" ht="76.5">
      <c r="A22" s="78" t="s">
        <v>17</v>
      </c>
      <c r="B22" s="78">
        <v>458191</v>
      </c>
      <c r="C22" s="78" t="s">
        <v>18</v>
      </c>
      <c r="D22" s="78">
        <v>40</v>
      </c>
      <c r="E22" s="79">
        <v>2778</v>
      </c>
      <c r="F22" s="80" t="s">
        <v>69</v>
      </c>
      <c r="G22" s="80" t="s">
        <v>70</v>
      </c>
      <c r="H22" s="81">
        <v>45807</v>
      </c>
      <c r="J22" s="230">
        <f>_xlfn.STDEV.S(E22:E25)</f>
        <v>155.22886329545804</v>
      </c>
      <c r="K22" s="232">
        <f>(J22/E26)*100</f>
        <v>5.2055286148711621</v>
      </c>
      <c r="L22" s="230">
        <f>E26+J22</f>
        <v>3137.2288632954578</v>
      </c>
      <c r="M22" s="230">
        <f>E26-J22</f>
        <v>2826.7711367045422</v>
      </c>
      <c r="N22" s="8"/>
    </row>
    <row r="23" spans="1:14" ht="66.75" customHeight="1">
      <c r="A23" s="78" t="s">
        <v>17</v>
      </c>
      <c r="B23" s="78">
        <v>458191</v>
      </c>
      <c r="C23" s="78" t="s">
        <v>18</v>
      </c>
      <c r="D23" s="78">
        <v>83</v>
      </c>
      <c r="E23" s="79">
        <v>2970</v>
      </c>
      <c r="F23" s="80" t="s">
        <v>71</v>
      </c>
      <c r="G23" s="80" t="s">
        <v>72</v>
      </c>
      <c r="H23" s="81">
        <v>45783</v>
      </c>
      <c r="J23" s="231"/>
      <c r="K23" s="233"/>
      <c r="L23" s="231"/>
      <c r="M23" s="231"/>
      <c r="N23" s="8">
        <f>E23</f>
        <v>2970</v>
      </c>
    </row>
    <row r="24" spans="1:14" ht="90.75" customHeight="1">
      <c r="A24" s="78" t="s">
        <v>17</v>
      </c>
      <c r="B24" s="78">
        <v>458191</v>
      </c>
      <c r="C24" s="78" t="s">
        <v>18</v>
      </c>
      <c r="D24" s="78">
        <v>51</v>
      </c>
      <c r="E24" s="79">
        <v>3030</v>
      </c>
      <c r="F24" s="152" t="s">
        <v>73</v>
      </c>
      <c r="G24" s="152" t="s">
        <v>74</v>
      </c>
      <c r="H24" s="153">
        <v>45741</v>
      </c>
      <c r="J24" s="231"/>
      <c r="K24" s="233"/>
      <c r="L24" s="231"/>
      <c r="M24" s="231"/>
      <c r="N24" s="8">
        <f>E24</f>
        <v>3030</v>
      </c>
    </row>
    <row r="25" spans="1:14" ht="66.75" customHeight="1">
      <c r="A25" s="78" t="s">
        <v>17</v>
      </c>
      <c r="B25" s="78">
        <v>458191</v>
      </c>
      <c r="C25" s="78" t="s">
        <v>18</v>
      </c>
      <c r="D25" s="215">
        <v>17</v>
      </c>
      <c r="E25" s="136">
        <v>3150</v>
      </c>
      <c r="F25" s="134" t="s">
        <v>75</v>
      </c>
      <c r="G25" s="134" t="s">
        <v>72</v>
      </c>
      <c r="H25" s="135">
        <v>45783</v>
      </c>
      <c r="J25" s="231"/>
      <c r="K25" s="233"/>
      <c r="L25" s="231"/>
      <c r="M25" s="231"/>
      <c r="N25" s="8"/>
    </row>
    <row r="26" spans="1:14">
      <c r="A26" s="226" t="s">
        <v>28</v>
      </c>
      <c r="B26" s="226"/>
      <c r="C26" s="226"/>
      <c r="D26" s="226"/>
      <c r="E26" s="6">
        <f>AVERAGE(E22:E25)</f>
        <v>2982</v>
      </c>
      <c r="J26" s="227" t="s">
        <v>16</v>
      </c>
      <c r="K26" s="227"/>
      <c r="L26" s="227"/>
      <c r="M26" s="227"/>
      <c r="N26" s="2">
        <f>AVERAGE(N22:N25)</f>
        <v>3000</v>
      </c>
    </row>
    <row r="33" spans="1:14">
      <c r="A33" s="228" t="s">
        <v>29</v>
      </c>
      <c r="B33" s="228"/>
      <c r="C33" s="228"/>
      <c r="D33" s="228"/>
      <c r="E33" s="228"/>
      <c r="F33" s="228"/>
      <c r="G33" s="228"/>
      <c r="H33" s="228"/>
      <c r="J33" s="228" t="s">
        <v>29</v>
      </c>
      <c r="K33" s="228"/>
      <c r="L33" s="228"/>
      <c r="M33" s="228"/>
      <c r="N33" s="228"/>
    </row>
    <row r="34" spans="1:14">
      <c r="A34" s="228" t="s">
        <v>64</v>
      </c>
      <c r="B34" s="228"/>
      <c r="C34" s="228"/>
      <c r="D34" s="228"/>
      <c r="E34" s="228"/>
      <c r="F34" s="228"/>
      <c r="G34" s="228"/>
      <c r="H34" s="228"/>
      <c r="J34" s="229" t="s">
        <v>3</v>
      </c>
      <c r="K34" s="229"/>
      <c r="L34" s="229"/>
      <c r="M34" s="229"/>
      <c r="N34" s="229"/>
    </row>
    <row r="35" spans="1:14" ht="45.75">
      <c r="A35" s="1" t="s">
        <v>4</v>
      </c>
      <c r="B35" s="1" t="s">
        <v>5</v>
      </c>
      <c r="C35" s="1" t="s">
        <v>6</v>
      </c>
      <c r="D35" s="1" t="s">
        <v>7</v>
      </c>
      <c r="E35" s="1" t="s">
        <v>8</v>
      </c>
      <c r="F35" s="1" t="s">
        <v>9</v>
      </c>
      <c r="G35" s="1" t="s">
        <v>10</v>
      </c>
      <c r="H35" s="1" t="s">
        <v>11</v>
      </c>
      <c r="J35" s="1" t="s">
        <v>12</v>
      </c>
      <c r="K35" s="1" t="s">
        <v>13</v>
      </c>
      <c r="L35" s="1" t="s">
        <v>14</v>
      </c>
      <c r="M35" s="1" t="s">
        <v>15</v>
      </c>
      <c r="N35" s="1" t="s">
        <v>16</v>
      </c>
    </row>
    <row r="36" spans="1:14" ht="84" customHeight="1">
      <c r="A36" s="78" t="s">
        <v>17</v>
      </c>
      <c r="B36" s="78">
        <v>458191</v>
      </c>
      <c r="C36" s="78" t="s">
        <v>18</v>
      </c>
      <c r="D36" s="78">
        <v>8</v>
      </c>
      <c r="E36" s="79">
        <v>3238.95</v>
      </c>
      <c r="F36" s="203" t="s">
        <v>76</v>
      </c>
      <c r="G36" s="152" t="s">
        <v>77</v>
      </c>
      <c r="H36" s="153">
        <v>45793</v>
      </c>
      <c r="J36" s="67" t="e">
        <f>_xlfn.STDEV.S(E36:E36)</f>
        <v>#DIV/0!</v>
      </c>
      <c r="K36" s="76" t="e">
        <f>(J36/E37)*100</f>
        <v>#DIV/0!</v>
      </c>
      <c r="L36" s="67" t="e">
        <f>E37+J36</f>
        <v>#DIV/0!</v>
      </c>
      <c r="M36" s="67" t="e">
        <f>E37-J36</f>
        <v>#DIV/0!</v>
      </c>
      <c r="N36" s="8">
        <f t="shared" ref="N36" si="0">E36</f>
        <v>3238.95</v>
      </c>
    </row>
    <row r="37" spans="1:14">
      <c r="A37" s="226" t="s">
        <v>28</v>
      </c>
      <c r="B37" s="226"/>
      <c r="C37" s="226"/>
      <c r="D37" s="226"/>
      <c r="E37" s="6">
        <f>AVERAGE(E36:E36)</f>
        <v>3238.95</v>
      </c>
      <c r="J37" s="227" t="s">
        <v>16</v>
      </c>
      <c r="K37" s="227"/>
      <c r="L37" s="227"/>
      <c r="M37" s="227"/>
      <c r="N37" s="2">
        <f>AVERAGE(N36:N36)</f>
        <v>3238.95</v>
      </c>
    </row>
    <row r="43" spans="1:14">
      <c r="A43" s="228" t="s">
        <v>37</v>
      </c>
      <c r="B43" s="228"/>
      <c r="C43" s="228"/>
      <c r="D43" s="228"/>
      <c r="E43" s="228"/>
      <c r="F43" s="228"/>
      <c r="G43" s="228"/>
      <c r="H43" s="228"/>
      <c r="J43" s="228" t="s">
        <v>37</v>
      </c>
      <c r="K43" s="228"/>
      <c r="L43" s="228"/>
      <c r="M43" s="228"/>
      <c r="N43" s="228"/>
    </row>
    <row r="44" spans="1:14">
      <c r="A44" s="228" t="s">
        <v>64</v>
      </c>
      <c r="B44" s="228"/>
      <c r="C44" s="228"/>
      <c r="D44" s="228"/>
      <c r="E44" s="228"/>
      <c r="F44" s="228"/>
      <c r="G44" s="228"/>
      <c r="H44" s="228"/>
      <c r="J44" s="229" t="s">
        <v>3</v>
      </c>
      <c r="K44" s="229"/>
      <c r="L44" s="229"/>
      <c r="M44" s="229"/>
      <c r="N44" s="229"/>
    </row>
    <row r="45" spans="1:14" ht="45.75">
      <c r="A45" s="1" t="s">
        <v>4</v>
      </c>
      <c r="B45" s="1" t="s">
        <v>5</v>
      </c>
      <c r="C45" s="1" t="s">
        <v>6</v>
      </c>
      <c r="D45" s="1" t="s">
        <v>7</v>
      </c>
      <c r="E45" s="1" t="s">
        <v>8</v>
      </c>
      <c r="F45" s="1" t="s">
        <v>9</v>
      </c>
      <c r="G45" s="1" t="s">
        <v>10</v>
      </c>
      <c r="H45" s="1" t="s">
        <v>11</v>
      </c>
      <c r="J45" s="1" t="s">
        <v>12</v>
      </c>
      <c r="K45" s="1" t="s">
        <v>13</v>
      </c>
      <c r="L45" s="1" t="s">
        <v>14</v>
      </c>
      <c r="M45" s="1" t="s">
        <v>15</v>
      </c>
      <c r="N45" s="1" t="s">
        <v>16</v>
      </c>
    </row>
    <row r="46" spans="1:14" ht="30.75">
      <c r="A46" s="78" t="s">
        <v>17</v>
      </c>
      <c r="B46" s="78">
        <v>458191</v>
      </c>
      <c r="C46" s="78" t="s">
        <v>18</v>
      </c>
      <c r="D46" s="78">
        <v>3</v>
      </c>
      <c r="E46" s="79">
        <v>3232.75</v>
      </c>
      <c r="F46" s="80" t="s">
        <v>78</v>
      </c>
      <c r="G46" s="80" t="s">
        <v>79</v>
      </c>
      <c r="H46" s="81" t="s">
        <v>80</v>
      </c>
      <c r="J46" s="230">
        <f>_xlfn.STDEV.S(E46:E51)</f>
        <v>268.7503790074847</v>
      </c>
      <c r="K46" s="232">
        <f>(J46/E52)*100</f>
        <v>7.7334863276706303</v>
      </c>
      <c r="L46" s="230">
        <f>E52+J46</f>
        <v>3743.9020456741514</v>
      </c>
      <c r="M46" s="230">
        <f>E52-J46</f>
        <v>3206.4012876591819</v>
      </c>
      <c r="N46" s="22">
        <f>E46</f>
        <v>3232.75</v>
      </c>
    </row>
    <row r="47" spans="1:14" ht="45.75">
      <c r="A47" s="78" t="s">
        <v>17</v>
      </c>
      <c r="B47" s="78">
        <v>458191</v>
      </c>
      <c r="C47" s="78" t="s">
        <v>18</v>
      </c>
      <c r="D47" s="78">
        <v>7</v>
      </c>
      <c r="E47" s="79">
        <v>3253</v>
      </c>
      <c r="F47" s="80" t="s">
        <v>81</v>
      </c>
      <c r="G47" s="80" t="s">
        <v>82</v>
      </c>
      <c r="H47" s="81" t="s">
        <v>83</v>
      </c>
      <c r="J47" s="231"/>
      <c r="K47" s="233"/>
      <c r="L47" s="231"/>
      <c r="M47" s="231"/>
      <c r="N47" s="22">
        <f>E47</f>
        <v>3253</v>
      </c>
    </row>
    <row r="48" spans="1:14" ht="30.75">
      <c r="A48" s="78" t="s">
        <v>17</v>
      </c>
      <c r="B48" s="78">
        <v>458191</v>
      </c>
      <c r="C48" s="78" t="s">
        <v>18</v>
      </c>
      <c r="D48" s="78">
        <v>25</v>
      </c>
      <c r="E48" s="79">
        <v>3329</v>
      </c>
      <c r="F48" s="152" t="s">
        <v>84</v>
      </c>
      <c r="G48" s="152" t="s">
        <v>85</v>
      </c>
      <c r="H48" s="135" t="s">
        <v>86</v>
      </c>
      <c r="J48" s="231"/>
      <c r="K48" s="233"/>
      <c r="L48" s="231"/>
      <c r="M48" s="231"/>
      <c r="N48" s="39">
        <f>E48</f>
        <v>3329</v>
      </c>
    </row>
    <row r="49" spans="1:14" ht="76.5">
      <c r="A49" s="78" t="s">
        <v>17</v>
      </c>
      <c r="B49" s="78">
        <v>458191</v>
      </c>
      <c r="C49" s="78" t="s">
        <v>18</v>
      </c>
      <c r="D49" s="78">
        <v>23</v>
      </c>
      <c r="E49" s="136">
        <v>3527.99</v>
      </c>
      <c r="F49" s="134" t="s">
        <v>87</v>
      </c>
      <c r="G49" s="134" t="s">
        <v>39</v>
      </c>
      <c r="H49" s="135">
        <v>45702</v>
      </c>
      <c r="J49" s="231"/>
      <c r="K49" s="233"/>
      <c r="L49" s="231"/>
      <c r="M49" s="231"/>
      <c r="N49" s="39">
        <f>E49</f>
        <v>3527.99</v>
      </c>
    </row>
    <row r="50" spans="1:14" ht="76.5">
      <c r="A50" s="78" t="s">
        <v>17</v>
      </c>
      <c r="B50" s="78">
        <v>458191</v>
      </c>
      <c r="C50" s="78" t="s">
        <v>18</v>
      </c>
      <c r="D50" s="78">
        <v>6</v>
      </c>
      <c r="E50" s="136">
        <v>3562.69</v>
      </c>
      <c r="F50" s="134" t="s">
        <v>87</v>
      </c>
      <c r="G50" s="134" t="s">
        <v>39</v>
      </c>
      <c r="H50" s="135">
        <v>45702</v>
      </c>
      <c r="J50" s="231"/>
      <c r="K50" s="233"/>
      <c r="L50" s="231"/>
      <c r="M50" s="231"/>
      <c r="N50" s="39">
        <f>E50</f>
        <v>3562.69</v>
      </c>
    </row>
    <row r="51" spans="1:14" ht="60.75">
      <c r="A51" s="78" t="s">
        <v>17</v>
      </c>
      <c r="B51" s="78">
        <v>458191</v>
      </c>
      <c r="C51" s="78" t="s">
        <v>18</v>
      </c>
      <c r="D51" s="78">
        <v>10</v>
      </c>
      <c r="E51" s="136">
        <v>3945.48</v>
      </c>
      <c r="F51" s="134" t="s">
        <v>79</v>
      </c>
      <c r="G51" s="134" t="s">
        <v>41</v>
      </c>
      <c r="H51" s="135" t="s">
        <v>88</v>
      </c>
      <c r="J51" s="235"/>
      <c r="K51" s="236"/>
      <c r="L51" s="235"/>
      <c r="M51" s="235"/>
      <c r="N51" s="39"/>
    </row>
    <row r="52" spans="1:14">
      <c r="A52" s="226" t="s">
        <v>28</v>
      </c>
      <c r="B52" s="226"/>
      <c r="C52" s="226"/>
      <c r="D52" s="226"/>
      <c r="E52" s="6">
        <f>AVERAGE(E46:E51)</f>
        <v>3475.1516666666666</v>
      </c>
      <c r="J52" s="227" t="s">
        <v>16</v>
      </c>
      <c r="K52" s="227"/>
      <c r="L52" s="227"/>
      <c r="M52" s="227"/>
      <c r="N52" s="2">
        <f>AVERAGE(N46:N51)</f>
        <v>3381.0860000000002</v>
      </c>
    </row>
  </sheetData>
  <mergeCells count="37">
    <mergeCell ref="A1:N1"/>
    <mergeCell ref="A19:H19"/>
    <mergeCell ref="J19:N19"/>
    <mergeCell ref="A20:H20"/>
    <mergeCell ref="J20:N20"/>
    <mergeCell ref="A4:H4"/>
    <mergeCell ref="J4:N4"/>
    <mergeCell ref="A5:H5"/>
    <mergeCell ref="J5:N5"/>
    <mergeCell ref="A9:D9"/>
    <mergeCell ref="J7:J8"/>
    <mergeCell ref="K7:K8"/>
    <mergeCell ref="L7:L8"/>
    <mergeCell ref="M7:M8"/>
    <mergeCell ref="J9:M9"/>
    <mergeCell ref="A43:H43"/>
    <mergeCell ref="J43:N43"/>
    <mergeCell ref="A52:D52"/>
    <mergeCell ref="J52:M52"/>
    <mergeCell ref="A44:H44"/>
    <mergeCell ref="J44:N44"/>
    <mergeCell ref="J46:J51"/>
    <mergeCell ref="K46:K51"/>
    <mergeCell ref="L46:L51"/>
    <mergeCell ref="M46:M51"/>
    <mergeCell ref="J22:J25"/>
    <mergeCell ref="K22:K25"/>
    <mergeCell ref="L22:L25"/>
    <mergeCell ref="M22:M25"/>
    <mergeCell ref="A37:D37"/>
    <mergeCell ref="J37:M37"/>
    <mergeCell ref="A33:H33"/>
    <mergeCell ref="J33:N33"/>
    <mergeCell ref="A34:H34"/>
    <mergeCell ref="J34:N34"/>
    <mergeCell ref="A26:D26"/>
    <mergeCell ref="J26:M2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28AD4-8AD2-4949-9D9B-524B79455DB7}">
  <sheetPr>
    <tabColor rgb="FF00B050"/>
  </sheetPr>
  <dimension ref="A1:N58"/>
  <sheetViews>
    <sheetView showGridLines="0" topLeftCell="A54" workbookViewId="0">
      <selection activeCell="N58" sqref="N58"/>
    </sheetView>
  </sheetViews>
  <sheetFormatPr defaultRowHeight="15"/>
  <cols>
    <col min="1" max="1" width="12.42578125" customWidth="1"/>
    <col min="2" max="2" width="10.85546875" customWidth="1"/>
    <col min="3" max="3" width="13.140625" customWidth="1"/>
    <col min="4" max="4" width="12" customWidth="1"/>
    <col min="5" max="5" width="11.7109375" customWidth="1"/>
    <col min="6" max="6" width="35.140625" customWidth="1"/>
    <col min="7" max="7" width="39" customWidth="1"/>
    <col min="8" max="8" width="15.140625" customWidth="1"/>
    <col min="9" max="9" width="1.42578125" customWidth="1"/>
    <col min="10" max="10" width="10.5703125" customWidth="1"/>
    <col min="11" max="11" width="13.42578125" customWidth="1"/>
    <col min="12" max="12" width="12.42578125" customWidth="1"/>
    <col min="13" max="13" width="13.42578125" customWidth="1"/>
    <col min="14" max="14" width="14" customWidth="1"/>
  </cols>
  <sheetData>
    <row r="1" spans="1:14" ht="18.75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5" spans="1:14">
      <c r="A5" s="228" t="s">
        <v>44</v>
      </c>
      <c r="B5" s="228"/>
      <c r="C5" s="228"/>
      <c r="D5" s="228"/>
      <c r="E5" s="228"/>
      <c r="F5" s="228"/>
      <c r="G5" s="228"/>
      <c r="H5" s="228"/>
      <c r="J5" s="228" t="s">
        <v>44</v>
      </c>
      <c r="K5" s="228"/>
      <c r="L5" s="228"/>
      <c r="M5" s="228"/>
      <c r="N5" s="228"/>
    </row>
    <row r="6" spans="1:14">
      <c r="A6" s="228" t="s">
        <v>89</v>
      </c>
      <c r="B6" s="228"/>
      <c r="C6" s="228"/>
      <c r="D6" s="228"/>
      <c r="E6" s="228"/>
      <c r="F6" s="228"/>
      <c r="G6" s="228"/>
      <c r="H6" s="228"/>
      <c r="J6" s="229" t="s">
        <v>3</v>
      </c>
      <c r="K6" s="229"/>
      <c r="L6" s="229"/>
      <c r="M6" s="229"/>
      <c r="N6" s="229"/>
    </row>
    <row r="7" spans="1:14" ht="45">
      <c r="A7" s="1" t="s">
        <v>4</v>
      </c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  <c r="H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</row>
    <row r="8" spans="1:14" ht="76.5">
      <c r="A8" s="78" t="s">
        <v>17</v>
      </c>
      <c r="B8" s="78">
        <v>440747</v>
      </c>
      <c r="C8" s="78" t="s">
        <v>18</v>
      </c>
      <c r="D8" s="78">
        <v>10</v>
      </c>
      <c r="E8" s="79">
        <v>3637</v>
      </c>
      <c r="F8" s="80" t="s">
        <v>90</v>
      </c>
      <c r="G8" s="80" t="s">
        <v>91</v>
      </c>
      <c r="H8" s="81">
        <v>45793</v>
      </c>
      <c r="J8" s="230">
        <f>_xlfn.STDEV.S(E8:E15)</f>
        <v>210.81205534449734</v>
      </c>
      <c r="K8" s="232">
        <f>(J8/E16)*100</f>
        <v>5.1469514746771239</v>
      </c>
      <c r="L8" s="230">
        <f>E16+J8</f>
        <v>4306.6745553444971</v>
      </c>
      <c r="M8" s="230">
        <f>E16-J8</f>
        <v>3885.0504446555028</v>
      </c>
      <c r="N8" s="8"/>
    </row>
    <row r="9" spans="1:14" ht="60.75">
      <c r="A9" s="78" t="s">
        <v>17</v>
      </c>
      <c r="B9" s="78">
        <v>440747</v>
      </c>
      <c r="C9" s="78" t="s">
        <v>18</v>
      </c>
      <c r="D9" s="78">
        <v>1</v>
      </c>
      <c r="E9" s="79">
        <v>3980</v>
      </c>
      <c r="F9" s="80" t="s">
        <v>92</v>
      </c>
      <c r="G9" s="80" t="s">
        <v>93</v>
      </c>
      <c r="H9" s="81">
        <v>45714</v>
      </c>
      <c r="J9" s="231"/>
      <c r="K9" s="233"/>
      <c r="L9" s="231"/>
      <c r="M9" s="231"/>
      <c r="N9" s="8">
        <f>E9</f>
        <v>3980</v>
      </c>
    </row>
    <row r="10" spans="1:14" ht="60.75">
      <c r="A10" s="78" t="s">
        <v>17</v>
      </c>
      <c r="B10" s="78">
        <v>440747</v>
      </c>
      <c r="C10" s="78" t="s">
        <v>18</v>
      </c>
      <c r="D10" s="78">
        <v>10</v>
      </c>
      <c r="E10" s="79">
        <v>4050</v>
      </c>
      <c r="F10" s="80" t="s">
        <v>92</v>
      </c>
      <c r="G10" s="80" t="s">
        <v>93</v>
      </c>
      <c r="H10" s="81">
        <v>45714</v>
      </c>
      <c r="J10" s="231"/>
      <c r="K10" s="233"/>
      <c r="L10" s="231"/>
      <c r="M10" s="231"/>
      <c r="N10" s="8">
        <f>E10</f>
        <v>4050</v>
      </c>
    </row>
    <row r="11" spans="1:14" ht="60.75">
      <c r="A11" s="78" t="s">
        <v>17</v>
      </c>
      <c r="B11" s="78">
        <v>440747</v>
      </c>
      <c r="C11" s="78" t="s">
        <v>18</v>
      </c>
      <c r="D11" s="78">
        <v>1</v>
      </c>
      <c r="E11" s="79">
        <v>4200</v>
      </c>
      <c r="F11" s="80" t="s">
        <v>92</v>
      </c>
      <c r="G11" s="80" t="s">
        <v>93</v>
      </c>
      <c r="H11" s="81">
        <v>45714</v>
      </c>
      <c r="J11" s="231"/>
      <c r="K11" s="233"/>
      <c r="L11" s="231"/>
      <c r="M11" s="231"/>
      <c r="N11" s="8">
        <f>E11</f>
        <v>4200</v>
      </c>
    </row>
    <row r="12" spans="1:14" ht="60.75">
      <c r="A12" s="78" t="s">
        <v>17</v>
      </c>
      <c r="B12" s="78">
        <v>440747</v>
      </c>
      <c r="C12" s="78" t="s">
        <v>18</v>
      </c>
      <c r="D12" s="78">
        <v>2</v>
      </c>
      <c r="E12" s="79">
        <v>4200</v>
      </c>
      <c r="F12" s="80" t="s">
        <v>92</v>
      </c>
      <c r="G12" s="80" t="s">
        <v>93</v>
      </c>
      <c r="H12" s="81">
        <v>45714</v>
      </c>
      <c r="J12" s="231"/>
      <c r="K12" s="233"/>
      <c r="L12" s="231"/>
      <c r="M12" s="231"/>
      <c r="N12" s="8">
        <f>E12</f>
        <v>4200</v>
      </c>
    </row>
    <row r="13" spans="1:14" ht="60.75">
      <c r="A13" s="78" t="s">
        <v>17</v>
      </c>
      <c r="B13" s="78">
        <v>440747</v>
      </c>
      <c r="C13" s="78" t="s">
        <v>18</v>
      </c>
      <c r="D13" s="78">
        <v>1</v>
      </c>
      <c r="E13" s="79">
        <v>4200</v>
      </c>
      <c r="F13" s="80" t="s">
        <v>92</v>
      </c>
      <c r="G13" s="80" t="s">
        <v>93</v>
      </c>
      <c r="H13" s="81">
        <v>45714</v>
      </c>
      <c r="J13" s="231"/>
      <c r="K13" s="233"/>
      <c r="L13" s="231"/>
      <c r="M13" s="231"/>
      <c r="N13" s="8">
        <f>E13</f>
        <v>4200</v>
      </c>
    </row>
    <row r="14" spans="1:14" ht="60.75">
      <c r="A14" s="78" t="s">
        <v>17</v>
      </c>
      <c r="B14" s="78">
        <v>440747</v>
      </c>
      <c r="C14" s="78" t="s">
        <v>18</v>
      </c>
      <c r="D14" s="78">
        <v>2</v>
      </c>
      <c r="E14" s="79">
        <v>4200</v>
      </c>
      <c r="F14" s="152" t="s">
        <v>92</v>
      </c>
      <c r="G14" s="152" t="s">
        <v>93</v>
      </c>
      <c r="H14" s="81">
        <v>45714</v>
      </c>
      <c r="J14" s="231"/>
      <c r="K14" s="233"/>
      <c r="L14" s="231"/>
      <c r="M14" s="231"/>
      <c r="N14" s="8">
        <f>E14</f>
        <v>4200</v>
      </c>
    </row>
    <row r="15" spans="1:14" ht="45.75">
      <c r="A15" s="78" t="s">
        <v>17</v>
      </c>
      <c r="B15" s="78">
        <v>440747</v>
      </c>
      <c r="C15" s="78" t="s">
        <v>18</v>
      </c>
      <c r="D15" s="154">
        <v>10</v>
      </c>
      <c r="E15" s="79">
        <v>4299.8999999999996</v>
      </c>
      <c r="F15" s="134" t="s">
        <v>94</v>
      </c>
      <c r="G15" s="134" t="s">
        <v>68</v>
      </c>
      <c r="H15" s="135">
        <v>45534</v>
      </c>
      <c r="J15" s="235"/>
      <c r="K15" s="236"/>
      <c r="L15" s="235"/>
      <c r="M15" s="235"/>
      <c r="N15" s="8">
        <f>E15</f>
        <v>4299.8999999999996</v>
      </c>
    </row>
    <row r="16" spans="1:14">
      <c r="A16" s="253" t="s">
        <v>28</v>
      </c>
      <c r="B16" s="253"/>
      <c r="C16" s="253"/>
      <c r="D16" s="253"/>
      <c r="E16" s="82">
        <f>AVERAGE(E8:E15)</f>
        <v>4095.8625000000002</v>
      </c>
      <c r="J16" s="227" t="s">
        <v>16</v>
      </c>
      <c r="K16" s="227"/>
      <c r="L16" s="227"/>
      <c r="M16" s="227"/>
      <c r="N16" s="2">
        <f>AVERAGE(N8:N15)</f>
        <v>4161.4142857142861</v>
      </c>
    </row>
    <row r="22" spans="1:14">
      <c r="F22" s="37"/>
    </row>
    <row r="24" spans="1:14">
      <c r="A24" s="228" t="s">
        <v>1</v>
      </c>
      <c r="B24" s="228"/>
      <c r="C24" s="228"/>
      <c r="D24" s="228"/>
      <c r="E24" s="228"/>
      <c r="F24" s="228"/>
      <c r="G24" s="228"/>
      <c r="H24" s="228"/>
      <c r="J24" s="228" t="s">
        <v>1</v>
      </c>
      <c r="K24" s="228"/>
      <c r="L24" s="228"/>
      <c r="M24" s="228"/>
      <c r="N24" s="228"/>
    </row>
    <row r="25" spans="1:14">
      <c r="A25" s="228" t="s">
        <v>89</v>
      </c>
      <c r="B25" s="228"/>
      <c r="C25" s="228"/>
      <c r="D25" s="228"/>
      <c r="E25" s="228"/>
      <c r="F25" s="228"/>
      <c r="G25" s="228"/>
      <c r="H25" s="228"/>
      <c r="J25" s="229" t="s">
        <v>3</v>
      </c>
      <c r="K25" s="229"/>
      <c r="L25" s="229"/>
      <c r="M25" s="229"/>
      <c r="N25" s="229"/>
    </row>
    <row r="26" spans="1:14" ht="30.75">
      <c r="A26" s="1" t="s">
        <v>4</v>
      </c>
      <c r="B26" s="1" t="s">
        <v>5</v>
      </c>
      <c r="C26" s="1" t="s">
        <v>6</v>
      </c>
      <c r="D26" s="1" t="s">
        <v>7</v>
      </c>
      <c r="E26" s="1" t="s">
        <v>8</v>
      </c>
      <c r="F26" s="1" t="s">
        <v>9</v>
      </c>
      <c r="G26" s="1" t="s">
        <v>10</v>
      </c>
      <c r="H26" s="1" t="s">
        <v>11</v>
      </c>
      <c r="J26" s="1" t="s">
        <v>12</v>
      </c>
      <c r="K26" s="1" t="s">
        <v>13</v>
      </c>
      <c r="L26" s="1" t="s">
        <v>14</v>
      </c>
      <c r="M26" s="1" t="s">
        <v>15</v>
      </c>
      <c r="N26" s="1" t="s">
        <v>16</v>
      </c>
    </row>
    <row r="27" spans="1:14" ht="76.5">
      <c r="A27" s="78" t="s">
        <v>17</v>
      </c>
      <c r="B27" s="78">
        <v>440747</v>
      </c>
      <c r="C27" s="78" t="s">
        <v>18</v>
      </c>
      <c r="D27" s="78">
        <v>58</v>
      </c>
      <c r="E27" s="79">
        <v>3422.93</v>
      </c>
      <c r="F27" s="80" t="s">
        <v>21</v>
      </c>
      <c r="G27" s="80" t="s">
        <v>95</v>
      </c>
      <c r="H27" s="81">
        <v>45749</v>
      </c>
      <c r="J27" s="230">
        <f>_xlfn.STDEV.S(E27:E37)</f>
        <v>218.41392868088383</v>
      </c>
      <c r="K27" s="232">
        <f>(J27/E38)*100</f>
        <v>5.720723025012572</v>
      </c>
      <c r="L27" s="230">
        <f>E38+J27</f>
        <v>4036.3566559536102</v>
      </c>
      <c r="M27" s="230">
        <f>E38-J27</f>
        <v>3599.528798591843</v>
      </c>
      <c r="N27" s="8"/>
    </row>
    <row r="28" spans="1:14" ht="106.5">
      <c r="A28" s="78" t="s">
        <v>17</v>
      </c>
      <c r="B28" s="78">
        <v>440747</v>
      </c>
      <c r="C28" s="78" t="s">
        <v>18</v>
      </c>
      <c r="D28" s="78">
        <v>79</v>
      </c>
      <c r="E28" s="79">
        <v>3520</v>
      </c>
      <c r="F28" s="80" t="s">
        <v>96</v>
      </c>
      <c r="G28" s="80" t="s">
        <v>97</v>
      </c>
      <c r="H28" s="81">
        <v>45785</v>
      </c>
      <c r="J28" s="231"/>
      <c r="K28" s="233"/>
      <c r="L28" s="231"/>
      <c r="M28" s="231"/>
      <c r="N28" s="8"/>
    </row>
    <row r="29" spans="1:14" ht="106.5">
      <c r="A29" s="78" t="s">
        <v>17</v>
      </c>
      <c r="B29" s="78">
        <v>440747</v>
      </c>
      <c r="C29" s="78" t="s">
        <v>18</v>
      </c>
      <c r="D29" s="78">
        <v>45</v>
      </c>
      <c r="E29" s="79">
        <v>3600</v>
      </c>
      <c r="F29" s="80" t="s">
        <v>96</v>
      </c>
      <c r="G29" s="80" t="s">
        <v>98</v>
      </c>
      <c r="H29" s="81">
        <v>45783</v>
      </c>
      <c r="J29" s="231"/>
      <c r="K29" s="233"/>
      <c r="L29" s="231"/>
      <c r="M29" s="231"/>
      <c r="N29" s="8">
        <f t="shared" ref="N29:N34" si="0">E29</f>
        <v>3600</v>
      </c>
    </row>
    <row r="30" spans="1:14" ht="106.5">
      <c r="A30" s="78" t="s">
        <v>17</v>
      </c>
      <c r="B30" s="78">
        <v>440747</v>
      </c>
      <c r="C30" s="78" t="s">
        <v>18</v>
      </c>
      <c r="D30" s="78">
        <v>44</v>
      </c>
      <c r="E30" s="79">
        <v>3735</v>
      </c>
      <c r="F30" s="80" t="s">
        <v>96</v>
      </c>
      <c r="G30" s="80" t="s">
        <v>99</v>
      </c>
      <c r="H30" s="153">
        <v>45741</v>
      </c>
      <c r="J30" s="231"/>
      <c r="K30" s="233"/>
      <c r="L30" s="231"/>
      <c r="M30" s="231"/>
      <c r="N30" s="8">
        <f t="shared" si="0"/>
        <v>3735</v>
      </c>
    </row>
    <row r="31" spans="1:14" ht="60.75">
      <c r="A31" s="78" t="s">
        <v>17</v>
      </c>
      <c r="B31" s="78">
        <v>440747</v>
      </c>
      <c r="C31" s="78" t="s">
        <v>18</v>
      </c>
      <c r="D31" s="78">
        <v>4</v>
      </c>
      <c r="E31" s="79">
        <v>3783.5</v>
      </c>
      <c r="F31" s="80" t="s">
        <v>100</v>
      </c>
      <c r="G31" s="80" t="s">
        <v>101</v>
      </c>
      <c r="H31" s="153">
        <v>45740</v>
      </c>
      <c r="J31" s="231"/>
      <c r="K31" s="233"/>
      <c r="L31" s="231"/>
      <c r="M31" s="231"/>
      <c r="N31" s="8">
        <f t="shared" si="0"/>
        <v>3783.5</v>
      </c>
    </row>
    <row r="32" spans="1:14" ht="60.75">
      <c r="A32" s="78" t="s">
        <v>17</v>
      </c>
      <c r="B32" s="78">
        <v>440747</v>
      </c>
      <c r="C32" s="78" t="s">
        <v>18</v>
      </c>
      <c r="D32" s="78">
        <v>14</v>
      </c>
      <c r="E32" s="79">
        <v>3976.94</v>
      </c>
      <c r="F32" s="80" t="s">
        <v>102</v>
      </c>
      <c r="G32" s="80" t="s">
        <v>74</v>
      </c>
      <c r="H32" s="153">
        <v>45741</v>
      </c>
      <c r="J32" s="231"/>
      <c r="K32" s="233"/>
      <c r="L32" s="231"/>
      <c r="M32" s="231"/>
      <c r="N32" s="8">
        <f t="shared" si="0"/>
        <v>3976.94</v>
      </c>
    </row>
    <row r="33" spans="1:14" ht="111" customHeight="1">
      <c r="A33" s="78" t="s">
        <v>17</v>
      </c>
      <c r="B33" s="78">
        <v>440747</v>
      </c>
      <c r="C33" s="78" t="s">
        <v>18</v>
      </c>
      <c r="D33" s="78">
        <v>16</v>
      </c>
      <c r="E33" s="79">
        <v>3980</v>
      </c>
      <c r="F33" s="80" t="s">
        <v>103</v>
      </c>
      <c r="G33" s="152" t="s">
        <v>101</v>
      </c>
      <c r="H33" s="153">
        <v>45740</v>
      </c>
      <c r="J33" s="231"/>
      <c r="K33" s="233"/>
      <c r="L33" s="231"/>
      <c r="M33" s="231"/>
      <c r="N33" s="8">
        <f t="shared" si="0"/>
        <v>3980</v>
      </c>
    </row>
    <row r="34" spans="1:14" ht="49.5" customHeight="1">
      <c r="A34" s="78" t="s">
        <v>17</v>
      </c>
      <c r="B34" s="78">
        <v>440747</v>
      </c>
      <c r="C34" s="78" t="s">
        <v>18</v>
      </c>
      <c r="D34" s="154">
        <v>14</v>
      </c>
      <c r="E34" s="79">
        <v>3990</v>
      </c>
      <c r="F34" s="80" t="s">
        <v>104</v>
      </c>
      <c r="G34" s="134" t="s">
        <v>105</v>
      </c>
      <c r="H34" s="135">
        <v>45749</v>
      </c>
      <c r="J34" s="231"/>
      <c r="K34" s="233"/>
      <c r="L34" s="231"/>
      <c r="M34" s="231"/>
      <c r="N34" s="8">
        <f t="shared" si="0"/>
        <v>3990</v>
      </c>
    </row>
    <row r="35" spans="1:14" ht="60" customHeight="1">
      <c r="A35" s="78" t="s">
        <v>17</v>
      </c>
      <c r="B35" s="78">
        <v>440747</v>
      </c>
      <c r="C35" s="78" t="s">
        <v>18</v>
      </c>
      <c r="D35" s="154">
        <v>15</v>
      </c>
      <c r="E35" s="79">
        <v>3990</v>
      </c>
      <c r="F35" s="152" t="s">
        <v>103</v>
      </c>
      <c r="G35" s="218" t="s">
        <v>106</v>
      </c>
      <c r="H35" s="148">
        <v>45783</v>
      </c>
      <c r="J35" s="231"/>
      <c r="K35" s="233"/>
      <c r="L35" s="231"/>
      <c r="M35" s="231"/>
      <c r="N35" s="8">
        <f>E35</f>
        <v>3990</v>
      </c>
    </row>
    <row r="36" spans="1:14" ht="60" customHeight="1">
      <c r="A36" s="78" t="s">
        <v>17</v>
      </c>
      <c r="B36" s="78">
        <v>440747</v>
      </c>
      <c r="C36" s="78" t="s">
        <v>18</v>
      </c>
      <c r="D36" s="154">
        <v>33</v>
      </c>
      <c r="E36" s="217">
        <v>3999</v>
      </c>
      <c r="F36" s="134" t="s">
        <v>107</v>
      </c>
      <c r="G36" s="134" t="s">
        <v>24</v>
      </c>
      <c r="H36" s="135">
        <v>45800</v>
      </c>
      <c r="J36" s="231"/>
      <c r="K36" s="233"/>
      <c r="L36" s="231"/>
      <c r="M36" s="231"/>
      <c r="N36" s="8">
        <f>E36</f>
        <v>3999</v>
      </c>
    </row>
    <row r="37" spans="1:14" ht="60" customHeight="1">
      <c r="A37" s="78" t="s">
        <v>17</v>
      </c>
      <c r="B37" s="78">
        <v>440747</v>
      </c>
      <c r="C37" s="78" t="s">
        <v>18</v>
      </c>
      <c r="D37" s="154">
        <v>15</v>
      </c>
      <c r="E37" s="217">
        <v>4000</v>
      </c>
      <c r="F37" s="134" t="s">
        <v>108</v>
      </c>
      <c r="G37" s="134" t="s">
        <v>20</v>
      </c>
      <c r="H37" s="135">
        <v>45785</v>
      </c>
      <c r="J37" s="235"/>
      <c r="K37" s="236"/>
      <c r="L37" s="235"/>
      <c r="M37" s="235"/>
      <c r="N37" s="8">
        <f>E37</f>
        <v>4000</v>
      </c>
    </row>
    <row r="38" spans="1:14">
      <c r="A38" s="253" t="s">
        <v>28</v>
      </c>
      <c r="B38" s="253"/>
      <c r="C38" s="253"/>
      <c r="D38" s="253"/>
      <c r="E38" s="82">
        <f>AVERAGE(E27:E37)</f>
        <v>3817.9427272727266</v>
      </c>
      <c r="J38" s="227" t="s">
        <v>16</v>
      </c>
      <c r="K38" s="227"/>
      <c r="L38" s="227"/>
      <c r="M38" s="227"/>
      <c r="N38" s="2">
        <f>AVERAGE(N27:N37)</f>
        <v>3894.9377777777781</v>
      </c>
    </row>
    <row r="47" spans="1:14" ht="22.5" customHeight="1">
      <c r="A47" s="228" t="s">
        <v>37</v>
      </c>
      <c r="B47" s="228"/>
      <c r="C47" s="228"/>
      <c r="D47" s="228"/>
      <c r="E47" s="228"/>
      <c r="F47" s="228"/>
      <c r="G47" s="228"/>
      <c r="H47" s="228"/>
      <c r="J47" s="228" t="s">
        <v>37</v>
      </c>
      <c r="K47" s="228"/>
      <c r="L47" s="228"/>
      <c r="M47" s="228"/>
      <c r="N47" s="228"/>
    </row>
    <row r="48" spans="1:14" ht="24" customHeight="1">
      <c r="A48" s="228" t="s">
        <v>89</v>
      </c>
      <c r="B48" s="228"/>
      <c r="C48" s="228"/>
      <c r="D48" s="228"/>
      <c r="E48" s="228"/>
      <c r="F48" s="228"/>
      <c r="G48" s="228"/>
      <c r="H48" s="228"/>
      <c r="J48" s="229" t="s">
        <v>3</v>
      </c>
      <c r="K48" s="229"/>
      <c r="L48" s="229"/>
      <c r="M48" s="229"/>
      <c r="N48" s="229"/>
    </row>
    <row r="49" spans="1:14" ht="30.75">
      <c r="A49" s="1" t="s">
        <v>4</v>
      </c>
      <c r="B49" s="1" t="s">
        <v>5</v>
      </c>
      <c r="C49" s="1" t="s">
        <v>6</v>
      </c>
      <c r="D49" s="1" t="s">
        <v>7</v>
      </c>
      <c r="E49" s="1" t="s">
        <v>8</v>
      </c>
      <c r="F49" s="1" t="s">
        <v>9</v>
      </c>
      <c r="G49" s="1" t="s">
        <v>10</v>
      </c>
      <c r="H49" s="1" t="s">
        <v>11</v>
      </c>
      <c r="J49" s="1" t="s">
        <v>12</v>
      </c>
      <c r="K49" s="1" t="s">
        <v>13</v>
      </c>
      <c r="L49" s="1" t="s">
        <v>14</v>
      </c>
      <c r="M49" s="1" t="s">
        <v>15</v>
      </c>
      <c r="N49" s="1" t="s">
        <v>16</v>
      </c>
    </row>
    <row r="50" spans="1:14" ht="45.75">
      <c r="A50" s="78" t="s">
        <v>17</v>
      </c>
      <c r="B50" s="78">
        <v>440747</v>
      </c>
      <c r="C50" s="78" t="s">
        <v>18</v>
      </c>
      <c r="D50" s="78">
        <v>42</v>
      </c>
      <c r="E50" s="79">
        <v>3700</v>
      </c>
      <c r="F50" s="80" t="s">
        <v>109</v>
      </c>
      <c r="G50" s="80" t="s">
        <v>110</v>
      </c>
      <c r="H50" s="81" t="s">
        <v>111</v>
      </c>
      <c r="J50" s="230">
        <f>_xlfn.STDEV.S(E50:E57)</f>
        <v>289.29284243775248</v>
      </c>
      <c r="K50" s="232">
        <f>(J50/E58)*100</f>
        <v>6.969266111562872</v>
      </c>
      <c r="L50" s="230">
        <f>E58+J50</f>
        <v>4440.2728424377519</v>
      </c>
      <c r="M50" s="230">
        <f>E58-J50</f>
        <v>3861.6871575622472</v>
      </c>
      <c r="N50" s="8"/>
    </row>
    <row r="51" spans="1:14" ht="76.5">
      <c r="A51" s="78" t="s">
        <v>17</v>
      </c>
      <c r="B51" s="78">
        <v>440747</v>
      </c>
      <c r="C51" s="78" t="s">
        <v>18</v>
      </c>
      <c r="D51" s="78">
        <v>8</v>
      </c>
      <c r="E51" s="79">
        <v>3936.65</v>
      </c>
      <c r="F51" s="80" t="s">
        <v>112</v>
      </c>
      <c r="G51" s="80" t="s">
        <v>113</v>
      </c>
      <c r="H51" s="81">
        <v>45814</v>
      </c>
      <c r="J51" s="231"/>
      <c r="K51" s="233"/>
      <c r="L51" s="231"/>
      <c r="M51" s="231"/>
      <c r="N51" s="8">
        <f>E51</f>
        <v>3936.65</v>
      </c>
    </row>
    <row r="52" spans="1:14" ht="76.5">
      <c r="A52" s="78" t="s">
        <v>17</v>
      </c>
      <c r="B52" s="78">
        <v>440747</v>
      </c>
      <c r="C52" s="78" t="s">
        <v>18</v>
      </c>
      <c r="D52" s="78">
        <v>31</v>
      </c>
      <c r="E52" s="79">
        <v>3936.65</v>
      </c>
      <c r="F52" s="80" t="s">
        <v>112</v>
      </c>
      <c r="G52" s="80" t="s">
        <v>113</v>
      </c>
      <c r="H52" s="81">
        <v>45814</v>
      </c>
      <c r="J52" s="231"/>
      <c r="K52" s="233"/>
      <c r="L52" s="231"/>
      <c r="M52" s="231"/>
      <c r="N52" s="8">
        <f>E52</f>
        <v>3936.65</v>
      </c>
    </row>
    <row r="53" spans="1:14" ht="76.5">
      <c r="A53" s="78" t="s">
        <v>17</v>
      </c>
      <c r="B53" s="78">
        <v>440747</v>
      </c>
      <c r="C53" s="78" t="s">
        <v>18</v>
      </c>
      <c r="D53" s="78">
        <v>20</v>
      </c>
      <c r="E53" s="79">
        <v>4065.12</v>
      </c>
      <c r="F53" s="80" t="s">
        <v>114</v>
      </c>
      <c r="G53" s="80" t="s">
        <v>115</v>
      </c>
      <c r="H53" s="81">
        <v>45702</v>
      </c>
      <c r="J53" s="231"/>
      <c r="K53" s="233"/>
      <c r="L53" s="231"/>
      <c r="M53" s="231"/>
      <c r="N53" s="8">
        <f>E53</f>
        <v>4065.12</v>
      </c>
    </row>
    <row r="54" spans="1:14" ht="45.75">
      <c r="A54" s="78" t="s">
        <v>17</v>
      </c>
      <c r="B54" s="78">
        <v>440747</v>
      </c>
      <c r="C54" s="78" t="s">
        <v>18</v>
      </c>
      <c r="D54" s="83">
        <v>30</v>
      </c>
      <c r="E54" s="79">
        <v>4200</v>
      </c>
      <c r="F54" s="152" t="s">
        <v>109</v>
      </c>
      <c r="G54" s="152" t="s">
        <v>116</v>
      </c>
      <c r="H54" s="153">
        <v>45735</v>
      </c>
      <c r="J54" s="231"/>
      <c r="K54" s="233"/>
      <c r="L54" s="231"/>
      <c r="M54" s="231"/>
      <c r="N54" s="8">
        <f>E54</f>
        <v>4200</v>
      </c>
    </row>
    <row r="55" spans="1:14" ht="60.75">
      <c r="A55" s="78" t="s">
        <v>17</v>
      </c>
      <c r="B55" s="78">
        <v>440747</v>
      </c>
      <c r="C55" s="78" t="s">
        <v>18</v>
      </c>
      <c r="D55" s="219">
        <v>10</v>
      </c>
      <c r="E55" s="217">
        <v>4433.66</v>
      </c>
      <c r="F55" s="134" t="s">
        <v>117</v>
      </c>
      <c r="G55" s="134" t="s">
        <v>118</v>
      </c>
      <c r="H55" s="135">
        <v>45742</v>
      </c>
      <c r="J55" s="231"/>
      <c r="K55" s="233"/>
      <c r="L55" s="231"/>
      <c r="M55" s="231"/>
      <c r="N55" s="8">
        <f>E55</f>
        <v>4433.66</v>
      </c>
    </row>
    <row r="56" spans="1:14" ht="76.5">
      <c r="A56" s="78" t="s">
        <v>17</v>
      </c>
      <c r="B56" s="78">
        <v>440747</v>
      </c>
      <c r="C56" s="78" t="s">
        <v>18</v>
      </c>
      <c r="D56" s="219">
        <v>5</v>
      </c>
      <c r="E56" s="217">
        <v>4463.37</v>
      </c>
      <c r="F56" s="218" t="s">
        <v>119</v>
      </c>
      <c r="G56" s="218" t="s">
        <v>120</v>
      </c>
      <c r="H56" s="135" t="s">
        <v>121</v>
      </c>
      <c r="J56" s="231"/>
      <c r="K56" s="233"/>
      <c r="L56" s="231"/>
      <c r="M56" s="231"/>
      <c r="N56" s="8"/>
    </row>
    <row r="57" spans="1:14" ht="60.75">
      <c r="A57" s="78" t="s">
        <v>17</v>
      </c>
      <c r="B57" s="78">
        <v>440747</v>
      </c>
      <c r="C57" s="78" t="s">
        <v>18</v>
      </c>
      <c r="D57" s="219">
        <v>31</v>
      </c>
      <c r="E57" s="217">
        <v>4472.3900000000003</v>
      </c>
      <c r="F57" s="134" t="s">
        <v>122</v>
      </c>
      <c r="G57" s="134" t="s">
        <v>123</v>
      </c>
      <c r="H57" s="216">
        <v>45810</v>
      </c>
      <c r="J57" s="235"/>
      <c r="K57" s="236"/>
      <c r="L57" s="235"/>
      <c r="M57" s="235"/>
      <c r="N57" s="8"/>
    </row>
    <row r="58" spans="1:14">
      <c r="A58" s="253" t="s">
        <v>28</v>
      </c>
      <c r="B58" s="253"/>
      <c r="C58" s="253"/>
      <c r="D58" s="253"/>
      <c r="E58" s="82">
        <f>AVERAGE(E50:E57)</f>
        <v>4150.9799999999996</v>
      </c>
      <c r="J58" s="227" t="s">
        <v>16</v>
      </c>
      <c r="K58" s="227"/>
      <c r="L58" s="227"/>
      <c r="M58" s="227"/>
      <c r="N58" s="2">
        <f>AVERAGE(N50:N55)</f>
        <v>4114.4160000000002</v>
      </c>
    </row>
  </sheetData>
  <mergeCells count="31">
    <mergeCell ref="A16:D16"/>
    <mergeCell ref="J16:M16"/>
    <mergeCell ref="J8:J15"/>
    <mergeCell ref="K8:K15"/>
    <mergeCell ref="L8:L15"/>
    <mergeCell ref="M8:M15"/>
    <mergeCell ref="A5:H5"/>
    <mergeCell ref="J5:N5"/>
    <mergeCell ref="A6:H6"/>
    <mergeCell ref="J6:N6"/>
    <mergeCell ref="A1:N1"/>
    <mergeCell ref="A58:D58"/>
    <mergeCell ref="J58:M58"/>
    <mergeCell ref="A47:H47"/>
    <mergeCell ref="J47:N47"/>
    <mergeCell ref="A48:H48"/>
    <mergeCell ref="J48:N48"/>
    <mergeCell ref="J50:J57"/>
    <mergeCell ref="K50:K57"/>
    <mergeCell ref="L50:L57"/>
    <mergeCell ref="M50:M57"/>
    <mergeCell ref="A38:D38"/>
    <mergeCell ref="J38:M38"/>
    <mergeCell ref="A24:H24"/>
    <mergeCell ref="J24:N24"/>
    <mergeCell ref="A25:H25"/>
    <mergeCell ref="J25:N25"/>
    <mergeCell ref="J27:J37"/>
    <mergeCell ref="K27:K37"/>
    <mergeCell ref="L27:L37"/>
    <mergeCell ref="M27:M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8C0E7-2BE8-4264-8E6E-34182ADB6E00}">
  <sheetPr>
    <tabColor rgb="FF00B050"/>
  </sheetPr>
  <dimension ref="A1:N16"/>
  <sheetViews>
    <sheetView showGridLines="0" workbookViewId="0">
      <selection activeCell="N15" sqref="N15"/>
    </sheetView>
  </sheetViews>
  <sheetFormatPr defaultRowHeight="15"/>
  <cols>
    <col min="1" max="1" width="13.85546875" customWidth="1"/>
    <col min="3" max="3" width="13.42578125" customWidth="1"/>
    <col min="5" max="5" width="10.85546875" customWidth="1"/>
    <col min="6" max="6" width="24.28515625" customWidth="1"/>
    <col min="7" max="7" width="26.7109375" customWidth="1"/>
    <col min="8" max="8" width="12.7109375" customWidth="1"/>
    <col min="9" max="9" width="1.5703125" customWidth="1"/>
    <col min="11" max="11" width="12" customWidth="1"/>
    <col min="12" max="12" width="11" customWidth="1"/>
    <col min="13" max="13" width="11.42578125" customWidth="1"/>
    <col min="14" max="14" width="11.85546875" customWidth="1"/>
  </cols>
  <sheetData>
    <row r="1" spans="1:14" ht="18.75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3" spans="1:14">
      <c r="D3" s="155" t="s">
        <v>124</v>
      </c>
    </row>
    <row r="4" spans="1:14">
      <c r="D4" s="155"/>
    </row>
    <row r="10" spans="1:14">
      <c r="A10" s="228" t="s">
        <v>37</v>
      </c>
      <c r="B10" s="228"/>
      <c r="C10" s="228"/>
      <c r="D10" s="228"/>
      <c r="E10" s="228"/>
      <c r="F10" s="228"/>
      <c r="G10" s="228"/>
      <c r="H10" s="228"/>
      <c r="J10" s="228" t="s">
        <v>37</v>
      </c>
      <c r="K10" s="228"/>
      <c r="L10" s="228"/>
      <c r="M10" s="228"/>
      <c r="N10" s="228"/>
    </row>
    <row r="11" spans="1:14">
      <c r="A11" s="228" t="s">
        <v>125</v>
      </c>
      <c r="B11" s="228"/>
      <c r="C11" s="228"/>
      <c r="D11" s="228"/>
      <c r="E11" s="228"/>
      <c r="F11" s="228"/>
      <c r="G11" s="228"/>
      <c r="H11" s="228"/>
      <c r="J11" s="229" t="s">
        <v>3</v>
      </c>
      <c r="K11" s="229"/>
      <c r="L11" s="229"/>
      <c r="M11" s="229"/>
      <c r="N11" s="229"/>
    </row>
    <row r="12" spans="1:14" ht="45.75">
      <c r="A12" s="1" t="s">
        <v>4</v>
      </c>
      <c r="B12" s="1" t="s">
        <v>5</v>
      </c>
      <c r="C12" s="1" t="s">
        <v>6</v>
      </c>
      <c r="D12" s="1" t="s">
        <v>7</v>
      </c>
      <c r="E12" s="1" t="s">
        <v>8</v>
      </c>
      <c r="F12" s="125" t="s">
        <v>9</v>
      </c>
      <c r="G12" s="125" t="s">
        <v>10</v>
      </c>
      <c r="H12" s="125" t="s">
        <v>11</v>
      </c>
      <c r="J12" s="1" t="s">
        <v>12</v>
      </c>
      <c r="K12" s="1" t="s">
        <v>13</v>
      </c>
      <c r="L12" s="1" t="s">
        <v>14</v>
      </c>
      <c r="M12" s="1" t="s">
        <v>15</v>
      </c>
      <c r="N12" s="1" t="s">
        <v>16</v>
      </c>
    </row>
    <row r="13" spans="1:14" ht="60.75">
      <c r="A13" s="78" t="s">
        <v>17</v>
      </c>
      <c r="B13" s="84">
        <v>483097</v>
      </c>
      <c r="C13" s="78" t="s">
        <v>18</v>
      </c>
      <c r="D13" s="78">
        <v>9</v>
      </c>
      <c r="E13" s="136">
        <v>4787</v>
      </c>
      <c r="F13" s="134" t="s">
        <v>126</v>
      </c>
      <c r="G13" s="134" t="s">
        <v>127</v>
      </c>
      <c r="H13" s="135">
        <v>45807</v>
      </c>
      <c r="J13" s="230">
        <f>_xlfn.STDEV.S(E13:E15)</f>
        <v>275.00624653511653</v>
      </c>
      <c r="K13" s="232">
        <f>(J13/E16)*100</f>
        <v>5.6954798909623392</v>
      </c>
      <c r="L13" s="230">
        <f>E16+J13</f>
        <v>5103.5062465351166</v>
      </c>
      <c r="M13" s="230">
        <f>E16-J13</f>
        <v>4553.4937534648834</v>
      </c>
      <c r="N13" s="22">
        <f>E13</f>
        <v>4787</v>
      </c>
    </row>
    <row r="14" spans="1:14" ht="45.75">
      <c r="A14" s="78" t="s">
        <v>17</v>
      </c>
      <c r="B14" s="84">
        <v>483097</v>
      </c>
      <c r="C14" s="78" t="s">
        <v>18</v>
      </c>
      <c r="D14" s="78">
        <v>27</v>
      </c>
      <c r="E14" s="136">
        <v>4870</v>
      </c>
      <c r="F14" s="218" t="s">
        <v>128</v>
      </c>
      <c r="G14" s="218" t="s">
        <v>129</v>
      </c>
      <c r="H14" s="148">
        <v>45754</v>
      </c>
      <c r="J14" s="231"/>
      <c r="K14" s="233"/>
      <c r="L14" s="231"/>
      <c r="M14" s="231"/>
      <c r="N14" s="22">
        <f>E14</f>
        <v>4870</v>
      </c>
    </row>
    <row r="15" spans="1:14" ht="45.75">
      <c r="A15" s="78" t="s">
        <v>17</v>
      </c>
      <c r="B15" s="84">
        <v>483097</v>
      </c>
      <c r="C15" s="78" t="s">
        <v>18</v>
      </c>
      <c r="D15" s="78">
        <v>3</v>
      </c>
      <c r="E15" s="136">
        <v>5299.37</v>
      </c>
      <c r="F15" s="134" t="s">
        <v>130</v>
      </c>
      <c r="G15" s="134" t="s">
        <v>129</v>
      </c>
      <c r="H15" s="135">
        <v>45754</v>
      </c>
      <c r="J15" s="235"/>
      <c r="K15" s="236"/>
      <c r="L15" s="235"/>
      <c r="M15" s="235"/>
      <c r="N15" s="22"/>
    </row>
    <row r="16" spans="1:14">
      <c r="A16" s="226" t="s">
        <v>28</v>
      </c>
      <c r="B16" s="226"/>
      <c r="C16" s="226"/>
      <c r="D16" s="226"/>
      <c r="E16" s="6">
        <f>AVERAGE(E13:E14)</f>
        <v>4828.5</v>
      </c>
      <c r="J16" s="227" t="s">
        <v>16</v>
      </c>
      <c r="K16" s="227"/>
      <c r="L16" s="227"/>
      <c r="M16" s="227"/>
      <c r="N16" s="2">
        <f>AVERAGE(N13:N14)</f>
        <v>4828.5</v>
      </c>
    </row>
  </sheetData>
  <mergeCells count="11">
    <mergeCell ref="A1:N1"/>
    <mergeCell ref="A16:D16"/>
    <mergeCell ref="J16:M16"/>
    <mergeCell ref="A10:H10"/>
    <mergeCell ref="J10:N10"/>
    <mergeCell ref="A11:H11"/>
    <mergeCell ref="J11:N11"/>
    <mergeCell ref="J13:J15"/>
    <mergeCell ref="K13:K15"/>
    <mergeCell ref="L13:L15"/>
    <mergeCell ref="M13:M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BA5D7-2B5C-43A4-A62C-777DA44D6A4E}">
  <sheetPr>
    <tabColor rgb="FF00B050"/>
  </sheetPr>
  <dimension ref="A1:N18"/>
  <sheetViews>
    <sheetView showGridLines="0" workbookViewId="0">
      <selection activeCell="N16" sqref="N16"/>
    </sheetView>
  </sheetViews>
  <sheetFormatPr defaultRowHeight="15"/>
  <cols>
    <col min="1" max="1" width="13.85546875" customWidth="1"/>
    <col min="3" max="3" width="13.42578125" customWidth="1"/>
    <col min="5" max="5" width="15.5703125" customWidth="1"/>
    <col min="6" max="6" width="24.28515625" customWidth="1"/>
    <col min="7" max="7" width="34.28515625" customWidth="1"/>
    <col min="8" max="8" width="12.7109375" customWidth="1"/>
    <col min="9" max="9" width="1.5703125" customWidth="1"/>
    <col min="10" max="10" width="11.7109375" customWidth="1"/>
    <col min="11" max="11" width="12" customWidth="1"/>
    <col min="12" max="12" width="13.140625" customWidth="1"/>
    <col min="13" max="13" width="11.42578125" customWidth="1"/>
    <col min="14" max="14" width="11.85546875" customWidth="1"/>
  </cols>
  <sheetData>
    <row r="1" spans="1:14" ht="18.75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4" spans="1:14">
      <c r="E4" s="37" t="s">
        <v>131</v>
      </c>
    </row>
    <row r="6" spans="1:14">
      <c r="E6" s="220" t="s">
        <v>131</v>
      </c>
    </row>
    <row r="12" spans="1:14">
      <c r="A12" s="228" t="s">
        <v>37</v>
      </c>
      <c r="B12" s="228"/>
      <c r="C12" s="228"/>
      <c r="D12" s="228"/>
      <c r="E12" s="228"/>
      <c r="F12" s="228"/>
      <c r="G12" s="228"/>
      <c r="H12" s="228"/>
      <c r="J12" s="228" t="s">
        <v>37</v>
      </c>
      <c r="K12" s="228"/>
      <c r="L12" s="228"/>
      <c r="M12" s="228"/>
      <c r="N12" s="228"/>
    </row>
    <row r="13" spans="1:14">
      <c r="A13" s="228" t="s">
        <v>132</v>
      </c>
      <c r="B13" s="228"/>
      <c r="C13" s="228"/>
      <c r="D13" s="228"/>
      <c r="E13" s="228"/>
      <c r="F13" s="228"/>
      <c r="G13" s="228"/>
      <c r="H13" s="228"/>
      <c r="J13" s="229" t="s">
        <v>3</v>
      </c>
      <c r="K13" s="229"/>
      <c r="L13" s="229"/>
      <c r="M13" s="229"/>
      <c r="N13" s="229"/>
    </row>
    <row r="14" spans="1:14" ht="45">
      <c r="A14" s="1" t="s">
        <v>4</v>
      </c>
      <c r="B14" s="1" t="s">
        <v>5</v>
      </c>
      <c r="C14" s="1" t="s">
        <v>6</v>
      </c>
      <c r="D14" s="1" t="s">
        <v>7</v>
      </c>
      <c r="E14" s="1" t="s">
        <v>8</v>
      </c>
      <c r="F14" s="1" t="s">
        <v>9</v>
      </c>
      <c r="G14" s="1" t="s">
        <v>10</v>
      </c>
      <c r="H14" s="1" t="s">
        <v>11</v>
      </c>
      <c r="J14" s="1" t="s">
        <v>12</v>
      </c>
      <c r="K14" s="1" t="s">
        <v>13</v>
      </c>
      <c r="L14" s="1" t="s">
        <v>14</v>
      </c>
      <c r="M14" s="1" t="s">
        <v>15</v>
      </c>
      <c r="N14" s="1" t="s">
        <v>16</v>
      </c>
    </row>
    <row r="15" spans="1:14" ht="30.75">
      <c r="A15" s="78" t="s">
        <v>17</v>
      </c>
      <c r="B15" s="78">
        <v>398485</v>
      </c>
      <c r="C15" s="78" t="s">
        <v>18</v>
      </c>
      <c r="D15" s="78">
        <v>20</v>
      </c>
      <c r="E15" s="221">
        <v>9090</v>
      </c>
      <c r="F15" s="152" t="s">
        <v>133</v>
      </c>
      <c r="G15" s="203" t="s">
        <v>134</v>
      </c>
      <c r="H15" s="81">
        <v>45813</v>
      </c>
      <c r="J15" s="230">
        <f>_xlfn.STDEV.S(E15:E17)</f>
        <v>1490.2827259729456</v>
      </c>
      <c r="K15" s="232">
        <f>(J15/E18)*100</f>
        <v>14.436480808027477</v>
      </c>
      <c r="L15" s="230">
        <f>E18+J15</f>
        <v>11813.316059306278</v>
      </c>
      <c r="M15" s="230">
        <f>E18-J15</f>
        <v>8832.7506073603872</v>
      </c>
      <c r="N15" s="22"/>
    </row>
    <row r="16" spans="1:14" ht="45.75">
      <c r="A16" s="78" t="s">
        <v>17</v>
      </c>
      <c r="B16" s="78">
        <v>398485</v>
      </c>
      <c r="C16" s="78" t="s">
        <v>18</v>
      </c>
      <c r="D16" s="78">
        <v>4</v>
      </c>
      <c r="E16" s="221">
        <v>9900</v>
      </c>
      <c r="F16" s="152" t="s">
        <v>135</v>
      </c>
      <c r="G16" s="152" t="s">
        <v>136</v>
      </c>
      <c r="H16" s="153">
        <v>45776</v>
      </c>
      <c r="J16" s="231"/>
      <c r="K16" s="233"/>
      <c r="L16" s="231"/>
      <c r="M16" s="231"/>
      <c r="N16" s="22">
        <f>E16</f>
        <v>9900</v>
      </c>
    </row>
    <row r="17" spans="1:14" ht="45.75">
      <c r="A17" s="78" t="s">
        <v>17</v>
      </c>
      <c r="B17" s="78">
        <v>398485</v>
      </c>
      <c r="C17" s="78" t="s">
        <v>18</v>
      </c>
      <c r="D17" s="78">
        <v>2</v>
      </c>
      <c r="E17" s="221">
        <v>11979.1</v>
      </c>
      <c r="F17" s="134" t="s">
        <v>137</v>
      </c>
      <c r="G17" s="134" t="s">
        <v>136</v>
      </c>
      <c r="H17" s="135">
        <v>45776</v>
      </c>
      <c r="J17" s="231"/>
      <c r="K17" s="233"/>
      <c r="L17" s="231"/>
      <c r="M17" s="231"/>
      <c r="N17" s="22"/>
    </row>
    <row r="18" spans="1:14">
      <c r="A18" s="226" t="s">
        <v>28</v>
      </c>
      <c r="B18" s="226"/>
      <c r="C18" s="226"/>
      <c r="D18" s="226"/>
      <c r="E18" s="6">
        <f>AVERAGE(E15:E17)</f>
        <v>10323.033333333333</v>
      </c>
      <c r="J18" s="227" t="s">
        <v>16</v>
      </c>
      <c r="K18" s="227"/>
      <c r="L18" s="227"/>
      <c r="M18" s="227"/>
      <c r="N18" s="2">
        <f>AVERAGE(N15:N17)</f>
        <v>9900</v>
      </c>
    </row>
  </sheetData>
  <mergeCells count="11">
    <mergeCell ref="A1:N1"/>
    <mergeCell ref="A18:D18"/>
    <mergeCell ref="J18:M18"/>
    <mergeCell ref="A12:H12"/>
    <mergeCell ref="J12:N12"/>
    <mergeCell ref="A13:H13"/>
    <mergeCell ref="J13:N13"/>
    <mergeCell ref="J15:J17"/>
    <mergeCell ref="K15:K17"/>
    <mergeCell ref="L15:L17"/>
    <mergeCell ref="M15:M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576B1-478D-4610-B66E-835A48EC4391}">
  <sheetPr>
    <tabColor rgb="FF00B050"/>
  </sheetPr>
  <dimension ref="A1:N9"/>
  <sheetViews>
    <sheetView showGridLines="0" workbookViewId="0">
      <selection activeCell="G16" sqref="G16"/>
    </sheetView>
  </sheetViews>
  <sheetFormatPr defaultRowHeight="15"/>
  <cols>
    <col min="1" max="1" width="13.85546875" customWidth="1"/>
    <col min="3" max="3" width="13.42578125" customWidth="1"/>
    <col min="5" max="5" width="10.85546875" customWidth="1"/>
    <col min="6" max="6" width="24.28515625" customWidth="1"/>
    <col min="7" max="7" width="26.7109375" customWidth="1"/>
    <col min="8" max="8" width="12.7109375" customWidth="1"/>
    <col min="9" max="9" width="1.5703125" customWidth="1"/>
    <col min="11" max="11" width="12" customWidth="1"/>
    <col min="12" max="12" width="11" customWidth="1"/>
    <col min="13" max="13" width="11.42578125" customWidth="1"/>
    <col min="14" max="14" width="11.85546875" customWidth="1"/>
  </cols>
  <sheetData>
    <row r="1" spans="1:14" ht="18.75">
      <c r="A1" s="234" t="s">
        <v>138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4" spans="1:14">
      <c r="C4" s="37" t="s">
        <v>139</v>
      </c>
    </row>
    <row r="6" spans="1:14">
      <c r="C6" s="37" t="s">
        <v>140</v>
      </c>
    </row>
    <row r="9" spans="1:14">
      <c r="C9" s="37" t="s">
        <v>141</v>
      </c>
    </row>
  </sheetData>
  <mergeCells count="1">
    <mergeCell ref="A1:N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34078-628D-44E9-83A8-DFC2C3479D36}">
  <sheetPr>
    <tabColor rgb="FF00B050"/>
  </sheetPr>
  <dimension ref="A1:N14"/>
  <sheetViews>
    <sheetView workbookViewId="0">
      <selection activeCell="H17" sqref="H17"/>
    </sheetView>
  </sheetViews>
  <sheetFormatPr defaultRowHeight="15"/>
  <cols>
    <col min="1" max="1" width="15" customWidth="1"/>
    <col min="2" max="2" width="11.5703125" customWidth="1"/>
    <col min="3" max="3" width="14.85546875" customWidth="1"/>
    <col min="4" max="4" width="12" customWidth="1"/>
    <col min="5" max="5" width="12.42578125" customWidth="1"/>
    <col min="6" max="6" width="31" customWidth="1"/>
    <col min="7" max="7" width="36.140625" customWidth="1"/>
    <col min="8" max="8" width="14.140625" customWidth="1"/>
    <col min="9" max="9" width="1.7109375" customWidth="1"/>
    <col min="10" max="10" width="11.28515625" customWidth="1"/>
    <col min="11" max="11" width="13.5703125" customWidth="1"/>
    <col min="12" max="12" width="13.7109375" customWidth="1"/>
    <col min="13" max="13" width="12.85546875" customWidth="1"/>
    <col min="14" max="14" width="14.140625" customWidth="1"/>
  </cols>
  <sheetData>
    <row r="1" spans="1:14" ht="18.75">
      <c r="A1" s="234" t="s">
        <v>138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2" spans="1:14" ht="18.7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4" spans="1:14">
      <c r="D4" s="220" t="s">
        <v>124</v>
      </c>
      <c r="E4" s="155"/>
      <c r="F4" s="155"/>
      <c r="G4" s="155"/>
    </row>
    <row r="5" spans="1:14">
      <c r="D5" s="220" t="s">
        <v>139</v>
      </c>
      <c r="E5" s="155"/>
      <c r="F5" s="155"/>
      <c r="G5" s="155"/>
    </row>
    <row r="9" spans="1:14">
      <c r="D9" s="37" t="s">
        <v>140</v>
      </c>
      <c r="E9" s="37"/>
      <c r="F9" s="37"/>
      <c r="G9" s="37"/>
    </row>
    <row r="10" spans="1:14">
      <c r="E10" s="37"/>
      <c r="F10" s="37"/>
      <c r="G10" s="37"/>
    </row>
    <row r="11" spans="1:14">
      <c r="E11" s="37"/>
      <c r="F11" s="37"/>
      <c r="G11" s="37"/>
    </row>
    <row r="14" spans="1:14">
      <c r="D14" s="220" t="s">
        <v>141</v>
      </c>
      <c r="E14" s="155"/>
      <c r="F14" s="155"/>
      <c r="G14" s="155"/>
    </row>
  </sheetData>
  <mergeCells count="1">
    <mergeCell ref="A1:N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A2C09-7D72-4100-8783-2A411EDE725F}">
  <sheetPr>
    <tabColor rgb="FF00B050"/>
  </sheetPr>
  <dimension ref="A1:N37"/>
  <sheetViews>
    <sheetView topLeftCell="A10" workbookViewId="0">
      <selection activeCell="N21" sqref="N21"/>
    </sheetView>
  </sheetViews>
  <sheetFormatPr defaultRowHeight="15"/>
  <cols>
    <col min="1" max="1" width="15" customWidth="1"/>
    <col min="2" max="2" width="11.5703125" customWidth="1"/>
    <col min="3" max="3" width="14.85546875" customWidth="1"/>
    <col min="4" max="4" width="12" customWidth="1"/>
    <col min="5" max="5" width="12.42578125" customWidth="1"/>
    <col min="6" max="6" width="31" customWidth="1"/>
    <col min="7" max="7" width="36.140625" customWidth="1"/>
    <col min="8" max="8" width="14.140625" customWidth="1"/>
    <col min="9" max="9" width="1.7109375" customWidth="1"/>
    <col min="10" max="10" width="11.28515625" customWidth="1"/>
    <col min="11" max="11" width="13.5703125" customWidth="1"/>
    <col min="12" max="12" width="13.7109375" customWidth="1"/>
    <col min="13" max="13" width="12.85546875" customWidth="1"/>
    <col min="14" max="14" width="14.140625" customWidth="1"/>
  </cols>
  <sheetData>
    <row r="1" spans="1:14" ht="18.75">
      <c r="A1" s="234" t="s">
        <v>138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2" spans="1:14" ht="18.75">
      <c r="A2" s="7"/>
      <c r="B2" s="7"/>
      <c r="C2" s="7"/>
      <c r="D2" s="7"/>
      <c r="E2" s="7"/>
      <c r="F2" s="7"/>
      <c r="G2" s="7"/>
      <c r="H2" s="7"/>
      <c r="I2" s="7"/>
    </row>
    <row r="3" spans="1:14">
      <c r="C3" s="40"/>
    </row>
    <row r="4" spans="1:14">
      <c r="E4" s="36" t="s">
        <v>124</v>
      </c>
    </row>
    <row r="15" spans="1:14">
      <c r="A15" s="228" t="s">
        <v>1</v>
      </c>
      <c r="B15" s="228"/>
      <c r="C15" s="228"/>
      <c r="D15" s="228"/>
      <c r="E15" s="228"/>
      <c r="F15" s="228"/>
      <c r="G15" s="228"/>
      <c r="H15" s="228"/>
      <c r="J15" s="228" t="s">
        <v>1</v>
      </c>
      <c r="K15" s="228"/>
      <c r="L15" s="228"/>
      <c r="M15" s="228"/>
      <c r="N15" s="228"/>
    </row>
    <row r="16" spans="1:14">
      <c r="A16" s="228" t="s">
        <v>64</v>
      </c>
      <c r="B16" s="228"/>
      <c r="C16" s="228"/>
      <c r="D16" s="228"/>
      <c r="E16" s="228"/>
      <c r="F16" s="228"/>
      <c r="G16" s="228"/>
      <c r="H16" s="228"/>
      <c r="J16" s="229" t="s">
        <v>3</v>
      </c>
      <c r="K16" s="229"/>
      <c r="L16" s="229"/>
      <c r="M16" s="229"/>
      <c r="N16" s="229"/>
    </row>
    <row r="17" spans="1:14" ht="30.75">
      <c r="A17" s="1" t="s">
        <v>4</v>
      </c>
      <c r="B17" s="1" t="s">
        <v>5</v>
      </c>
      <c r="C17" s="1" t="s">
        <v>6</v>
      </c>
      <c r="D17" s="1" t="s">
        <v>7</v>
      </c>
      <c r="E17" s="1" t="s">
        <v>8</v>
      </c>
      <c r="F17" s="1" t="s">
        <v>9</v>
      </c>
      <c r="G17" s="1" t="s">
        <v>10</v>
      </c>
      <c r="H17" s="1" t="s">
        <v>11</v>
      </c>
      <c r="J17" s="1" t="s">
        <v>12</v>
      </c>
      <c r="K17" s="1" t="s">
        <v>13</v>
      </c>
      <c r="L17" s="1" t="s">
        <v>14</v>
      </c>
      <c r="M17" s="1" t="s">
        <v>15</v>
      </c>
      <c r="N17" s="1" t="s">
        <v>16</v>
      </c>
    </row>
    <row r="18" spans="1:14" ht="82.5" customHeight="1">
      <c r="A18" s="78" t="s">
        <v>17</v>
      </c>
      <c r="B18" s="78">
        <v>458191</v>
      </c>
      <c r="C18" s="78" t="s">
        <v>18</v>
      </c>
      <c r="D18" s="78">
        <v>32</v>
      </c>
      <c r="E18" s="79">
        <v>2778</v>
      </c>
      <c r="F18" s="152" t="s">
        <v>21</v>
      </c>
      <c r="G18" s="152" t="s">
        <v>142</v>
      </c>
      <c r="H18" s="153" t="s">
        <v>143</v>
      </c>
      <c r="J18" s="230">
        <f>_xlfn.STDEV.S(E18:E19)</f>
        <v>572.30394442114084</v>
      </c>
      <c r="K18" s="232">
        <f>(J18/E20)*100</f>
        <v>17.98182489037983</v>
      </c>
      <c r="L18" s="230">
        <f>E20+J18</f>
        <v>3754.9839444211411</v>
      </c>
      <c r="M18" s="230">
        <f>E20-J18</f>
        <v>2610.3760555788595</v>
      </c>
      <c r="N18" s="8">
        <f>E18</f>
        <v>2778</v>
      </c>
    </row>
    <row r="19" spans="1:14" ht="82.5" customHeight="1">
      <c r="A19" s="78" t="s">
        <v>17</v>
      </c>
      <c r="B19" s="78">
        <v>458191</v>
      </c>
      <c r="C19" s="78" t="s">
        <v>18</v>
      </c>
      <c r="D19" s="78">
        <v>8</v>
      </c>
      <c r="E19" s="136">
        <v>3587.36</v>
      </c>
      <c r="F19" s="134" t="s">
        <v>144</v>
      </c>
      <c r="G19" s="134" t="s">
        <v>142</v>
      </c>
      <c r="H19" s="153" t="s">
        <v>143</v>
      </c>
      <c r="J19" s="235"/>
      <c r="K19" s="236"/>
      <c r="L19" s="235"/>
      <c r="M19" s="235"/>
      <c r="N19" s="8">
        <f>E19</f>
        <v>3587.36</v>
      </c>
    </row>
    <row r="20" spans="1:14" ht="25.5" customHeight="1">
      <c r="A20" s="226" t="s">
        <v>28</v>
      </c>
      <c r="B20" s="226"/>
      <c r="C20" s="226"/>
      <c r="D20" s="226"/>
      <c r="E20" s="6">
        <f>AVERAGE(E18:E19)</f>
        <v>3182.6800000000003</v>
      </c>
      <c r="J20" s="227" t="s">
        <v>16</v>
      </c>
      <c r="K20" s="227"/>
      <c r="L20" s="227"/>
      <c r="M20" s="227"/>
      <c r="N20" s="2">
        <f>MEDIAN(N18:N19)</f>
        <v>3182.6800000000003</v>
      </c>
    </row>
    <row r="25" spans="1:14">
      <c r="D25" s="37" t="s">
        <v>140</v>
      </c>
      <c r="E25" s="37"/>
      <c r="F25" s="37"/>
    </row>
    <row r="31" spans="1:14">
      <c r="A31" s="228" t="s">
        <v>37</v>
      </c>
      <c r="B31" s="228"/>
      <c r="C31" s="228"/>
      <c r="D31" s="228"/>
      <c r="E31" s="228"/>
      <c r="F31" s="228"/>
      <c r="G31" s="228"/>
      <c r="H31" s="228"/>
      <c r="J31" s="228" t="s">
        <v>37</v>
      </c>
      <c r="K31" s="228"/>
      <c r="L31" s="228"/>
      <c r="M31" s="228"/>
      <c r="N31" s="228"/>
    </row>
    <row r="32" spans="1:14">
      <c r="A32" s="228" t="s">
        <v>64</v>
      </c>
      <c r="B32" s="228"/>
      <c r="C32" s="228"/>
      <c r="D32" s="228"/>
      <c r="E32" s="228"/>
      <c r="F32" s="228"/>
      <c r="G32" s="228"/>
      <c r="H32" s="228"/>
      <c r="J32" s="229" t="s">
        <v>3</v>
      </c>
      <c r="K32" s="229"/>
      <c r="L32" s="229"/>
      <c r="M32" s="229"/>
      <c r="N32" s="229"/>
    </row>
    <row r="33" spans="1:14" ht="45">
      <c r="A33" s="1" t="s">
        <v>4</v>
      </c>
      <c r="B33" s="1" t="s">
        <v>5</v>
      </c>
      <c r="C33" s="1" t="s">
        <v>6</v>
      </c>
      <c r="D33" s="1" t="s">
        <v>7</v>
      </c>
      <c r="E33" s="1" t="s">
        <v>8</v>
      </c>
      <c r="F33" s="1" t="s">
        <v>9</v>
      </c>
      <c r="G33" s="1" t="s">
        <v>10</v>
      </c>
      <c r="H33" s="1" t="s">
        <v>11</v>
      </c>
      <c r="J33" s="1" t="s">
        <v>12</v>
      </c>
      <c r="K33" s="1" t="s">
        <v>13</v>
      </c>
      <c r="L33" s="1" t="s">
        <v>14</v>
      </c>
      <c r="M33" s="1" t="s">
        <v>15</v>
      </c>
      <c r="N33" s="1" t="s">
        <v>16</v>
      </c>
    </row>
    <row r="34" spans="1:14" ht="60">
      <c r="A34" s="78" t="s">
        <v>17</v>
      </c>
      <c r="B34" s="78">
        <v>458191</v>
      </c>
      <c r="C34" s="78" t="s">
        <v>18</v>
      </c>
      <c r="D34" s="78">
        <v>3</v>
      </c>
      <c r="E34" s="79">
        <v>3000</v>
      </c>
      <c r="F34" s="80" t="s">
        <v>145</v>
      </c>
      <c r="G34" s="80" t="s">
        <v>146</v>
      </c>
      <c r="H34" s="81">
        <v>45544</v>
      </c>
      <c r="J34" s="230">
        <f>_xlfn.STDEV.S(E34:E35)</f>
        <v>53.025937521179046</v>
      </c>
      <c r="K34" s="232">
        <f>(J34/E37)*100</f>
        <v>1.7216232113188128</v>
      </c>
      <c r="L34" s="230">
        <f>E37+J34</f>
        <v>3133.0226041878454</v>
      </c>
      <c r="M34" s="230">
        <f>E37-J34</f>
        <v>3026.9707291454874</v>
      </c>
      <c r="N34" s="8">
        <f>E34</f>
        <v>3000</v>
      </c>
    </row>
    <row r="35" spans="1:14" ht="45">
      <c r="A35" s="78" t="s">
        <v>17</v>
      </c>
      <c r="B35" s="78">
        <v>458191</v>
      </c>
      <c r="C35" s="78" t="s">
        <v>18</v>
      </c>
      <c r="D35" s="78">
        <v>6</v>
      </c>
      <c r="E35" s="79">
        <v>3074.99</v>
      </c>
      <c r="F35" s="152" t="s">
        <v>147</v>
      </c>
      <c r="G35" s="152" t="s">
        <v>148</v>
      </c>
      <c r="H35" s="153">
        <v>45505</v>
      </c>
      <c r="J35" s="231"/>
      <c r="K35" s="233"/>
      <c r="L35" s="231"/>
      <c r="M35" s="231"/>
      <c r="N35" s="8">
        <f>E35</f>
        <v>3074.99</v>
      </c>
    </row>
    <row r="36" spans="1:14" ht="45">
      <c r="A36" s="78" t="s">
        <v>17</v>
      </c>
      <c r="B36" s="78">
        <v>458191</v>
      </c>
      <c r="C36" s="78" t="s">
        <v>18</v>
      </c>
      <c r="D36" s="78">
        <v>20</v>
      </c>
      <c r="E36" s="136">
        <v>3165</v>
      </c>
      <c r="F36" s="134" t="s">
        <v>149</v>
      </c>
      <c r="G36" s="134" t="s">
        <v>150</v>
      </c>
      <c r="H36" s="135">
        <v>45538</v>
      </c>
      <c r="J36" s="235"/>
      <c r="K36" s="236"/>
      <c r="L36" s="235"/>
      <c r="M36" s="235"/>
      <c r="N36" s="8"/>
    </row>
    <row r="37" spans="1:14">
      <c r="A37" s="226" t="s">
        <v>28</v>
      </c>
      <c r="B37" s="226"/>
      <c r="C37" s="226"/>
      <c r="D37" s="226"/>
      <c r="E37" s="6">
        <f>AVERAGE(E34:F36)</f>
        <v>3079.9966666666664</v>
      </c>
      <c r="J37" s="227" t="s">
        <v>16</v>
      </c>
      <c r="K37" s="227"/>
      <c r="L37" s="227"/>
      <c r="M37" s="227"/>
      <c r="N37" s="2">
        <f>AVERAGE(N34:N35)</f>
        <v>3037.4949999999999</v>
      </c>
    </row>
  </sheetData>
  <mergeCells count="21">
    <mergeCell ref="A1:N1"/>
    <mergeCell ref="A15:H15"/>
    <mergeCell ref="J15:N15"/>
    <mergeCell ref="A20:D20"/>
    <mergeCell ref="J20:M20"/>
    <mergeCell ref="A16:H16"/>
    <mergeCell ref="J16:N16"/>
    <mergeCell ref="J18:J19"/>
    <mergeCell ref="K18:K19"/>
    <mergeCell ref="L18:L19"/>
    <mergeCell ref="M18:M19"/>
    <mergeCell ref="A37:D37"/>
    <mergeCell ref="A31:H31"/>
    <mergeCell ref="A32:H32"/>
    <mergeCell ref="J37:M37"/>
    <mergeCell ref="J31:N31"/>
    <mergeCell ref="J32:N32"/>
    <mergeCell ref="J34:J36"/>
    <mergeCell ref="K34:K36"/>
    <mergeCell ref="L34:L36"/>
    <mergeCell ref="M34:M3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 Corporation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Diego Galantier</cp:lastModifiedBy>
  <cp:revision/>
  <dcterms:created xsi:type="dcterms:W3CDTF">2021-09-20T13:14:52Z</dcterms:created>
  <dcterms:modified xsi:type="dcterms:W3CDTF">2025-08-10T15:11:25Z</dcterms:modified>
  <cp:category/>
  <cp:contentStatus/>
</cp:coreProperties>
</file>