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josue.vieira\Desktop\Limpeza e Conservação\"/>
    </mc:Choice>
  </mc:AlternateContent>
  <xr:revisionPtr revIDLastSave="0" documentId="8_{F55B9A84-DCCA-4296-87F6-52E5F3C9AF4B}" xr6:coauthVersionLast="41" xr6:coauthVersionMax="41" xr10:uidLastSave="{00000000-0000-0000-0000-000000000000}"/>
  <bookViews>
    <workbookView xWindow="-120" yWindow="-120" windowWidth="20730" windowHeight="11160" tabRatio="871" xr2:uid="{00000000-000D-0000-FFFF-FFFF00000000}"/>
  </bookViews>
  <sheets>
    <sheet name="PCFP-Servente" sheetId="1" r:id="rId1"/>
    <sheet name="PCFP-Jardineiro" sheetId="17" r:id="rId2"/>
    <sheet name="PCFP-Encarregado" sheetId="18" r:id="rId3"/>
    <sheet name="Materiais" sheetId="4" r:id="rId4"/>
    <sheet name="EPI's" sheetId="19" r:id="rId5"/>
    <sheet name="EQP's" sheetId="5" r:id="rId6"/>
    <sheet name="Uniformes" sheetId="2" r:id="rId7"/>
    <sheet name="Totalização" sheetId="3" r:id="rId8"/>
    <sheet name="Fator K" sheetId="12" r:id="rId9"/>
    <sheet name="Preço por m²" sheetId="23" r:id="rId10"/>
    <sheet name="Quadro de horas" sheetId="24" r:id="rId11"/>
    <sheet name=" Área CNC3 e SAN Consolidadas" sheetId="20" r:id="rId12"/>
    <sheet name="Áreas SAN-Detalhada" sheetId="22" r:id="rId13"/>
    <sheet name="Áreas CNC3-Detalhada" sheetId="21" r:id="rId14"/>
  </sheets>
  <externalReferences>
    <externalReference r:id="rId1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23" l="1"/>
  <c r="E3" i="23"/>
  <c r="H13" i="23" l="1"/>
  <c r="H14" i="23"/>
  <c r="H15" i="23"/>
  <c r="H16" i="23"/>
  <c r="H17" i="23"/>
  <c r="H4" i="23" l="1"/>
  <c r="H5" i="23"/>
  <c r="E7" i="23" l="1"/>
  <c r="E54" i="4" l="1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K13" i="5"/>
  <c r="L13" i="5" s="1"/>
  <c r="M13" i="5" s="1"/>
  <c r="K12" i="5"/>
  <c r="H3" i="23" l="1"/>
  <c r="H10" i="23"/>
  <c r="H12" i="23" l="1"/>
  <c r="H6" i="23"/>
  <c r="H7" i="23"/>
  <c r="H8" i="23"/>
  <c r="H9" i="23"/>
  <c r="H11" i="23"/>
  <c r="E5" i="23" l="1"/>
  <c r="E8" i="23"/>
  <c r="E9" i="23"/>
  <c r="E10" i="23"/>
  <c r="E11" i="23"/>
  <c r="E4" i="23" l="1"/>
  <c r="K17" i="22"/>
  <c r="K19" i="22"/>
  <c r="K12" i="22"/>
  <c r="L12" i="22" s="1"/>
  <c r="K13" i="22"/>
  <c r="L13" i="22" s="1"/>
  <c r="K14" i="22"/>
  <c r="K20" i="22"/>
  <c r="F5" i="22"/>
  <c r="M5" i="22" s="1"/>
  <c r="F17" i="22"/>
  <c r="F18" i="22"/>
  <c r="F19" i="22"/>
  <c r="F20" i="22"/>
  <c r="F16" i="22"/>
  <c r="F14" i="22"/>
  <c r="I3" i="23"/>
  <c r="L14" i="22" l="1"/>
  <c r="L17" i="22"/>
  <c r="L20" i="22"/>
  <c r="L19" i="22"/>
  <c r="O168" i="21" l="1"/>
  <c r="P168" i="21"/>
  <c r="Q168" i="21"/>
  <c r="N168" i="21"/>
  <c r="E13" i="23"/>
  <c r="E14" i="23"/>
  <c r="E15" i="23"/>
  <c r="E16" i="23"/>
  <c r="E17" i="23"/>
  <c r="E12" i="23"/>
  <c r="I13" i="23"/>
  <c r="I14" i="23"/>
  <c r="I15" i="23"/>
  <c r="I16" i="23"/>
  <c r="I17" i="23"/>
  <c r="I12" i="23"/>
  <c r="I4" i="23"/>
  <c r="I5" i="23"/>
  <c r="I6" i="23"/>
  <c r="I7" i="23"/>
  <c r="I8" i="23"/>
  <c r="I9" i="23"/>
  <c r="I10" i="23"/>
  <c r="I11" i="23"/>
  <c r="C13" i="23"/>
  <c r="C14" i="23"/>
  <c r="C15" i="23"/>
  <c r="C16" i="23"/>
  <c r="C17" i="23"/>
  <c r="C12" i="23"/>
  <c r="D16" i="23"/>
  <c r="D17" i="23"/>
  <c r="D15" i="23"/>
  <c r="D14" i="23"/>
  <c r="D13" i="23"/>
  <c r="D12" i="23"/>
  <c r="D11" i="23"/>
  <c r="F11" i="23" s="1"/>
  <c r="D10" i="23"/>
  <c r="D9" i="23"/>
  <c r="D8" i="23"/>
  <c r="F8" i="23" s="1"/>
  <c r="D7" i="23"/>
  <c r="D5" i="23"/>
  <c r="F5" i="23" s="1"/>
  <c r="D4" i="23"/>
  <c r="F4" i="23" s="1"/>
  <c r="F17" i="23" l="1"/>
  <c r="F10" i="23"/>
  <c r="F6" i="20"/>
  <c r="D6" i="23" s="1"/>
  <c r="F6" i="23" s="1"/>
  <c r="F3" i="20"/>
  <c r="D3" i="23" s="1"/>
  <c r="D21" i="23" l="1"/>
  <c r="R167" i="21"/>
  <c r="R170" i="21" l="1"/>
  <c r="N167" i="21"/>
  <c r="N172" i="21" s="1"/>
  <c r="O167" i="21"/>
  <c r="O172" i="21" s="1"/>
  <c r="P167" i="21"/>
  <c r="P172" i="21" s="1"/>
  <c r="Q167" i="21"/>
  <c r="M167" i="21"/>
  <c r="E166" i="21"/>
  <c r="E165" i="21"/>
  <c r="E161" i="21"/>
  <c r="E160" i="21"/>
  <c r="E159" i="21"/>
  <c r="E158" i="21"/>
  <c r="E157" i="21"/>
  <c r="E156" i="21"/>
  <c r="E155" i="21"/>
  <c r="E154" i="21"/>
  <c r="E153" i="21"/>
  <c r="E152" i="21"/>
  <c r="E151" i="21"/>
  <c r="E150" i="21"/>
  <c r="E149" i="21"/>
  <c r="E148" i="21"/>
  <c r="E147" i="21"/>
  <c r="E146" i="21"/>
  <c r="E144" i="21"/>
  <c r="E142" i="21"/>
  <c r="E141" i="21"/>
  <c r="E138" i="21"/>
  <c r="E137" i="21"/>
  <c r="E128" i="21"/>
  <c r="E127" i="21"/>
  <c r="E126" i="21"/>
  <c r="E125" i="21"/>
  <c r="E119" i="21"/>
  <c r="E118" i="21"/>
  <c r="E116" i="21"/>
  <c r="E114" i="21"/>
  <c r="E113" i="21"/>
  <c r="E110" i="21"/>
  <c r="E109" i="21"/>
  <c r="E104" i="21"/>
  <c r="E103" i="21"/>
  <c r="E102" i="21"/>
  <c r="E101" i="21"/>
  <c r="E95" i="21"/>
  <c r="E94" i="21"/>
  <c r="E92" i="21"/>
  <c r="E90" i="21"/>
  <c r="E86" i="21"/>
  <c r="E85" i="21"/>
  <c r="E84" i="21"/>
  <c r="E83" i="21"/>
  <c r="E82" i="21"/>
  <c r="E81" i="21"/>
  <c r="E80" i="21"/>
  <c r="E79" i="21"/>
  <c r="E78" i="21"/>
  <c r="E77" i="21"/>
  <c r="E76" i="21"/>
  <c r="E75" i="21"/>
  <c r="E74" i="21"/>
  <c r="E73" i="21"/>
  <c r="E72" i="21"/>
  <c r="E71" i="21"/>
  <c r="E69" i="21"/>
  <c r="E67" i="21"/>
  <c r="E63" i="21"/>
  <c r="E62" i="21"/>
  <c r="E61" i="21"/>
  <c r="E58" i="21"/>
  <c r="E55" i="21"/>
  <c r="E54" i="21"/>
  <c r="E53" i="21"/>
  <c r="E52" i="21"/>
  <c r="E46" i="21"/>
  <c r="E45" i="21"/>
  <c r="E43" i="21"/>
  <c r="E41" i="21"/>
  <c r="E37" i="21"/>
  <c r="E36" i="21"/>
  <c r="E35" i="21"/>
  <c r="E31" i="21"/>
  <c r="E29" i="21"/>
  <c r="E28" i="21"/>
  <c r="E27" i="21"/>
  <c r="E26" i="21"/>
  <c r="E25" i="21"/>
  <c r="E24" i="21"/>
  <c r="E22" i="21"/>
  <c r="E20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6" i="21"/>
  <c r="E5" i="21"/>
  <c r="Q170" i="21" l="1"/>
  <c r="Q172" i="21"/>
  <c r="M170" i="21"/>
  <c r="M172" i="21"/>
  <c r="P170" i="21"/>
  <c r="O170" i="21"/>
  <c r="N170" i="21"/>
  <c r="S167" i="21"/>
  <c r="E167" i="21"/>
  <c r="N21" i="4"/>
  <c r="O21" i="4" s="1"/>
  <c r="O7" i="2"/>
  <c r="O8" i="2"/>
  <c r="O9" i="2"/>
  <c r="O10" i="2"/>
  <c r="O11" i="2"/>
  <c r="P8" i="2" l="1"/>
  <c r="N54" i="4" l="1"/>
  <c r="O54" i="4" s="1"/>
  <c r="N53" i="4"/>
  <c r="O53" i="4" s="1"/>
  <c r="N52" i="4"/>
  <c r="O52" i="4" s="1"/>
  <c r="N51" i="4"/>
  <c r="O51" i="4" s="1"/>
  <c r="N50" i="4"/>
  <c r="O50" i="4" s="1"/>
  <c r="N49" i="4"/>
  <c r="O49" i="4" s="1"/>
  <c r="N48" i="4"/>
  <c r="O48" i="4" s="1"/>
  <c r="N47" i="4"/>
  <c r="O47" i="4" s="1"/>
  <c r="N46" i="4"/>
  <c r="O46" i="4" s="1"/>
  <c r="N45" i="4"/>
  <c r="O45" i="4" s="1"/>
  <c r="N44" i="4"/>
  <c r="O44" i="4" s="1"/>
  <c r="N43" i="4"/>
  <c r="O43" i="4" s="1"/>
  <c r="N42" i="4"/>
  <c r="O42" i="4" s="1"/>
  <c r="N41" i="4"/>
  <c r="O41" i="4" s="1"/>
  <c r="N40" i="4"/>
  <c r="O40" i="4" s="1"/>
  <c r="N39" i="4"/>
  <c r="O39" i="4" s="1"/>
  <c r="N38" i="4"/>
  <c r="O38" i="4" s="1"/>
  <c r="N37" i="4"/>
  <c r="O37" i="4" s="1"/>
  <c r="N36" i="4"/>
  <c r="O36" i="4" s="1"/>
  <c r="N35" i="4"/>
  <c r="O35" i="4" s="1"/>
  <c r="N34" i="4"/>
  <c r="N33" i="4"/>
  <c r="O33" i="4" s="1"/>
  <c r="O34" i="4" l="1"/>
  <c r="O55" i="4" s="1"/>
  <c r="O57" i="4" s="1"/>
  <c r="K23" i="19"/>
  <c r="L23" i="19" s="1"/>
  <c r="K24" i="19" l="1"/>
  <c r="L24" i="19" s="1"/>
  <c r="K22" i="19"/>
  <c r="L22" i="19" s="1"/>
  <c r="K21" i="19"/>
  <c r="L21" i="19" s="1"/>
  <c r="K20" i="19"/>
  <c r="L20" i="19" s="1"/>
  <c r="K19" i="19"/>
  <c r="L19" i="19" s="1"/>
  <c r="K11" i="5"/>
  <c r="L11" i="5" s="1"/>
  <c r="M11" i="5" s="1"/>
  <c r="K10" i="5"/>
  <c r="L10" i="5" s="1"/>
  <c r="M10" i="5" s="1"/>
  <c r="L25" i="19" l="1"/>
  <c r="L27" i="19" l="1"/>
  <c r="D117" i="1" s="1"/>
  <c r="B3" i="24"/>
  <c r="C3" i="24" s="1"/>
  <c r="K16" i="22" l="1"/>
  <c r="K18" i="22"/>
  <c r="F9" i="23"/>
  <c r="F7" i="23"/>
  <c r="D116" i="17"/>
  <c r="H3" i="24"/>
  <c r="E3" i="24"/>
  <c r="K5" i="22" l="1"/>
  <c r="L5" i="22" s="1"/>
  <c r="M17" i="22"/>
  <c r="M19" i="22"/>
  <c r="M20" i="22"/>
  <c r="J3" i="24"/>
  <c r="J5" i="24" s="1"/>
  <c r="M13" i="22"/>
  <c r="M12" i="22"/>
  <c r="G10" i="23"/>
  <c r="N10" i="23" s="1"/>
  <c r="G6" i="23"/>
  <c r="N6" i="23" s="1"/>
  <c r="G15" i="23"/>
  <c r="G8" i="23"/>
  <c r="N8" i="23" s="1"/>
  <c r="G17" i="23"/>
  <c r="N17" i="23" s="1"/>
  <c r="G3" i="23"/>
  <c r="G11" i="23"/>
  <c r="N11" i="23" s="1"/>
  <c r="H5" i="24"/>
  <c r="G14" i="23"/>
  <c r="G4" i="23"/>
  <c r="N4" i="23" s="1"/>
  <c r="G12" i="23"/>
  <c r="G5" i="23"/>
  <c r="N5" i="23" s="1"/>
  <c r="G13" i="23"/>
  <c r="G16" i="23"/>
  <c r="G7" i="23"/>
  <c r="N7" i="23" s="1"/>
  <c r="G9" i="23"/>
  <c r="N9" i="23" s="1"/>
  <c r="M14" i="22"/>
  <c r="F16" i="23"/>
  <c r="F14" i="23"/>
  <c r="F13" i="23"/>
  <c r="F15" i="23"/>
  <c r="N15" i="23" s="1"/>
  <c r="F12" i="23"/>
  <c r="N12" i="23" s="1"/>
  <c r="F3" i="23"/>
  <c r="N3" i="23" s="1"/>
  <c r="M18" i="22"/>
  <c r="L18" i="22"/>
  <c r="M16" i="22"/>
  <c r="L16" i="22"/>
  <c r="I3" i="24"/>
  <c r="I5" i="24" s="1"/>
  <c r="G3" i="24"/>
  <c r="F5" i="24" s="1"/>
  <c r="I164" i="21"/>
  <c r="I160" i="21"/>
  <c r="J160" i="21" s="1"/>
  <c r="K160" i="21" s="1"/>
  <c r="I156" i="21"/>
  <c r="J156" i="21" s="1"/>
  <c r="K156" i="21" s="1"/>
  <c r="I152" i="21"/>
  <c r="J152" i="21" s="1"/>
  <c r="K152" i="21" s="1"/>
  <c r="I148" i="21"/>
  <c r="J148" i="21" s="1"/>
  <c r="K148" i="21" s="1"/>
  <c r="I144" i="21"/>
  <c r="J144" i="21" s="1"/>
  <c r="K144" i="21" s="1"/>
  <c r="I140" i="21"/>
  <c r="I136" i="21"/>
  <c r="I132" i="21"/>
  <c r="I128" i="21"/>
  <c r="J128" i="21" s="1"/>
  <c r="K128" i="21" s="1"/>
  <c r="I124" i="21"/>
  <c r="I120" i="21"/>
  <c r="I116" i="21"/>
  <c r="J116" i="21" s="1"/>
  <c r="K116" i="21" s="1"/>
  <c r="I112" i="21"/>
  <c r="I108" i="21"/>
  <c r="I104" i="21"/>
  <c r="J104" i="21" s="1"/>
  <c r="K104" i="21" s="1"/>
  <c r="I100" i="21"/>
  <c r="I96" i="21"/>
  <c r="I92" i="21"/>
  <c r="J92" i="21" s="1"/>
  <c r="K92" i="21" s="1"/>
  <c r="I88" i="21"/>
  <c r="I84" i="21"/>
  <c r="J84" i="21" s="1"/>
  <c r="K84" i="21" s="1"/>
  <c r="I80" i="21"/>
  <c r="J80" i="21" s="1"/>
  <c r="K80" i="21" s="1"/>
  <c r="I76" i="21"/>
  <c r="J76" i="21" s="1"/>
  <c r="K76" i="21" s="1"/>
  <c r="I72" i="21"/>
  <c r="J72" i="21" s="1"/>
  <c r="K72" i="21" s="1"/>
  <c r="I68" i="21"/>
  <c r="I64" i="21"/>
  <c r="I60" i="21"/>
  <c r="I56" i="21"/>
  <c r="I52" i="21"/>
  <c r="J52" i="21" s="1"/>
  <c r="K52" i="21" s="1"/>
  <c r="I48" i="21"/>
  <c r="I44" i="21"/>
  <c r="I40" i="21"/>
  <c r="I36" i="21"/>
  <c r="J36" i="21" s="1"/>
  <c r="K36" i="21" s="1"/>
  <c r="I32" i="21"/>
  <c r="I28" i="21"/>
  <c r="J28" i="21" s="1"/>
  <c r="I24" i="21"/>
  <c r="J24" i="21" s="1"/>
  <c r="K24" i="21" s="1"/>
  <c r="I20" i="21"/>
  <c r="J20" i="21" s="1"/>
  <c r="K20" i="21" s="1"/>
  <c r="I16" i="21"/>
  <c r="J16" i="21" s="1"/>
  <c r="K16" i="21" s="1"/>
  <c r="I12" i="21"/>
  <c r="J12" i="21" s="1"/>
  <c r="K12" i="21" s="1"/>
  <c r="I8" i="21"/>
  <c r="J8" i="21" s="1"/>
  <c r="R172" i="21"/>
  <c r="S172" i="21" s="1"/>
  <c r="I166" i="21"/>
  <c r="J166" i="21" s="1"/>
  <c r="I158" i="21"/>
  <c r="J158" i="21" s="1"/>
  <c r="K158" i="21" s="1"/>
  <c r="I154" i="21"/>
  <c r="J154" i="21" s="1"/>
  <c r="K154" i="21" s="1"/>
  <c r="I150" i="21"/>
  <c r="J150" i="21" s="1"/>
  <c r="K150" i="21" s="1"/>
  <c r="I142" i="21"/>
  <c r="J142" i="21" s="1"/>
  <c r="K142" i="21" s="1"/>
  <c r="I138" i="21"/>
  <c r="J138" i="21" s="1"/>
  <c r="K138" i="21" s="1"/>
  <c r="I130" i="21"/>
  <c r="I122" i="21"/>
  <c r="I114" i="21"/>
  <c r="J114" i="21" s="1"/>
  <c r="K114" i="21" s="1"/>
  <c r="I106" i="21"/>
  <c r="I98" i="21"/>
  <c r="I90" i="21"/>
  <c r="J90" i="21" s="1"/>
  <c r="K90" i="21" s="1"/>
  <c r="I82" i="21"/>
  <c r="J82" i="21" s="1"/>
  <c r="K82" i="21" s="1"/>
  <c r="I74" i="21"/>
  <c r="J74" i="21" s="1"/>
  <c r="K74" i="21" s="1"/>
  <c r="I66" i="21"/>
  <c r="I58" i="21"/>
  <c r="J58" i="21" s="1"/>
  <c r="K58" i="21" s="1"/>
  <c r="I50" i="21"/>
  <c r="I42" i="21"/>
  <c r="I34" i="21"/>
  <c r="I30" i="21"/>
  <c r="I22" i="21"/>
  <c r="J22" i="21" s="1"/>
  <c r="K22" i="21" s="1"/>
  <c r="I14" i="21"/>
  <c r="J14" i="21" s="1"/>
  <c r="I6" i="21"/>
  <c r="J6" i="21" s="1"/>
  <c r="K6" i="21" s="1"/>
  <c r="I165" i="21"/>
  <c r="J165" i="21" s="1"/>
  <c r="K165" i="21" s="1"/>
  <c r="I161" i="21"/>
  <c r="J161" i="21" s="1"/>
  <c r="K161" i="21" s="1"/>
  <c r="I157" i="21"/>
  <c r="J157" i="21" s="1"/>
  <c r="K157" i="21" s="1"/>
  <c r="I149" i="21"/>
  <c r="J149" i="21" s="1"/>
  <c r="K149" i="21" s="1"/>
  <c r="I141" i="21"/>
  <c r="J141" i="21" s="1"/>
  <c r="K141" i="21" s="1"/>
  <c r="I163" i="21"/>
  <c r="I159" i="21"/>
  <c r="J159" i="21" s="1"/>
  <c r="K159" i="21" s="1"/>
  <c r="I155" i="21"/>
  <c r="J155" i="21" s="1"/>
  <c r="K155" i="21" s="1"/>
  <c r="I151" i="21"/>
  <c r="J151" i="21" s="1"/>
  <c r="K151" i="21" s="1"/>
  <c r="I147" i="21"/>
  <c r="J147" i="21" s="1"/>
  <c r="K147" i="21" s="1"/>
  <c r="I143" i="21"/>
  <c r="I139" i="21"/>
  <c r="I135" i="21"/>
  <c r="I131" i="21"/>
  <c r="I127" i="21"/>
  <c r="J127" i="21" s="1"/>
  <c r="K127" i="21" s="1"/>
  <c r="I123" i="21"/>
  <c r="I119" i="21"/>
  <c r="J119" i="21" s="1"/>
  <c r="K119" i="21" s="1"/>
  <c r="I115" i="21"/>
  <c r="I111" i="21"/>
  <c r="I107" i="21"/>
  <c r="I103" i="21"/>
  <c r="J103" i="21" s="1"/>
  <c r="K103" i="21" s="1"/>
  <c r="I99" i="21"/>
  <c r="I95" i="21"/>
  <c r="J95" i="21" s="1"/>
  <c r="K95" i="21" s="1"/>
  <c r="I91" i="21"/>
  <c r="I87" i="21"/>
  <c r="I83" i="21"/>
  <c r="J83" i="21" s="1"/>
  <c r="K83" i="21" s="1"/>
  <c r="I79" i="21"/>
  <c r="J79" i="21" s="1"/>
  <c r="K79" i="21" s="1"/>
  <c r="I75" i="21"/>
  <c r="J75" i="21" s="1"/>
  <c r="K75" i="21" s="1"/>
  <c r="I71" i="21"/>
  <c r="J71" i="21" s="1"/>
  <c r="K71" i="21" s="1"/>
  <c r="I67" i="21"/>
  <c r="J67" i="21" s="1"/>
  <c r="K67" i="21" s="1"/>
  <c r="I63" i="21"/>
  <c r="J63" i="21" s="1"/>
  <c r="K63" i="21" s="1"/>
  <c r="I59" i="21"/>
  <c r="I55" i="21"/>
  <c r="J55" i="21" s="1"/>
  <c r="K55" i="21" s="1"/>
  <c r="I51" i="21"/>
  <c r="I47" i="21"/>
  <c r="I43" i="21"/>
  <c r="J43" i="21" s="1"/>
  <c r="K43" i="21" s="1"/>
  <c r="I39" i="21"/>
  <c r="I35" i="21"/>
  <c r="J35" i="21" s="1"/>
  <c r="K35" i="21" s="1"/>
  <c r="I31" i="21"/>
  <c r="J31" i="21" s="1"/>
  <c r="K31" i="21" s="1"/>
  <c r="I27" i="21"/>
  <c r="J27" i="21" s="1"/>
  <c r="K27" i="21" s="1"/>
  <c r="I23" i="21"/>
  <c r="I19" i="21"/>
  <c r="J19" i="21" s="1"/>
  <c r="K19" i="21" s="1"/>
  <c r="I15" i="21"/>
  <c r="J15" i="21" s="1"/>
  <c r="K15" i="21" s="1"/>
  <c r="I11" i="21"/>
  <c r="J11" i="21" s="1"/>
  <c r="K11" i="21" s="1"/>
  <c r="I7" i="21"/>
  <c r="I162" i="21"/>
  <c r="I146" i="21"/>
  <c r="J146" i="21" s="1"/>
  <c r="K146" i="21" s="1"/>
  <c r="I134" i="21"/>
  <c r="I126" i="21"/>
  <c r="J126" i="21" s="1"/>
  <c r="K126" i="21" s="1"/>
  <c r="I118" i="21"/>
  <c r="J118" i="21" s="1"/>
  <c r="K118" i="21" s="1"/>
  <c r="I110" i="21"/>
  <c r="J110" i="21" s="1"/>
  <c r="K110" i="21" s="1"/>
  <c r="I102" i="21"/>
  <c r="J102" i="21" s="1"/>
  <c r="K102" i="21" s="1"/>
  <c r="I94" i="21"/>
  <c r="J94" i="21" s="1"/>
  <c r="K94" i="21" s="1"/>
  <c r="I86" i="21"/>
  <c r="J86" i="21" s="1"/>
  <c r="K86" i="21" s="1"/>
  <c r="I78" i="21"/>
  <c r="J78" i="21" s="1"/>
  <c r="K78" i="21" s="1"/>
  <c r="I70" i="21"/>
  <c r="I62" i="21"/>
  <c r="J62" i="21" s="1"/>
  <c r="K62" i="21" s="1"/>
  <c r="I54" i="21"/>
  <c r="J54" i="21" s="1"/>
  <c r="K54" i="21" s="1"/>
  <c r="I46" i="21"/>
  <c r="J46" i="21" s="1"/>
  <c r="K46" i="21" s="1"/>
  <c r="I38" i="21"/>
  <c r="I26" i="21"/>
  <c r="J26" i="21" s="1"/>
  <c r="K26" i="21" s="1"/>
  <c r="I18" i="21"/>
  <c r="J18" i="21" s="1"/>
  <c r="I10" i="21"/>
  <c r="J10" i="21" s="1"/>
  <c r="K10" i="21" s="1"/>
  <c r="I153" i="21"/>
  <c r="J153" i="21" s="1"/>
  <c r="K153" i="21" s="1"/>
  <c r="I145" i="21"/>
  <c r="I137" i="21"/>
  <c r="J137" i="21" s="1"/>
  <c r="K137" i="21" s="1"/>
  <c r="I121" i="21"/>
  <c r="I105" i="21"/>
  <c r="I89" i="21"/>
  <c r="I73" i="21"/>
  <c r="J73" i="21" s="1"/>
  <c r="K73" i="21" s="1"/>
  <c r="I57" i="21"/>
  <c r="I41" i="21"/>
  <c r="J41" i="21" s="1"/>
  <c r="K41" i="21" s="1"/>
  <c r="I25" i="21"/>
  <c r="J25" i="21" s="1"/>
  <c r="K25" i="21" s="1"/>
  <c r="I9" i="21"/>
  <c r="J9" i="21" s="1"/>
  <c r="K9" i="21" s="1"/>
  <c r="I113" i="21"/>
  <c r="J113" i="21" s="1"/>
  <c r="K113" i="21" s="1"/>
  <c r="I97" i="21"/>
  <c r="I81" i="21"/>
  <c r="J81" i="21" s="1"/>
  <c r="K81" i="21" s="1"/>
  <c r="I49" i="21"/>
  <c r="I125" i="21"/>
  <c r="J125" i="21" s="1"/>
  <c r="K125" i="21" s="1"/>
  <c r="I93" i="21"/>
  <c r="I61" i="21"/>
  <c r="J61" i="21" s="1"/>
  <c r="K61" i="21" s="1"/>
  <c r="I29" i="21"/>
  <c r="J29" i="21" s="1"/>
  <c r="K29" i="21" s="1"/>
  <c r="I133" i="21"/>
  <c r="I117" i="21"/>
  <c r="I101" i="21"/>
  <c r="J101" i="21" s="1"/>
  <c r="K101" i="21" s="1"/>
  <c r="I85" i="21"/>
  <c r="J85" i="21" s="1"/>
  <c r="K85" i="21" s="1"/>
  <c r="I69" i="21"/>
  <c r="J69" i="21" s="1"/>
  <c r="K69" i="21" s="1"/>
  <c r="I53" i="21"/>
  <c r="J53" i="21" s="1"/>
  <c r="K53" i="21" s="1"/>
  <c r="I37" i="21"/>
  <c r="J37" i="21" s="1"/>
  <c r="K37" i="21" s="1"/>
  <c r="I21" i="21"/>
  <c r="I5" i="21"/>
  <c r="J5" i="21" s="1"/>
  <c r="I33" i="21"/>
  <c r="I109" i="21"/>
  <c r="J109" i="21" s="1"/>
  <c r="K109" i="21" s="1"/>
  <c r="I77" i="21"/>
  <c r="J77" i="21" s="1"/>
  <c r="K77" i="21" s="1"/>
  <c r="I45" i="21"/>
  <c r="J45" i="21" s="1"/>
  <c r="K45" i="21" s="1"/>
  <c r="I13" i="21"/>
  <c r="J13" i="21" s="1"/>
  <c r="K13" i="21" s="1"/>
  <c r="I129" i="21"/>
  <c r="I65" i="21"/>
  <c r="I17" i="21"/>
  <c r="J17" i="21" s="1"/>
  <c r="K17" i="21" s="1"/>
  <c r="C106" i="18"/>
  <c r="C106" i="17"/>
  <c r="C88" i="18"/>
  <c r="C89" i="18" s="1"/>
  <c r="C88" i="17"/>
  <c r="C89" i="17" s="1"/>
  <c r="C88" i="1"/>
  <c r="D71" i="17"/>
  <c r="D71" i="1"/>
  <c r="D71" i="18"/>
  <c r="M21" i="22" l="1"/>
  <c r="N13" i="23"/>
  <c r="N19" i="23" s="1"/>
  <c r="N14" i="23"/>
  <c r="N16" i="23"/>
  <c r="L21" i="22"/>
  <c r="C190" i="21"/>
  <c r="E190" i="21" s="1"/>
  <c r="E191" i="21" s="1"/>
  <c r="F191" i="21" s="1"/>
  <c r="N23" i="23"/>
  <c r="C197" i="21"/>
  <c r="E197" i="21" s="1"/>
  <c r="K14" i="21"/>
  <c r="K28" i="21"/>
  <c r="C176" i="21"/>
  <c r="E176" i="21" s="1"/>
  <c r="F176" i="21" s="1"/>
  <c r="K5" i="21"/>
  <c r="J168" i="21"/>
  <c r="C205" i="21"/>
  <c r="E205" i="21" s="1"/>
  <c r="E206" i="21" s="1"/>
  <c r="F206" i="21" s="1"/>
  <c r="K18" i="21"/>
  <c r="C183" i="21"/>
  <c r="E183" i="21" s="1"/>
  <c r="E184" i="21" s="1"/>
  <c r="F184" i="21" s="1"/>
  <c r="K166" i="21"/>
  <c r="K8" i="21"/>
  <c r="C175" i="21"/>
  <c r="L12" i="5"/>
  <c r="M12" i="5" s="1"/>
  <c r="E198" i="21" l="1"/>
  <c r="F198" i="21" s="1"/>
  <c r="N21" i="23"/>
  <c r="E175" i="21"/>
  <c r="F175" i="21" s="1"/>
  <c r="F177" i="21" s="1"/>
  <c r="F208" i="21" s="1"/>
  <c r="K169" i="21"/>
  <c r="E177" i="21" l="1"/>
  <c r="C13" i="3"/>
  <c r="D13" i="3"/>
  <c r="O5" i="23" l="1"/>
  <c r="O9" i="23"/>
  <c r="O13" i="23"/>
  <c r="O17" i="23"/>
  <c r="O12" i="23"/>
  <c r="O6" i="23"/>
  <c r="O10" i="23"/>
  <c r="O14" i="23"/>
  <c r="O8" i="23"/>
  <c r="O7" i="23"/>
  <c r="O11" i="23"/>
  <c r="O15" i="23"/>
  <c r="O4" i="23"/>
  <c r="O16" i="23"/>
  <c r="O3" i="23"/>
  <c r="K32" i="5"/>
  <c r="L32" i="5" s="1"/>
  <c r="K33" i="5"/>
  <c r="L33" i="5" s="1"/>
  <c r="K31" i="5"/>
  <c r="L31" i="5" s="1"/>
  <c r="K30" i="5"/>
  <c r="L30" i="5" s="1"/>
  <c r="K29" i="5"/>
  <c r="K28" i="5"/>
  <c r="L28" i="5" s="1"/>
  <c r="K9" i="19"/>
  <c r="L9" i="19" s="1"/>
  <c r="K8" i="19"/>
  <c r="L8" i="19" s="1"/>
  <c r="K7" i="19"/>
  <c r="L7" i="19" s="1"/>
  <c r="K6" i="19"/>
  <c r="L6" i="19" s="1"/>
  <c r="N18" i="4"/>
  <c r="O18" i="4" s="1"/>
  <c r="N19" i="4"/>
  <c r="O19" i="4" s="1"/>
  <c r="N20" i="4"/>
  <c r="O20" i="4" s="1"/>
  <c r="C154" i="18"/>
  <c r="C153" i="18"/>
  <c r="C133" i="18"/>
  <c r="C130" i="18"/>
  <c r="C127" i="18"/>
  <c r="C126" i="18"/>
  <c r="D76" i="18"/>
  <c r="D75" i="18"/>
  <c r="D74" i="18"/>
  <c r="D73" i="18"/>
  <c r="D72" i="18"/>
  <c r="C65" i="18"/>
  <c r="C53" i="18"/>
  <c r="D41" i="18"/>
  <c r="D47" i="18" s="1"/>
  <c r="C154" i="17"/>
  <c r="C153" i="17"/>
  <c r="C133" i="17"/>
  <c r="C130" i="17"/>
  <c r="C127" i="17"/>
  <c r="C126" i="17"/>
  <c r="D76" i="17"/>
  <c r="D75" i="17"/>
  <c r="D74" i="17"/>
  <c r="D73" i="17"/>
  <c r="D72" i="17"/>
  <c r="C65" i="17"/>
  <c r="C53" i="17"/>
  <c r="C108" i="17" s="1"/>
  <c r="D41" i="17"/>
  <c r="D47" i="17" s="1"/>
  <c r="C92" i="18" l="1"/>
  <c r="C107" i="18"/>
  <c r="D92" i="17"/>
  <c r="D155" i="17" s="1"/>
  <c r="C92" i="17"/>
  <c r="C107" i="17"/>
  <c r="C109" i="17" s="1"/>
  <c r="C108" i="18"/>
  <c r="D108" i="18" s="1"/>
  <c r="O19" i="23"/>
  <c r="L29" i="5"/>
  <c r="M29" i="5" s="1"/>
  <c r="D104" i="17"/>
  <c r="D104" i="18"/>
  <c r="C156" i="17"/>
  <c r="D93" i="17"/>
  <c r="D156" i="17" s="1"/>
  <c r="M30" i="5"/>
  <c r="M31" i="5"/>
  <c r="M33" i="5"/>
  <c r="M32" i="5"/>
  <c r="M28" i="5"/>
  <c r="L10" i="19"/>
  <c r="L12" i="19" s="1"/>
  <c r="D103" i="18"/>
  <c r="D100" i="18"/>
  <c r="D64" i="18"/>
  <c r="D60" i="18"/>
  <c r="D58" i="18"/>
  <c r="D61" i="18"/>
  <c r="D51" i="18"/>
  <c r="D141" i="18"/>
  <c r="E5" i="3" s="1"/>
  <c r="D70" i="18"/>
  <c r="D77" i="18" s="1"/>
  <c r="D83" i="18" s="1"/>
  <c r="D63" i="18"/>
  <c r="D59" i="18"/>
  <c r="D62" i="18"/>
  <c r="D93" i="18"/>
  <c r="D156" i="18" s="1"/>
  <c r="D57" i="18"/>
  <c r="D52" i="18"/>
  <c r="D105" i="18"/>
  <c r="D91" i="18"/>
  <c r="D88" i="18"/>
  <c r="D102" i="18"/>
  <c r="D89" i="18"/>
  <c r="D92" i="18"/>
  <c r="D155" i="18" s="1"/>
  <c r="D101" i="18"/>
  <c r="D70" i="17"/>
  <c r="D77" i="17" s="1"/>
  <c r="D83" i="17" s="1"/>
  <c r="D103" i="17"/>
  <c r="D101" i="17"/>
  <c r="D62" i="17"/>
  <c r="D58" i="17"/>
  <c r="D52" i="17"/>
  <c r="D100" i="17"/>
  <c r="D63" i="17"/>
  <c r="D59" i="17"/>
  <c r="D105" i="17"/>
  <c r="D91" i="17"/>
  <c r="D61" i="17"/>
  <c r="D57" i="17"/>
  <c r="D51" i="17"/>
  <c r="D64" i="17"/>
  <c r="D60" i="17"/>
  <c r="D141" i="17"/>
  <c r="D5" i="3" s="1"/>
  <c r="D88" i="17"/>
  <c r="D102" i="17"/>
  <c r="D89" i="17"/>
  <c r="C156" i="18" l="1"/>
  <c r="C109" i="18"/>
  <c r="D116" i="18"/>
  <c r="D116" i="1"/>
  <c r="D108" i="17"/>
  <c r="M34" i="5"/>
  <c r="D65" i="18"/>
  <c r="D82" i="18" s="1"/>
  <c r="D106" i="18"/>
  <c r="D65" i="17"/>
  <c r="D82" i="17" s="1"/>
  <c r="D90" i="18"/>
  <c r="D94" i="18" s="1"/>
  <c r="D143" i="18" s="1"/>
  <c r="E7" i="3" s="1"/>
  <c r="C155" i="18"/>
  <c r="C157" i="18" s="1"/>
  <c r="C94" i="18"/>
  <c r="D153" i="18"/>
  <c r="D53" i="18"/>
  <c r="D81" i="18" s="1"/>
  <c r="D107" i="18"/>
  <c r="C155" i="17"/>
  <c r="C157" i="17" s="1"/>
  <c r="D90" i="17"/>
  <c r="D94" i="17" s="1"/>
  <c r="D143" i="17" s="1"/>
  <c r="D7" i="3" s="1"/>
  <c r="D106" i="17"/>
  <c r="C94" i="17"/>
  <c r="D153" i="17"/>
  <c r="D53" i="17"/>
  <c r="D81" i="17" s="1"/>
  <c r="D84" i="18" l="1"/>
  <c r="D142" i="18" s="1"/>
  <c r="E6" i="3" s="1"/>
  <c r="M36" i="5"/>
  <c r="D117" i="17" s="1"/>
  <c r="D109" i="18"/>
  <c r="D144" i="18" s="1"/>
  <c r="E8" i="3" s="1"/>
  <c r="M38" i="5"/>
  <c r="D107" i="17"/>
  <c r="D109" i="17" s="1"/>
  <c r="D144" i="17" s="1"/>
  <c r="D8" i="3" s="1"/>
  <c r="D84" i="17"/>
  <c r="D142" i="17" s="1"/>
  <c r="D6" i="3" s="1"/>
  <c r="D75" i="1"/>
  <c r="D74" i="1"/>
  <c r="D73" i="1"/>
  <c r="D76" i="1"/>
  <c r="K14" i="5" l="1"/>
  <c r="K9" i="5"/>
  <c r="L9" i="5" s="1"/>
  <c r="M9" i="5" s="1"/>
  <c r="K8" i="5"/>
  <c r="L8" i="5" s="1"/>
  <c r="M8" i="5" s="1"/>
  <c r="K7" i="5"/>
  <c r="L7" i="5" s="1"/>
  <c r="M7" i="5" s="1"/>
  <c r="K6" i="5"/>
  <c r="L6" i="5" s="1"/>
  <c r="M6" i="5" s="1"/>
  <c r="N7" i="4"/>
  <c r="O7" i="4" s="1"/>
  <c r="N8" i="4"/>
  <c r="O8" i="4" s="1"/>
  <c r="N9" i="4"/>
  <c r="O9" i="4" s="1"/>
  <c r="N10" i="4"/>
  <c r="O10" i="4" s="1"/>
  <c r="N11" i="4"/>
  <c r="O11" i="4" s="1"/>
  <c r="N12" i="4"/>
  <c r="O12" i="4" s="1"/>
  <c r="N13" i="4"/>
  <c r="O13" i="4" s="1"/>
  <c r="N14" i="4"/>
  <c r="O14" i="4" s="1"/>
  <c r="N15" i="4"/>
  <c r="O15" i="4" s="1"/>
  <c r="N16" i="4"/>
  <c r="O16" i="4" s="1"/>
  <c r="N17" i="4"/>
  <c r="O17" i="4" s="1"/>
  <c r="N6" i="4"/>
  <c r="O6" i="4" s="1"/>
  <c r="O6" i="2"/>
  <c r="O22" i="4" l="1"/>
  <c r="O24" i="4" s="1"/>
  <c r="O26" i="4" s="1"/>
  <c r="L14" i="5"/>
  <c r="M14" i="5" s="1"/>
  <c r="M15" i="5" s="1"/>
  <c r="M17" i="5" s="1"/>
  <c r="M19" i="5" s="1"/>
  <c r="O59" i="4" l="1"/>
  <c r="C127" i="1"/>
  <c r="D115" i="1" l="1"/>
  <c r="D115" i="17"/>
  <c r="C154" i="1"/>
  <c r="C153" i="1"/>
  <c r="P11" i="2" l="1"/>
  <c r="P10" i="2"/>
  <c r="P9" i="2"/>
  <c r="P7" i="2"/>
  <c r="P6" i="2"/>
  <c r="P13" i="2" l="1"/>
  <c r="P15" i="2" s="1"/>
  <c r="D114" i="1" l="1"/>
  <c r="D114" i="17"/>
  <c r="D118" i="17" s="1"/>
  <c r="D145" i="17" s="1"/>
  <c r="D114" i="18"/>
  <c r="D118" i="18" s="1"/>
  <c r="D145" i="18" s="1"/>
  <c r="C53" i="1"/>
  <c r="D146" i="18" l="1"/>
  <c r="D122" i="18" s="1"/>
  <c r="E9" i="3"/>
  <c r="E10" i="3" s="1"/>
  <c r="D146" i="17"/>
  <c r="D122" i="17" s="1"/>
  <c r="D9" i="3"/>
  <c r="D10" i="3" s="1"/>
  <c r="C133" i="1"/>
  <c r="C130" i="1"/>
  <c r="C126" i="1"/>
  <c r="D41" i="1"/>
  <c r="D123" i="18" l="1"/>
  <c r="D124" i="18" s="1"/>
  <c r="D125" i="18" s="1"/>
  <c r="D148" i="18" s="1"/>
  <c r="B5" i="12" s="1"/>
  <c r="D123" i="17"/>
  <c r="D72" i="1"/>
  <c r="C65" i="1"/>
  <c r="C108" i="1" s="1"/>
  <c r="D47" i="1"/>
  <c r="E12" i="3" l="1"/>
  <c r="E14" i="3" s="1"/>
  <c r="E16" i="3" s="1"/>
  <c r="K3" i="23"/>
  <c r="M3" i="23" s="1"/>
  <c r="D154" i="18"/>
  <c r="D157" i="18" s="1"/>
  <c r="D147" i="18"/>
  <c r="D126" i="18" s="1"/>
  <c r="D129" i="18" s="1"/>
  <c r="D124" i="17"/>
  <c r="D125" i="17" s="1"/>
  <c r="D148" i="17" s="1"/>
  <c r="C106" i="1"/>
  <c r="C92" i="1"/>
  <c r="D93" i="1"/>
  <c r="D101" i="1"/>
  <c r="D105" i="1"/>
  <c r="D102" i="1"/>
  <c r="D100" i="1"/>
  <c r="D103" i="1"/>
  <c r="D62" i="1"/>
  <c r="D58" i="1"/>
  <c r="D59" i="1"/>
  <c r="D57" i="1"/>
  <c r="D64" i="1"/>
  <c r="D60" i="1"/>
  <c r="D63" i="1"/>
  <c r="D61" i="1"/>
  <c r="D52" i="1"/>
  <c r="D91" i="1"/>
  <c r="D141" i="1"/>
  <c r="C5" i="3" s="1"/>
  <c r="D70" i="1"/>
  <c r="D77" i="1" s="1"/>
  <c r="D83" i="1" s="1"/>
  <c r="D51" i="1"/>
  <c r="C107" i="1" l="1"/>
  <c r="D107" i="1" s="1"/>
  <c r="K17" i="23"/>
  <c r="M17" i="23" s="1"/>
  <c r="K14" i="23"/>
  <c r="M14" i="23" s="1"/>
  <c r="K8" i="23"/>
  <c r="M8" i="23" s="1"/>
  <c r="K6" i="23"/>
  <c r="M6" i="23" s="1"/>
  <c r="K11" i="23"/>
  <c r="M11" i="23" s="1"/>
  <c r="K5" i="23"/>
  <c r="M5" i="23" s="1"/>
  <c r="K7" i="23"/>
  <c r="M7" i="23" s="1"/>
  <c r="K16" i="23"/>
  <c r="M16" i="23" s="1"/>
  <c r="K10" i="23"/>
  <c r="M10" i="23" s="1"/>
  <c r="K9" i="23"/>
  <c r="M9" i="23" s="1"/>
  <c r="K4" i="23"/>
  <c r="M4" i="23" s="1"/>
  <c r="E11" i="3"/>
  <c r="D136" i="18"/>
  <c r="D133" i="18"/>
  <c r="D134" i="18"/>
  <c r="D128" i="18"/>
  <c r="D127" i="18"/>
  <c r="J7" i="23"/>
  <c r="B4" i="12"/>
  <c r="D12" i="3"/>
  <c r="D14" i="3" s="1"/>
  <c r="D16" i="3" s="1"/>
  <c r="D147" i="17"/>
  <c r="D154" i="17"/>
  <c r="D157" i="17" s="1"/>
  <c r="D104" i="1"/>
  <c r="D92" i="1"/>
  <c r="D155" i="1" s="1"/>
  <c r="D153" i="1"/>
  <c r="D108" i="1"/>
  <c r="D65" i="1"/>
  <c r="D82" i="1" s="1"/>
  <c r="C156" i="1"/>
  <c r="D53" i="1"/>
  <c r="D118" i="1"/>
  <c r="D145" i="1" s="1"/>
  <c r="C9" i="3" s="1"/>
  <c r="C109" i="1" l="1"/>
  <c r="L7" i="23"/>
  <c r="Q7" i="23" s="1"/>
  <c r="S7" i="23" s="1"/>
  <c r="P7" i="23"/>
  <c r="K12" i="23"/>
  <c r="M12" i="23" s="1"/>
  <c r="J8" i="23"/>
  <c r="D126" i="17"/>
  <c r="D129" i="17" s="1"/>
  <c r="D11" i="3"/>
  <c r="D81" i="1"/>
  <c r="D84" i="1" s="1"/>
  <c r="R7" i="23" l="1"/>
  <c r="L8" i="23"/>
  <c r="Q8" i="23" s="1"/>
  <c r="S8" i="23" s="1"/>
  <c r="P8" i="23"/>
  <c r="K15" i="23"/>
  <c r="M15" i="23" s="1"/>
  <c r="K13" i="23"/>
  <c r="M13" i="23" s="1"/>
  <c r="D134" i="17"/>
  <c r="D136" i="17"/>
  <c r="D127" i="17"/>
  <c r="D133" i="17"/>
  <c r="D128" i="17"/>
  <c r="D156" i="1"/>
  <c r="D142" i="1"/>
  <c r="C6" i="3" s="1"/>
  <c r="R8" i="23" l="1"/>
  <c r="D106" i="1"/>
  <c r="D109" i="1" l="1"/>
  <c r="D144" i="1" s="1"/>
  <c r="C8" i="3" l="1"/>
  <c r="D90" i="1"/>
  <c r="C89" i="1"/>
  <c r="D88" i="1"/>
  <c r="C94" i="1" l="1"/>
  <c r="C155" i="1"/>
  <c r="C157" i="1" s="1"/>
  <c r="D89" i="1"/>
  <c r="D94" i="1" s="1"/>
  <c r="D143" i="1" l="1"/>
  <c r="D146" i="1" s="1"/>
  <c r="C7" i="3" l="1"/>
  <c r="C10" i="3" s="1"/>
  <c r="D122" i="1"/>
  <c r="D123" i="1" l="1"/>
  <c r="D124" i="1" l="1"/>
  <c r="D125" i="1" l="1"/>
  <c r="D148" i="1" s="1"/>
  <c r="J3" i="23" l="1"/>
  <c r="L3" i="23" s="1"/>
  <c r="Q3" i="23" s="1"/>
  <c r="D147" i="1"/>
  <c r="D154" i="1"/>
  <c r="D157" i="1" s="1"/>
  <c r="C12" i="3"/>
  <c r="C14" i="3" s="1"/>
  <c r="C16" i="3" s="1"/>
  <c r="F16" i="3" s="1"/>
  <c r="F18" i="3" s="1"/>
  <c r="B3" i="12"/>
  <c r="R3" i="23" l="1"/>
  <c r="J17" i="23"/>
  <c r="P17" i="23" s="1"/>
  <c r="J6" i="23"/>
  <c r="J9" i="23" s="1"/>
  <c r="J4" i="23"/>
  <c r="L4" i="23" s="1"/>
  <c r="Q4" i="23" s="1"/>
  <c r="S4" i="23" s="1"/>
  <c r="J14" i="23"/>
  <c r="L14" i="23" s="1"/>
  <c r="Q14" i="23" s="1"/>
  <c r="S14" i="23" s="1"/>
  <c r="J10" i="23"/>
  <c r="P10" i="23" s="1"/>
  <c r="P3" i="23"/>
  <c r="J5" i="23"/>
  <c r="L5" i="23" s="1"/>
  <c r="Q5" i="23" s="1"/>
  <c r="S5" i="23" s="1"/>
  <c r="J11" i="23"/>
  <c r="J12" i="23" s="1"/>
  <c r="D126" i="1"/>
  <c r="C11" i="3"/>
  <c r="L10" i="23" l="1"/>
  <c r="Q10" i="23" s="1"/>
  <c r="S10" i="23" s="1"/>
  <c r="R4" i="23"/>
  <c r="R5" i="23"/>
  <c r="R10" i="23"/>
  <c r="R14" i="23"/>
  <c r="L17" i="23"/>
  <c r="Q17" i="23" s="1"/>
  <c r="S17" i="23" s="1"/>
  <c r="P6" i="23"/>
  <c r="P4" i="23"/>
  <c r="P5" i="23"/>
  <c r="L11" i="23"/>
  <c r="Q11" i="23" s="1"/>
  <c r="S11" i="23" s="1"/>
  <c r="P14" i="23"/>
  <c r="P11" i="23"/>
  <c r="L6" i="23"/>
  <c r="Q6" i="23" s="1"/>
  <c r="S6" i="23" s="1"/>
  <c r="L12" i="23"/>
  <c r="Q12" i="23" s="1"/>
  <c r="S12" i="23" s="1"/>
  <c r="P12" i="23"/>
  <c r="L9" i="23"/>
  <c r="Q9" i="23" s="1"/>
  <c r="S9" i="23" s="1"/>
  <c r="P9" i="23"/>
  <c r="J15" i="23"/>
  <c r="J13" i="23"/>
  <c r="D133" i="1"/>
  <c r="D127" i="1"/>
  <c r="D129" i="1"/>
  <c r="D128" i="1"/>
  <c r="D134" i="1"/>
  <c r="D136" i="1"/>
  <c r="R6" i="23" l="1"/>
  <c r="R9" i="23"/>
  <c r="R12" i="23"/>
  <c r="R11" i="23"/>
  <c r="R17" i="23"/>
  <c r="L13" i="23"/>
  <c r="Q13" i="23" s="1"/>
  <c r="S13" i="23" s="1"/>
  <c r="P13" i="23"/>
  <c r="L15" i="23"/>
  <c r="Q15" i="23" s="1"/>
  <c r="S15" i="23" s="1"/>
  <c r="P15" i="23"/>
  <c r="J16" i="23"/>
  <c r="R13" i="23" l="1"/>
  <c r="R15" i="23"/>
  <c r="L16" i="23"/>
  <c r="Q16" i="23" s="1"/>
  <c r="P16" i="23"/>
  <c r="P19" i="23" s="1"/>
  <c r="Q19" i="23" l="1"/>
  <c r="S16" i="23"/>
  <c r="P21" i="23"/>
  <c r="R16" i="23"/>
  <c r="Q21" i="23"/>
  <c r="R21" i="23" s="1"/>
</calcChain>
</file>

<file path=xl/sharedStrings.xml><?xml version="1.0" encoding="utf-8"?>
<sst xmlns="http://schemas.openxmlformats.org/spreadsheetml/2006/main" count="1617" uniqueCount="593">
  <si>
    <t xml:space="preserve"> </t>
  </si>
  <si>
    <t xml:space="preserve">Custos </t>
  </si>
  <si>
    <t xml:space="preserve">PERCENTUAIS E VALORES DE REFERÊNCIA </t>
  </si>
  <si>
    <t xml:space="preserve">MÓDULO 1: COMPOSIÇÃO DA REMUNERAÇÃO </t>
  </si>
  <si>
    <t xml:space="preserve">TOTAL DA REMUNERAÇÃO </t>
  </si>
  <si>
    <t xml:space="preserve">TOTAL DOS BENEFÍCIOS MENSAIS E DIÁRIOS </t>
  </si>
  <si>
    <t xml:space="preserve">TOTAL DOS INSUMOS DIVERSOS </t>
  </si>
  <si>
    <t xml:space="preserve">Subtotal </t>
  </si>
  <si>
    <t xml:space="preserve">Total dos custos de reposição do profissional ausente </t>
  </si>
  <si>
    <t xml:space="preserve">MODELO DE PROPOSTA DE PREÇOS </t>
  </si>
  <si>
    <t xml:space="preserve">1 - Composição da Remuneração </t>
  </si>
  <si>
    <t xml:space="preserve"> Valor (R$) </t>
  </si>
  <si>
    <t>Valor Passagem:</t>
  </si>
  <si>
    <t>Auxílio Saúde:</t>
  </si>
  <si>
    <t>Auxílio Alimentação:</t>
  </si>
  <si>
    <t>TOTAL DA PROVISÃO PARA A CONTA VINCULADA</t>
  </si>
  <si>
    <t xml:space="preserve">Nº Processo </t>
  </si>
  <si>
    <t>__/___/___ às ___: ____horas</t>
  </si>
  <si>
    <t>Dia da Abertura das propostas:</t>
  </si>
  <si>
    <t>Município</t>
  </si>
  <si>
    <t xml:space="preserve">Nº Meses Execução Contratual: </t>
  </si>
  <si>
    <t>IDENTIFICAÇÃO DO SERVIÇO</t>
  </si>
  <si>
    <t>Tipo do Serviço</t>
  </si>
  <si>
    <t>Unidade de Medida</t>
  </si>
  <si>
    <t>Quantidade Total a Contratar</t>
  </si>
  <si>
    <t>Média de dias trabalhados mês</t>
  </si>
  <si>
    <t>Auxílio Odontológico:</t>
  </si>
  <si>
    <t>Valor Unit</t>
  </si>
  <si>
    <t>Pç</t>
  </si>
  <si>
    <t>Par</t>
  </si>
  <si>
    <t>Quadro-resumo do Valor Mensal do Serviço</t>
  </si>
  <si>
    <t>Valor Mensal Total ref. Mão-de-obra vinculada à execução contratual Unid / Elementos</t>
  </si>
  <si>
    <t>A</t>
  </si>
  <si>
    <t>B</t>
  </si>
  <si>
    <t>C</t>
  </si>
  <si>
    <t>D</t>
  </si>
  <si>
    <t>E</t>
  </si>
  <si>
    <t>Tributos</t>
  </si>
  <si>
    <t>Qt postos</t>
  </si>
  <si>
    <t>Qt meses</t>
  </si>
  <si>
    <t>Materiais</t>
  </si>
  <si>
    <t>DISCRIMINAÇÃO DOS SERVIÇOS (DADOS REFERENTE A CONTRATAÇÃO)</t>
  </si>
  <si>
    <t xml:space="preserve">Ano do Acordo/Convenção/Sindicato: </t>
  </si>
  <si>
    <t>Data da apresentação da proposta:</t>
  </si>
  <si>
    <t>AUXÍLIOS E OUTROS BENEFÍCIOS</t>
  </si>
  <si>
    <t>MÃO DE OBRA VICULADA À EXECUÇÃO CONTRATUAL</t>
  </si>
  <si>
    <t xml:space="preserve">Salário Normativo da Categoria Profissional: </t>
  </si>
  <si>
    <t>Classificação brasileira de ocupações (CBO):</t>
  </si>
  <si>
    <t>Categoria Profissional (vinculada a execução contratual)</t>
  </si>
  <si>
    <t>Data base da categoria:</t>
  </si>
  <si>
    <t>Brasília</t>
  </si>
  <si>
    <t>_____/_____/_____</t>
  </si>
  <si>
    <t>Submódulo 2.1 - 13º (décimo terceiro) Salário, Férias e Adicional de Férias</t>
  </si>
  <si>
    <t>Módulo 2 - Encargos Sociais e Trabalhistas</t>
  </si>
  <si>
    <t xml:space="preserve">Submódulo 2.2 - Encargos previdenciários e FGTS </t>
  </si>
  <si>
    <t>MÓDULO 2: ENCARGOS E BENEFÍCIOS ANUAIS, MENSAIS E DIÁRIOS</t>
  </si>
  <si>
    <t xml:space="preserve">Submódulo 2.3 - Benefícios Mensais e Diários </t>
  </si>
  <si>
    <t>2.1</t>
  </si>
  <si>
    <t>2.2</t>
  </si>
  <si>
    <t>2.3</t>
  </si>
  <si>
    <t>Provisão Para Rescisão</t>
  </si>
  <si>
    <t>F</t>
  </si>
  <si>
    <t>G</t>
  </si>
  <si>
    <t>H</t>
  </si>
  <si>
    <t xml:space="preserve">Salário Base </t>
  </si>
  <si>
    <t xml:space="preserve">Outros (especificar) </t>
  </si>
  <si>
    <t>13º Salário (1/12 avos do salário)</t>
  </si>
  <si>
    <t xml:space="preserve">INSS </t>
  </si>
  <si>
    <t xml:space="preserve">SESI ou SESC </t>
  </si>
  <si>
    <t xml:space="preserve">SENAI ou SENAC </t>
  </si>
  <si>
    <t xml:space="preserve">INCRA </t>
  </si>
  <si>
    <t xml:space="preserve">Salário Educação </t>
  </si>
  <si>
    <t xml:space="preserve">FGTS </t>
  </si>
  <si>
    <t xml:space="preserve">Seguro Acidente do Trabalho/SAT/INSS </t>
  </si>
  <si>
    <t xml:space="preserve">SEBRAE </t>
  </si>
  <si>
    <t xml:space="preserve">Auxílio creche </t>
  </si>
  <si>
    <t xml:space="preserve">13º Salário e adicional de férias </t>
  </si>
  <si>
    <t xml:space="preserve">Encargos previdenciários e FGTS </t>
  </si>
  <si>
    <t>Total Provisão para rescisão</t>
  </si>
  <si>
    <t>Multa do FGTS e contribuição social sobre o Aviso Prévio sobre o aviso prévio Trabalhado</t>
  </si>
  <si>
    <t xml:space="preserve"> Insumos Diversos </t>
  </si>
  <si>
    <t>4.1</t>
  </si>
  <si>
    <t xml:space="preserve">Uniformes </t>
  </si>
  <si>
    <t>MÓDULO 6: CUSTOS INDIRETOS, TRIBUTOS E LUCRO</t>
  </si>
  <si>
    <t>Custos Indiretos</t>
  </si>
  <si>
    <t>Lucro</t>
  </si>
  <si>
    <t>Tributos Federais</t>
  </si>
  <si>
    <t>Tributos Estaduais</t>
  </si>
  <si>
    <t>Tributos Municipais</t>
  </si>
  <si>
    <t>Módulo 5 - Insumos Diversos</t>
  </si>
  <si>
    <t xml:space="preserve">MÓDULO 5 - INSUMOS DIVERSOS </t>
  </si>
  <si>
    <t>Módulo 4 - Custo de Reposição de Profissional Ausente</t>
  </si>
  <si>
    <t>Módulo 3 - Provisão Para Rescisão</t>
  </si>
  <si>
    <t>Módulo 2 - Encargos e Benefìcios Anuais, Mensais e Diários</t>
  </si>
  <si>
    <t>Módulo 1 - Composição da Remuneração</t>
  </si>
  <si>
    <t>SubTotal A + B + C + D+ E</t>
  </si>
  <si>
    <t>Mão de Obra Vinculada a execução Contratual (valor por empregado)</t>
  </si>
  <si>
    <t>Módulo 6 - Custos Indiretos, Tributo e Lucro</t>
  </si>
  <si>
    <t>C.1</t>
  </si>
  <si>
    <t>C.2</t>
  </si>
  <si>
    <t>C.3</t>
  </si>
  <si>
    <t>QUADRO RESUMO - PROVISÃO PAR CONTA VINCULADA</t>
  </si>
  <si>
    <t xml:space="preserve">Tipo de Serviço </t>
  </si>
  <si>
    <t>MÓDULO 4: CUSTO REPOSIÇÃO DE PROFISSIONAL AUSENTE</t>
  </si>
  <si>
    <t>Adicional de Periculosidade</t>
  </si>
  <si>
    <t>Adicional de Insalubridade</t>
  </si>
  <si>
    <t>Adicional Noturno</t>
  </si>
  <si>
    <t>Adicional de Hora Noturna Reduzida</t>
  </si>
  <si>
    <t>Substituto na cobertura de Outras Ausências (especificar)</t>
  </si>
  <si>
    <t>I</t>
  </si>
  <si>
    <t>Benefícios Mensais e Diários</t>
  </si>
  <si>
    <t>PIS</t>
  </si>
  <si>
    <t>COFINS (Imposto Federal - Lei 9.718 e Lei 10.833)</t>
  </si>
  <si>
    <t>Especificar</t>
  </si>
  <si>
    <t>ISS  (Imposto municipal)</t>
  </si>
  <si>
    <t>Sub Total  Módulos + Custos Indiretos</t>
  </si>
  <si>
    <t>Substituto nas Ausências Legais</t>
  </si>
  <si>
    <t>II</t>
  </si>
  <si>
    <t>QUADRO RESUMO DO CUSTO POR EMPREGADO</t>
  </si>
  <si>
    <t>III</t>
  </si>
  <si>
    <t>1</t>
  </si>
  <si>
    <t>Encargos Sociais e Trabalhistas</t>
  </si>
  <si>
    <t>VALOR TOTAL POR EMPREGADO</t>
  </si>
  <si>
    <t>MÓDULOS</t>
  </si>
  <si>
    <t>Submódulo 6 - Custos Indiretos, Tributos e Lucro</t>
  </si>
  <si>
    <t>Auxílio Creche:</t>
  </si>
  <si>
    <t>Valor Global da Proposta (TOTAL ANUAL)</t>
  </si>
  <si>
    <t>Valor Mensal dos Serviços (TOTAL MENSAL)</t>
  </si>
  <si>
    <t>Valor Valor Proposto por Unidade de Medida</t>
  </si>
  <si>
    <t>SubTotal A + B + C + D + E</t>
  </si>
  <si>
    <t>Subtotal de Encargos e Benefícios Anuais, Mensais e Diários</t>
  </si>
  <si>
    <t>QUADRO RESUMO - MÓDULO 2 - ENCARGOS E BENEFÍCIOS ANUAIS, MENSAIS E DIÁRIOS (Encargos Socias e Trabalhistas)</t>
  </si>
  <si>
    <t>Incidência do submódulo 2.2 sobre o este submódulo 4.1 (alíneas A, B, C, D e E)</t>
  </si>
  <si>
    <t>Incidência do submódulo 2.2 sobre o submódulo 2.1 (13º (décimo terceiro) Salário, Férias e Adicional de Férias)</t>
  </si>
  <si>
    <t xml:space="preserve">Licitação/Pregão Eletrônico nº </t>
  </si>
  <si>
    <t>POSTO 44h semanais</t>
  </si>
  <si>
    <t>Item</t>
  </si>
  <si>
    <t>Descrição dos Materiais de Consumo
(Quantidade Anual)</t>
  </si>
  <si>
    <t>Unid.</t>
  </si>
  <si>
    <t>Quant.</t>
  </si>
  <si>
    <t>Órgãos/Licitações/Contratos/Fornecedores/Sites consultados</t>
  </si>
  <si>
    <t>Custo estimado</t>
  </si>
  <si>
    <t>Custo médio Unit.</t>
  </si>
  <si>
    <t>Custo médio Total</t>
  </si>
  <si>
    <t>Especificação dos Equipamentos, Ferramentas e Acessórios</t>
  </si>
  <si>
    <t>Crachá</t>
  </si>
  <si>
    <t>Valor Total por Empregado / Salário Base</t>
  </si>
  <si>
    <t>EPI</t>
  </si>
  <si>
    <t xml:space="preserve">Auxílio Saúde (previsto na CCT SINDSERVIÇOS/DF) </t>
  </si>
  <si>
    <t>Auxílio Odontológico (previsto na CCT SINDSERVIÇOS/DF)</t>
  </si>
  <si>
    <t>Transporte = (21*2*VT) menos (Salário base*6%)</t>
  </si>
  <si>
    <t>Incidência do Sub módulo 2.2 sobre férias, 13 (um terço) constitucional de férias e 13º (décimo terceiro) salário</t>
  </si>
  <si>
    <t>13º Salário (1/12 avos do salário)  (item 14 do Anexo XII da IN 05/2017 MPDG)</t>
  </si>
  <si>
    <t>Férias e adicional de férias -  (item 14 do Anexo XII da IN 05/2017 MPDG) (férias substituição e terço constitucional de féris titular)</t>
  </si>
  <si>
    <t>Incidência dos encargos do GPS, FGTS e outras contribuições (módulo 2.1) sobre o aviso prévio Trabalhado (35,80% x 1,9444% = 0,6945%)</t>
  </si>
  <si>
    <t>MÓDULO 3: PROVISÃO PARA RESCISÃO (IN nº 7/2018 - MPOG)</t>
  </si>
  <si>
    <t>Férias e adicional de férias -  (item 14 do Anexo XII da IN 05/2017 MPDG) (férias substituição e terço constitucional de férias titular)</t>
  </si>
  <si>
    <t>Quantidade ANO</t>
  </si>
  <si>
    <t>Nota 2: Utilizar o SAT atribuído a empresa.</t>
  </si>
  <si>
    <t>Nota 3: Encargos previdenciários referente a Remuneração. GPS e FGTS do 13º, Adicional de Férias e Férias reposição prevista no item 4.1-G</t>
  </si>
  <si>
    <t>Nota 1: Base de cálculo: remuneração (Item 14 do Anexo XII da IN 05/2017)</t>
  </si>
  <si>
    <t>Nota 4: Base de cálculo = remuneração.</t>
  </si>
  <si>
    <r>
      <t xml:space="preserve">Nota 5: Metodologia sobre aviso prévio trabalhado do TCU, conforme Acórdão . Em atendimento ao princípio da Equidade, a licitante reconhece que no caso de repactuação o índice será de </t>
    </r>
    <r>
      <rPr>
        <sz val="8"/>
        <color rgb="FFFF0000"/>
        <rFont val="Calibri"/>
        <family val="2"/>
        <scheme val="minor"/>
      </rPr>
      <t>0,194%</t>
    </r>
  </si>
  <si>
    <t>Nota 6: Base de cálculo = remuneração.</t>
  </si>
  <si>
    <t>DIREL/SAF/ANM</t>
  </si>
  <si>
    <t>Quant. Anual</t>
  </si>
  <si>
    <t>OBS.: Diferentemente dos materiais, os equipamentos não são cotados na planilha pelo seu valor integral, mas apenas o valor equivalente a TAXA DE DEPRECIAÇÃO ANUAL. O prazo de vida útil e a taxa de depreciação anual de equipamentos são definidos atualmente pela IN RFB nº 162 de 31/12/1988. Fórmula (custo anual dos equipamentos x taxa anual de depreciação% / 12). Ver Acórdão TCU 966/2010 – Plenário.</t>
  </si>
  <si>
    <t>Outros (especificar):</t>
  </si>
  <si>
    <t>Seguro de Vida</t>
  </si>
  <si>
    <t>Seguro de vida/funeral:</t>
  </si>
  <si>
    <t>48051.003657/2020-10</t>
  </si>
  <si>
    <t>5143-20</t>
  </si>
  <si>
    <t>DF000038/2021-SINDSERVIÇOS</t>
  </si>
  <si>
    <t>Servente de Limpeza</t>
  </si>
  <si>
    <t>Servente de Limpeza/Serviços Tercerizáveis</t>
  </si>
  <si>
    <t>POSTO DE SEVENTE</t>
  </si>
  <si>
    <t>1 (Um)</t>
  </si>
  <si>
    <t>Equipe de dos Estudos Técnicos de Planejamento</t>
  </si>
  <si>
    <t>Calça</t>
  </si>
  <si>
    <t>Un.</t>
  </si>
  <si>
    <t xml:space="preserve">Balde Plástico, polietileno de alta densidade e alta resistência a impacto, capacidade 10 litros </t>
  </si>
  <si>
    <t>Pç.</t>
  </si>
  <si>
    <t>Balde Plástico, polietileno de alta densidade e alta resistência a impacto, capacidade 20 litros</t>
  </si>
  <si>
    <t>Desentupidor de vaso</t>
  </si>
  <si>
    <t>Un</t>
  </si>
  <si>
    <t>Desentupidor de pia</t>
  </si>
  <si>
    <t>Esponja dupla face</t>
  </si>
  <si>
    <t>Pá de lixo</t>
  </si>
  <si>
    <t>Rodo de 40 cm c/cabo madeira</t>
  </si>
  <si>
    <t>Rodo de 60 cm c/cabo madeira</t>
  </si>
  <si>
    <t>Vassoura para sanitário</t>
  </si>
  <si>
    <t>Vassoura de Piaçava</t>
  </si>
  <si>
    <t>Lt.</t>
  </si>
  <si>
    <t>Álcool etílico hidratado, 70º, líquido, para limpeza geral</t>
  </si>
  <si>
    <t>Aromatizante de ar, do tipo aerossol, embalagem com 500 ml, livre de CFC</t>
  </si>
  <si>
    <t>Desinfetante/Desodorizante - Galão c/ 05 lt. (Concentrado)</t>
  </si>
  <si>
    <t>Detergente para piso - Galão c/ 05 lt</t>
  </si>
  <si>
    <t>Lt</t>
  </si>
  <si>
    <t>Disco preto para enceradeira</t>
  </si>
  <si>
    <t>Flanela 40x60 cm</t>
  </si>
  <si>
    <t>Lustra Móveis 200 ml</t>
  </si>
  <si>
    <t>Luva de Borracha</t>
  </si>
  <si>
    <t>Fd</t>
  </si>
  <si>
    <t>Fd.</t>
  </si>
  <si>
    <t>Sabão em pasta rosa</t>
  </si>
  <si>
    <t>Sabonete líquido cremoso de fragrância agradável</t>
  </si>
  <si>
    <t>Saco de pano p/ chão</t>
  </si>
  <si>
    <t>Saco Plástico p/lixo 100 l (PCT.C/100)</t>
  </si>
  <si>
    <t>PCT</t>
  </si>
  <si>
    <t>Saco Plástico p/lixo 40 l (PCT.C/100)</t>
  </si>
  <si>
    <t>Kg.</t>
  </si>
  <si>
    <t>Vaselina líquida</t>
  </si>
  <si>
    <t>m³</t>
  </si>
  <si>
    <t>RELAÇÃO DE EQUIPAMENTOS PARA LIMPEZA</t>
  </si>
  <si>
    <t xml:space="preserve">Enceradeira grande, do tipo industrial </t>
  </si>
  <si>
    <t xml:space="preserve">Máquina de vapor para limpeza </t>
  </si>
  <si>
    <t>RELAÇÃO DE EQUIPAMENTO PARA JARDINAGEM</t>
  </si>
  <si>
    <t>Enxada</t>
  </si>
  <si>
    <t>Pá</t>
  </si>
  <si>
    <t>Carrinho de mão</t>
  </si>
  <si>
    <t>Rastelo</t>
  </si>
  <si>
    <t>tesoura de poda</t>
  </si>
  <si>
    <t>Kit para jardinagem três peças</t>
  </si>
  <si>
    <t>UNIFORME (SERVENTE, JARDINEIRO E ENCARREGADO)</t>
  </si>
  <si>
    <t>Calçado</t>
  </si>
  <si>
    <t>Galocha</t>
  </si>
  <si>
    <t>Óculos</t>
  </si>
  <si>
    <t>Protetor auricular</t>
  </si>
  <si>
    <t xml:space="preserve">                 Em atenção a IN 73/2020, declaro que foi realizada pesquisa mercadológica conforme dados abaixo:</t>
  </si>
  <si>
    <t>Meia</t>
  </si>
  <si>
    <t>Vr Depreciação anual</t>
  </si>
  <si>
    <t>Equipamentos (Depreciação)</t>
  </si>
  <si>
    <t>Valor Servente (R$)</t>
  </si>
  <si>
    <t>Valor Jardineiro (R$)</t>
  </si>
  <si>
    <t>Valor Encarregado (R$)</t>
  </si>
  <si>
    <t>TERMO DE REFERÊNCIA - SERVIÇOS DE LIMPEZA 2021</t>
  </si>
  <si>
    <t>Fator K Servente:</t>
  </si>
  <si>
    <t>Fator K Jardineiro:</t>
  </si>
  <si>
    <t>Fator K Encarregado:</t>
  </si>
  <si>
    <t>PAVIMENTO</t>
  </si>
  <si>
    <t>ÁREA m²</t>
  </si>
  <si>
    <t>Térreo</t>
  </si>
  <si>
    <t>SICAF</t>
  </si>
  <si>
    <t xml:space="preserve"> 2404-0</t>
  </si>
  <si>
    <t>2412-0</t>
  </si>
  <si>
    <t>Cobertura</t>
  </si>
  <si>
    <t>TIPO DE PISO/SERVIÇO</t>
  </si>
  <si>
    <t>ITEM</t>
  </si>
  <si>
    <t>TIPO DE PISO/limpeza do ambiente</t>
  </si>
  <si>
    <t>FREQUÊNCIA</t>
  </si>
  <si>
    <t>PRODUTIVIDADE M²</t>
  </si>
  <si>
    <t>Sub solo, térreo, 1º, 2º E 3º ANDAR</t>
  </si>
  <si>
    <t>Áreas das fachadas norte e sul e laterais leste e oeste</t>
  </si>
  <si>
    <t>Áreas internas - térreo/1º, 2º, 3º andar</t>
  </si>
  <si>
    <t>Áreas Externas Térreo/1º, 2º, 3º e Cobertura</t>
  </si>
  <si>
    <t>7º, 8º, 9º, 10º, 11º, 12º Andar, Térreo - Lojas, Sub-solo Malote, Sub-Solo Arquivo</t>
  </si>
  <si>
    <t>EDIFÍCIO SEDE DA ANM</t>
  </si>
  <si>
    <t>LOCAIS</t>
  </si>
  <si>
    <t>AMBIENTE</t>
  </si>
  <si>
    <t>LARGURA (m)</t>
  </si>
  <si>
    <t>COMPRIMENTO (m)</t>
  </si>
  <si>
    <t>METROS QUADRADOS (m²)</t>
  </si>
  <si>
    <t>Tipo de área (IN 5/17)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</si>
  <si>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</si>
  <si>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t>Área MENSAL a ser limpa em função da frequência (m²)</t>
  </si>
  <si>
    <t>Mão de obra necessária (Mês)</t>
  </si>
  <si>
    <t>SUBSOLO</t>
  </si>
  <si>
    <t>Malote</t>
  </si>
  <si>
    <t>Piso frio</t>
  </si>
  <si>
    <t>Banheiro Masculino</t>
  </si>
  <si>
    <t>Banheiro</t>
  </si>
  <si>
    <t>Banheiro Feminino</t>
  </si>
  <si>
    <t>Plenária/auditório</t>
  </si>
  <si>
    <t>Sala de som</t>
  </si>
  <si>
    <t>Depósito</t>
  </si>
  <si>
    <t>Sala de reunião</t>
  </si>
  <si>
    <t>Foyer</t>
  </si>
  <si>
    <t>Sala de atendimeto</t>
  </si>
  <si>
    <t>Refeitório</t>
  </si>
  <si>
    <t>Protocolo</t>
  </si>
  <si>
    <t>Recepção</t>
  </si>
  <si>
    <t>Corredores</t>
  </si>
  <si>
    <t>7º PAV</t>
  </si>
  <si>
    <t>WC-Deficiente Físico</t>
  </si>
  <si>
    <t>Sala de Segurança de Barragens</t>
  </si>
  <si>
    <t>CPD</t>
  </si>
  <si>
    <t>Copa</t>
  </si>
  <si>
    <t>Salas da Arrecadação</t>
  </si>
  <si>
    <t>Salas da Produção Mineral</t>
  </si>
  <si>
    <t>Hall</t>
  </si>
  <si>
    <t>8º PAV</t>
  </si>
  <si>
    <t>Salas da Informática</t>
  </si>
  <si>
    <t>Salas da Corregedoria</t>
  </si>
  <si>
    <t>Salas da Auditoria</t>
  </si>
  <si>
    <t>9º PAV</t>
  </si>
  <si>
    <t>Sala da Mediação de Conflitos</t>
  </si>
  <si>
    <t>10º PAV</t>
  </si>
  <si>
    <t>Salas da Regulação</t>
  </si>
  <si>
    <t>Salas da Gestão de Pessoas</t>
  </si>
  <si>
    <t>11º PAV</t>
  </si>
  <si>
    <t>Salas da Pesquisa de Recursos Minerais</t>
  </si>
  <si>
    <t>12º PAV</t>
  </si>
  <si>
    <t>Sala dos Diretores</t>
  </si>
  <si>
    <t>Sala dos Assessores</t>
  </si>
  <si>
    <t>Sala de reunião dos diretores</t>
  </si>
  <si>
    <t>Sala da Ouvidoria</t>
  </si>
  <si>
    <t>Sala da Assessoria de Relações Institucionais/Sala da Assessoria de Com. Social</t>
  </si>
  <si>
    <t>Sala do Chefe de Gabinete</t>
  </si>
  <si>
    <t>Sala da Secretaria Geral</t>
  </si>
  <si>
    <t>Sala do Diretor Geral</t>
  </si>
  <si>
    <t>Sala do Apoio da Diretoria</t>
  </si>
  <si>
    <t>Sala de espera</t>
  </si>
  <si>
    <t>Janelas e esquadrias face interna</t>
  </si>
  <si>
    <t>Face interna - sem exposição a riscos</t>
  </si>
  <si>
    <t>Área Física Total (m²)</t>
  </si>
  <si>
    <t>Área Física a ser limpa/mês (m²)</t>
  </si>
  <si>
    <t>Mão de obra necessária (nº serventes)</t>
  </si>
  <si>
    <t>Conversão das áreas internas para a produtividade padrão</t>
  </si>
  <si>
    <t>ÁREAS INTERNAS (produtividade 200m²)</t>
  </si>
  <si>
    <t>Descrição da área</t>
  </si>
  <si>
    <t>Área física a ser limpa (mês/m²)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</si>
  <si>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</si>
  <si>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Mão de obra necessária</t>
  </si>
  <si>
    <t>Banheiros</t>
  </si>
  <si>
    <t>Copas</t>
  </si>
  <si>
    <t>Somatório das ÁREAS INTERNAS convertidas para a produtividade 200m²</t>
  </si>
  <si>
    <t>ÁREAS INTERNAS (produtividade 300m²)</t>
  </si>
  <si>
    <t>Janelas e esquadria: face interna</t>
  </si>
  <si>
    <t>Somatório das ÁREAS INTERNAS convertidas para a produtividade 300m²</t>
  </si>
  <si>
    <t>ÁREAS INTERNAS (produtividade 800m²)</t>
  </si>
  <si>
    <t>Área convertida p/ produtividade 800m²/dia</t>
  </si>
  <si>
    <t>Pisos frios</t>
  </si>
  <si>
    <t>Somatório das ÁREAS INTERNAS convertidas para a produtividade 800m²</t>
  </si>
  <si>
    <t>ÁREAS INTERNAS (produtividade 1000m²)</t>
  </si>
  <si>
    <t>Área convertida p/ produtividade 1000m²/dia</t>
  </si>
  <si>
    <t>Hall e recepção</t>
  </si>
  <si>
    <t>Somatório das ÁREAS INTERNAS convertidas para a produtividade 1000m²</t>
  </si>
  <si>
    <t>4 – DESCRIÇÃO DETALHADA DOS SERVIÇOS</t>
  </si>
  <si>
    <t>SIASG</t>
  </si>
  <si>
    <t>DESCRIÇÃO DAS ÁREAS DE PISO INTERNAS SUBSOLO/TÉRREO/1º, 2º e 3º ANDAR</t>
  </si>
  <si>
    <t>ÁREA EM m²</t>
  </si>
  <si>
    <t>PAVIFLEX</t>
  </si>
  <si>
    <t>MÁRMORE</t>
  </si>
  <si>
    <t>GRANITO – Passarela de entrada</t>
  </si>
  <si>
    <t>GRANITO</t>
  </si>
  <si>
    <t>CARPETE</t>
  </si>
  <si>
    <t>CIMENTADOS</t>
  </si>
  <si>
    <t>TOTAL</t>
  </si>
  <si>
    <t>ESPELHO D’ÁGUA</t>
  </si>
  <si>
    <t>DESCRIÇÃO DAS ÁREAS DE LAJES E COBERTURAS</t>
  </si>
  <si>
    <t>LAJES SOBRE CASA DE MÁQUINAS COBERTURA/RESERV. SUPERIOR COBERTURA/ANDAR TÉRREO COBERTURA</t>
  </si>
  <si>
    <t>TELHADO COBERTURA</t>
  </si>
  <si>
    <t>DESCRIÇÃO DA ÁREA DE AJARDINAMENTOS - DIVERSAS ESPÉCIES DE PLANTAS</t>
  </si>
  <si>
    <t>ÁREAS DAS LATERAIS LESTE E OESTE</t>
  </si>
  <si>
    <t>ÁREAS DAS FACHADAS NORTE E SUL E LATERAIS LESTE E OESTE</t>
  </si>
  <si>
    <t>DESCRIÇÃO DA ÁREA DE AJARDINAMENTOS - GRAMADO (LIMPEZA)</t>
  </si>
  <si>
    <t>DESCRIÇÃO DAS ÁREAS ESQUADRIAS/VIDROS (INTERNAS)</t>
  </si>
  <si>
    <t>ÁREAS INTERNA SUBSOLO/TÉRREO/1º, 2º, 3º COBERTURA</t>
  </si>
  <si>
    <t>DESCRIÇÃO DAS ÁREAS ESQUADRIAS/VIDROS (EXTERNAS)</t>
  </si>
  <si>
    <t>ÁREAS EXTERNAS - TÉRREO/1º, 2º, 3º COBERTURA</t>
  </si>
  <si>
    <t>TIPO ÁREAS</t>
  </si>
  <si>
    <t>DESCRIÇÃO DA ÁREA</t>
  </si>
  <si>
    <t xml:space="preserve">PREÇO HOMEM MÊS  (Servente e Jardineiro) </t>
  </si>
  <si>
    <t>PREÇO HOMEM MÊS ENCAR.</t>
  </si>
  <si>
    <t>ENCAR.</t>
  </si>
  <si>
    <t>PREÇO SERVIÇOS (SALÁRIO*QT SERVIDORES)</t>
  </si>
  <si>
    <t>ÁREA INTERNA</t>
  </si>
  <si>
    <t>ÁREAS DE PISO INTERNAS SUBSOLO/TÉRREO/1º, 2º E 3º ANDAR</t>
  </si>
  <si>
    <t>ÁREAS EXTERNAS</t>
  </si>
  <si>
    <t>LAJES/COBERTURAS</t>
  </si>
  <si>
    <t>ÁREAS EXTERNA</t>
  </si>
  <si>
    <t>AJARDINAMENTOS - CANTEIROS DIVERSAS ESPÉCIES DE PLANTAS</t>
  </si>
  <si>
    <t>AJARDINAMENTOS - GRAMADO (MANUTENÇÃO)</t>
  </si>
  <si>
    <t>AJARDINAMENTOS - GRAMADO (LIMPEZA)</t>
  </si>
  <si>
    <t>ESQUADRIAS</t>
  </si>
  <si>
    <t>ESQUADRIAS/VIDROS INTENAS</t>
  </si>
  <si>
    <t>ESQUADRIAS/VIDROS (EXTERNAS)</t>
  </si>
  <si>
    <t>TOTAL HOMENS/VALOR MENSAL</t>
  </si>
  <si>
    <t>ÁREAS INTERNA</t>
  </si>
  <si>
    <t>SEMANAL</t>
  </si>
  <si>
    <t>MENSAL</t>
  </si>
  <si>
    <t>SEMESTRAL</t>
  </si>
  <si>
    <t>DIÁRIA</t>
  </si>
  <si>
    <t>Custo anual dos Equipamentos de limpeza</t>
  </si>
  <si>
    <t>Custo anual dos Equipamentos de Jardinegem</t>
  </si>
  <si>
    <t>Custo anual dos EPI's por posto</t>
  </si>
  <si>
    <t>Servente</t>
  </si>
  <si>
    <t>Jardineiro</t>
  </si>
  <si>
    <t>Encarregado</t>
  </si>
  <si>
    <t>Auxílio alimentação=((21*VA)</t>
  </si>
  <si>
    <r>
      <t>Aviso Prévio Idenizado</t>
    </r>
    <r>
      <rPr>
        <sz val="10"/>
        <color rgb="FFFF0000"/>
        <rFont val="Calibri"/>
        <family val="2"/>
        <scheme val="minor"/>
      </rPr>
      <t xml:space="preserve"> (303 ÷ 365 x 0,2 x 100 = 1,81%)</t>
    </r>
  </si>
  <si>
    <t>Incidência do FGTS sobre o Aviso Prévio Idenizado  (8% x 1,81% =0,14%)</t>
  </si>
  <si>
    <t>Multa do FGTS e contribuição social sobre o Aviso prévio Indenizado (item 14 do Anexo XII da IN 05/2017 MPDG) (4,5% x 90% recebe aviso indenizado)</t>
  </si>
  <si>
    <t>Aviso Prévio Trabalhado (07/30/12 x 0,10 x 100 = 0,19%</t>
  </si>
  <si>
    <t>Multa do FGTS e contribuição social sobre o Aviso Prévio Trabalhado (item 14 do Anexo XII da IN 05/2017 MPDG) (4,5% x 10% do pessoal recebe aviso trabalhado</t>
  </si>
  <si>
    <t>Substituto na cobertura de Férias (Férias, Terço constitucional de férias e 13º salário do ferista)  (3,03% + 8,33%)/12 = 0,95%</t>
  </si>
  <si>
    <t>Substituto na cobertura de Ausências legais  (8/30/12)+(7/30/12)) x 100 = 4,17%</t>
  </si>
  <si>
    <t>Substituto na cobertura de Licença paternidade  (=5/30/12*0,075) X 100= 0,10 %</t>
  </si>
  <si>
    <t>Substituto na cobertura de Ausência por acidente de trabalho   (=15/30/12*0,15) x 100 = 0,63%</t>
  </si>
  <si>
    <t>Substituto na cobertura de Afastamento Maternidade  (1/12x4)+(1,33/12x4)/12x0,00025x100=0,02%</t>
  </si>
  <si>
    <t>Nota7: Atualizada até 01/03/2021</t>
  </si>
  <si>
    <t>SEMANAS ANO</t>
  </si>
  <si>
    <t>DIAS ANO</t>
  </si>
  <si>
    <t>HORAS POR SEMANA</t>
  </si>
  <si>
    <t>SEMANAS MÊS</t>
  </si>
  <si>
    <t>HORAS MÊS</t>
  </si>
  <si>
    <t>HORAS TRIMESTRE</t>
  </si>
  <si>
    <t>HORAS SEMESTRE</t>
  </si>
  <si>
    <t>QUADRO DE HORAS LEGAIS</t>
  </si>
  <si>
    <t>Cont_ANM</t>
  </si>
  <si>
    <t>Escova Multiuso ou dupla face</t>
  </si>
  <si>
    <t>Galão 5l</t>
  </si>
  <si>
    <t>Áreas das fachadas norte e sul e laterais leste e oeste e laterais leste e oeste</t>
  </si>
  <si>
    <t>Canteiros suspensos</t>
  </si>
  <si>
    <t>Valor Mensal</t>
  </si>
  <si>
    <t>PREÇO SERVIÇOS (Preço M² HORA** ÁREA)</t>
  </si>
  <si>
    <t xml:space="preserve">Roçadeira de grama a gasolina </t>
  </si>
  <si>
    <t>Escada de alumínio 7 degraus</t>
  </si>
  <si>
    <t>Escada de alumínio 4 degraus</t>
  </si>
  <si>
    <t>Boné de Jardineiro</t>
  </si>
  <si>
    <t>Quant. Mensal</t>
  </si>
  <si>
    <t>Cera líquida incolor Galão 5l</t>
  </si>
  <si>
    <t>Água Sanitária, uso doméstico, à base de hipoclorito de sódio, embalagem 5l, com dados de identificação do produto, marca do fabricante, data de fabricação, prazo de validade e registro no Ministério da Saúde</t>
  </si>
  <si>
    <t>Entrega Iniciál</t>
  </si>
  <si>
    <t>EPIs On Line</t>
  </si>
  <si>
    <t>Super EPI</t>
  </si>
  <si>
    <t>Leroy</t>
  </si>
  <si>
    <t>4l</t>
  </si>
  <si>
    <t>Protetor solar, 30FPS ou superior,</t>
  </si>
  <si>
    <t>Luva para manuseio de equipamentos de jardinajem</t>
  </si>
  <si>
    <t>Palácio Ferr</t>
  </si>
  <si>
    <t>NetSupri</t>
  </si>
  <si>
    <t>Camisa Manga Longa</t>
  </si>
  <si>
    <t>Camisa</t>
  </si>
  <si>
    <t>Palácio das Ferramentas</t>
  </si>
  <si>
    <t>Bomba para esgotar água do espelho dágua</t>
  </si>
  <si>
    <t>Mangueira plástica com bico redutor, para jardim, com diâmetro interno de 1/2 polegadas, em pcv 3 camadas, capacidade de pressão para 10bar. 100m.</t>
  </si>
  <si>
    <t>Catral</t>
  </si>
  <si>
    <t>LEROY</t>
  </si>
  <si>
    <t>KARCHER</t>
  </si>
  <si>
    <t>Madeira Madeira</t>
  </si>
  <si>
    <t>Loja do Mecânico</t>
  </si>
  <si>
    <t>Loja do mecânico</t>
  </si>
  <si>
    <t>Dutra máquinas</t>
  </si>
  <si>
    <t>Vassoura pelo 60cm c/cabo madeira</t>
  </si>
  <si>
    <t>Vassoura peêlo 40cm c/cabo madeira</t>
  </si>
  <si>
    <t>Net Suprimentos</t>
  </si>
  <si>
    <t xml:space="preserve">Limpa-carpete </t>
  </si>
  <si>
    <t>Limpa-vidro Galão 5l</t>
  </si>
  <si>
    <t>Kalunga</t>
  </si>
  <si>
    <t>Casa Limpa</t>
  </si>
  <si>
    <t>PONTUAL</t>
  </si>
  <si>
    <t>Pedra sanitária - Desodorizador de sanitário 25 g</t>
  </si>
  <si>
    <t>Limpador multiuso 500 ml</t>
  </si>
  <si>
    <t>Sabão em pedra/barra 200 gr. Embalagem 1kg</t>
  </si>
  <si>
    <t>lã de aço, fardo com 14 pacotes de 8 unidades</t>
  </si>
  <si>
    <t>Quantidade anual</t>
  </si>
  <si>
    <t>MATERIAIS DE REPOSIÇÃO MENSAL - LIMPEZA E JARDINAGEM</t>
  </si>
  <si>
    <t>Castronaves</t>
  </si>
  <si>
    <t>Casa Amazonas</t>
  </si>
  <si>
    <t>GIBA</t>
  </si>
  <si>
    <t>Aspirador de pó e água com reposição de materiais (saco) e manutenção.</t>
  </si>
  <si>
    <t>Fardamento e seus complementos</t>
  </si>
  <si>
    <t>OBS.: Quando do início da execução do contrato deverá ser fornecido: 2 Calças, 2 Camisas, 1 camisa mangalonga, 2 Meias, 2 sapatos e 1 crachá. A cada seis meses deverá ser substituído: 2 Calça, 2 Camisa e 2 Meias Social, 2 sapatos e 1 crachá. A cada Ano deverá ser substituído: 1 Cracha e uma camisa manga longa.</t>
  </si>
  <si>
    <t>MFRURAL</t>
  </si>
  <si>
    <t>MINAS GRAMADOS</t>
  </si>
  <si>
    <t>Adubo orgânico/Terra (tipo solo) para recompor o jardim (grama e outras espécies)</t>
  </si>
  <si>
    <t>HM Uniformes &amp; EPIs</t>
  </si>
  <si>
    <t>Brasboard</t>
  </si>
  <si>
    <t>Carmoni Uniformes</t>
  </si>
  <si>
    <t>Americanas</t>
  </si>
  <si>
    <t>NetShoes</t>
  </si>
  <si>
    <t>ZATTINI</t>
  </si>
  <si>
    <t>Rápido Card</t>
  </si>
  <si>
    <t xml:space="preserve">PRINTI' </t>
  </si>
  <si>
    <t>Gráfica Expansiva</t>
  </si>
  <si>
    <t>Maxxfer</t>
  </si>
  <si>
    <t>Arquivo</t>
  </si>
  <si>
    <t>Banheiro masculino</t>
  </si>
  <si>
    <t>Banheiro feminino</t>
  </si>
  <si>
    <t>Sala - Engenharia</t>
  </si>
  <si>
    <t>Sala - Passagem</t>
  </si>
  <si>
    <t>Sala - Biblioteca</t>
  </si>
  <si>
    <t>Sala - Financeiro</t>
  </si>
  <si>
    <t>Sala - Contabilidade</t>
  </si>
  <si>
    <t>Sala - Contratos</t>
  </si>
  <si>
    <t>Sala - Logística</t>
  </si>
  <si>
    <t>Sala - Superintendente</t>
  </si>
  <si>
    <t>Sala - Assessoria</t>
  </si>
  <si>
    <t>Salas dos procuradores</t>
  </si>
  <si>
    <t>ESQUADRIAS INTERNAS m²</t>
  </si>
  <si>
    <t>BANHEIRO</t>
  </si>
  <si>
    <t>PISO FRIO m² Prod 800m²</t>
  </si>
  <si>
    <t>COPAS Prod 200m²</t>
  </si>
  <si>
    <t>BANHEIROS M² prod 200m²</t>
  </si>
  <si>
    <t>PISO FRIO m² DIÁRIA, Periodicidade 2X, Produtividade 800m².</t>
  </si>
  <si>
    <t>PERIODICIDADE</t>
  </si>
  <si>
    <t>TIPO DE ÁREA</t>
  </si>
  <si>
    <t>Piso elevado vinílico, Piso Granito e Piso Cimento -Banheiros</t>
  </si>
  <si>
    <t>Piso elevado vinílico, Piso Granito e Piso Cimento -Copas</t>
  </si>
  <si>
    <t>Piso elevado vinílico, Piso Granito e Piso Cimento = Hall</t>
  </si>
  <si>
    <t>Piso elevado vinílico, Piso Granito e Piso Cimento - Sala de Espera</t>
  </si>
  <si>
    <t>Piso elevado vinílico, Piso Granito e Piso Cimento - Salas em geral</t>
  </si>
  <si>
    <t>Dias por mês seman de 44h</t>
  </si>
  <si>
    <t>HORAS POR DIA (SÁBADO COMPENSADO)</t>
  </si>
  <si>
    <t>ESQUADRIASexTERNAS m² MENSAL 130M²</t>
  </si>
  <si>
    <t>Periodicidade (vezes por dia)</t>
  </si>
  <si>
    <t>Servente (Qt Homem por mês)</t>
  </si>
  <si>
    <t>7º, 8º, 9º, 10º, 11º, 12º Andar, Térreo - Lojas</t>
  </si>
  <si>
    <t>Esquadrias Internas</t>
  </si>
  <si>
    <t xml:space="preserve">  </t>
  </si>
  <si>
    <t>MENSAL 2x</t>
  </si>
  <si>
    <r>
      <t>Frequência Mensal 
(</t>
    </r>
    <r>
      <rPr>
        <i/>
        <sz val="11"/>
        <color theme="1"/>
        <rFont val="Calibri"/>
        <family val="2"/>
        <scheme val="minor"/>
      </rPr>
      <t>23,9152 dias úteis</t>
    </r>
    <r>
      <rPr>
        <b/>
        <sz val="11"/>
        <color theme="1"/>
        <rFont val="Calibri"/>
        <family val="2"/>
        <scheme val="minor"/>
      </rPr>
      <t>)</t>
    </r>
  </si>
  <si>
    <t>PISO FRIO m² 2 Produtividade 1000m²</t>
  </si>
  <si>
    <t>ÁREA EM m² (A)</t>
  </si>
  <si>
    <t>CIMENTADOS Portaria Garagem</t>
  </si>
  <si>
    <t>ÁREA TOTALIZAÇÃO</t>
  </si>
  <si>
    <t>Cimentado/água</t>
  </si>
  <si>
    <t>Telhados e lajes</t>
  </si>
  <si>
    <t>TIPO ÁREA</t>
  </si>
  <si>
    <t>Discriminação das Áreas do Edifício do ANM (segundo prédio) em m², para serem trabalhadas efetuando-se a limpeza, asseio e conservação.</t>
  </si>
  <si>
    <t>Jardins</t>
  </si>
  <si>
    <t>Jardins/Gramado</t>
  </si>
  <si>
    <t>Áreas envidraçadas Internas</t>
  </si>
  <si>
    <t>Áreas envidraçadas externas</t>
  </si>
  <si>
    <t>Periodicidade (vezes por frequencia)</t>
  </si>
  <si>
    <t>DIA</t>
  </si>
  <si>
    <r>
      <t xml:space="preserve">Frequência
(Mensal </t>
    </r>
    <r>
      <rPr>
        <i/>
        <sz val="11"/>
        <color theme="1"/>
        <rFont val="Calibri"/>
        <family val="2"/>
        <scheme val="minor"/>
      </rPr>
      <t>23,9152 dias úteis</t>
    </r>
    <r>
      <rPr>
        <b/>
        <sz val="11"/>
        <color theme="1"/>
        <rFont val="Calibri"/>
        <family val="2"/>
        <scheme val="minor"/>
      </rPr>
      <t>)</t>
    </r>
  </si>
  <si>
    <t>Frequência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</si>
  <si>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 (B)</t>
    </r>
  </si>
  <si>
    <t>Jornada Mensal ( D )</t>
  </si>
  <si>
    <t>Execução em horas mês ( C )</t>
  </si>
  <si>
    <t>SERVENTE R$/hora</t>
  </si>
  <si>
    <t>Encarregado R$/Hora</t>
  </si>
  <si>
    <t>PREÇO POR METRO</t>
  </si>
  <si>
    <t>Custo mensal dos Equipamentos de jardinagem = Custo anual/12</t>
  </si>
  <si>
    <t>Custo mensal dos EPI's por posto=Custo anual/12</t>
  </si>
  <si>
    <t>Custo mensal dos EPI's por posto=custo anual/12</t>
  </si>
  <si>
    <t>Luva para manuseio de equipamentos</t>
  </si>
  <si>
    <t>Custo estimado mensal com uniforme e seus complementos=Custo anual/12</t>
  </si>
  <si>
    <t>CUSTO TOTAL MENSAL POR POSTO = Custo mensal materiais de reposição mensal + custo mensal de reposição não mensal</t>
  </si>
  <si>
    <t>Custo mensal dos materiais de consumo de reposição mensal</t>
  </si>
  <si>
    <t>Custo anual dos materiais de consumo de reposição não mensal</t>
  </si>
  <si>
    <r>
      <t xml:space="preserve">Custo mensal dos materiais de consumo de reposição </t>
    </r>
    <r>
      <rPr>
        <b/>
        <sz val="10"/>
        <rFont val="Arial"/>
        <family val="2"/>
      </rPr>
      <t>não</t>
    </r>
    <r>
      <rPr>
        <sz val="10"/>
        <rFont val="Arial"/>
        <family val="2"/>
      </rPr>
      <t xml:space="preserve"> mensal = Custo anual de materiais de reposição </t>
    </r>
    <r>
      <rPr>
        <b/>
        <sz val="10"/>
        <rFont val="Arial"/>
        <family val="2"/>
      </rPr>
      <t>não</t>
    </r>
    <r>
      <rPr>
        <sz val="10"/>
        <rFont val="Arial"/>
        <family val="2"/>
      </rPr>
      <t xml:space="preserve"> mensal/12</t>
    </r>
  </si>
  <si>
    <t>RELAÇÃO DE EPI POR JARDINEIRO - ANUAL</t>
  </si>
  <si>
    <t>RELAÇÃO DE EPI POR SERVENTE - ANUAL</t>
  </si>
  <si>
    <t>Custo mensal dos Equipamentos de limpeza = Custo Anual/12</t>
  </si>
  <si>
    <t>Custo mensal por posto dos equipamentos de limpeza por posto=Custo mensal/16</t>
  </si>
  <si>
    <r>
      <t>Custo Efetivo anual dos uniformes e seus complementos por empregado</t>
    </r>
    <r>
      <rPr>
        <b/>
        <i/>
        <sz val="10"/>
        <rFont val="Arial"/>
        <family val="2"/>
      </rPr>
      <t xml:space="preserve"> FEMININO E MASCULINO</t>
    </r>
  </si>
  <si>
    <r>
      <t xml:space="preserve">MATERIAIS DE REPOSIÇÃO </t>
    </r>
    <r>
      <rPr>
        <b/>
        <sz val="10"/>
        <rFont val="Arial"/>
        <family val="2"/>
      </rPr>
      <t>NÃO</t>
    </r>
    <r>
      <rPr>
        <sz val="10"/>
        <rFont val="Arial"/>
        <family val="2"/>
      </rPr>
      <t xml:space="preserve"> MENSAL - LIMPEZA E JARDINAGEM</t>
    </r>
  </si>
  <si>
    <t>Grama M² Periodicidade mensal 1x prod 226,575m²</t>
  </si>
  <si>
    <t>PRÉDIO SAN Quadra 1 Bloco B</t>
  </si>
  <si>
    <t>PRÉDIO CN3</t>
  </si>
  <si>
    <t>TOTAIS</t>
  </si>
  <si>
    <t>CONSOLIDAÇÃO CNC3</t>
  </si>
  <si>
    <t>PLANILHA DE CUSTOS E FORMAÇÃO DE PREÇOS – SERVENTE</t>
  </si>
  <si>
    <t>6220-10</t>
  </si>
  <si>
    <t>4101-05</t>
  </si>
  <si>
    <t>PLANILHA DE CUSTOS E FORMAÇÃO DE PREÇOS – JARDINEIRO</t>
  </si>
  <si>
    <t>PLANILHA DE CUSTOS E FORMAÇÃO DE PREÇOS – ENCARREGADO</t>
  </si>
  <si>
    <t>ANEXO V</t>
  </si>
  <si>
    <t>Lavadora de alta pressão 2000l ou superior</t>
  </si>
  <si>
    <t>DIAS POR SEMANA</t>
  </si>
  <si>
    <t>HORAS POR DIA</t>
  </si>
  <si>
    <t>MESES</t>
  </si>
  <si>
    <t>DIMENSIONAMENTO DA EQUIPE DE LIMPEZA CNC3</t>
  </si>
  <si>
    <t>2404-0</t>
  </si>
  <si>
    <t>Jardineiro/Serviços Tercerizáveis</t>
  </si>
  <si>
    <t>Encarregado de Limpeza/Serviços Tercerizáveis</t>
  </si>
  <si>
    <t>Papel Higiênico Folha dupla, macio, sem pigmento, 1ª qualidade, 100% fibras celulósicas, rolo com 30 m x 10 cm, com 64 rolos ou equivalente (preso mínimo por fado 3,0 Kg)</t>
  </si>
  <si>
    <t>Papel Toalha Interfolhada branco (alvura aproximada de 100%), branca, em papel 100% fibras celulósicas virgens, de alta absorção, macias, absorventes e econômicas, embalagem não reciclada, fardo com c/04 pct. de 250 folhas, ou equivalente, Primeira Qualidade (peso mínimo por fardo: 2,4kg)</t>
  </si>
  <si>
    <t>Obs. 1:Ressalta-se que a empresa prestadora dos serviços ficará responsável pelo fornecimento de todos os materiais de limpeza e lavanderia e equipamentos necessários à execução dos serviços, os quais deverão ser de primeira linha e em quantidades suficientes para realização dos mesmos, não sendo os itens constantes na referida tabela exaustivas.</t>
  </si>
  <si>
    <t>Obs. 2:Ressalta-se que a estimativa de usuários do Edfício CNC3 é de 235 pessoas e usuários do Edifício SAN Quadra um Bloco B é de 35 pessoas (servidores, colaboradores e usuários da ANM), a um consumo de 4, rolos pessoa mês.</t>
  </si>
  <si>
    <t>Preço por Metro² unitário</t>
  </si>
  <si>
    <t>ESPELHO D’ÁGUA (LIMPEZA ESVAZIAMENTO DA ÁGUA DE CHUVA ACUMULADA)</t>
  </si>
  <si>
    <t>ESPELHO D’ÁGUA (LIMPEZA LAVAGEM COM AGUA PRESSURIZADA)</t>
  </si>
  <si>
    <t>2778-2</t>
  </si>
  <si>
    <t>2519-4</t>
  </si>
  <si>
    <t>Custo mensal dos materiais de consumo de reposição mensal por posto = Custo mensal de materiais de reposição mensal/14postos</t>
  </si>
  <si>
    <r>
      <t xml:space="preserve">Custo mensal dos materiais de consumo de reposição não mensal por posto = Custo mensal de materiais de reposição </t>
    </r>
    <r>
      <rPr>
        <b/>
        <sz val="10"/>
        <rFont val="Arial"/>
        <family val="2"/>
      </rPr>
      <t>não</t>
    </r>
    <r>
      <rPr>
        <sz val="10"/>
        <rFont val="Arial"/>
        <family val="2"/>
      </rPr>
      <t xml:space="preserve"> mensal/14</t>
    </r>
  </si>
  <si>
    <t>Custo mensal dos Equipamentos de jardinagem por posto=Custo mensal dos equipamentos de jardinagem/1posto</t>
  </si>
  <si>
    <t>PISO FRIO m² DIÁRIA Produtividade 1000m²</t>
  </si>
  <si>
    <t>PISO FRIO m² DIÁRIA, Periodicidade, Produtividade 800m².</t>
  </si>
  <si>
    <t>COPAS Periodicidade DIÁRIA Prod 400m²</t>
  </si>
  <si>
    <t>BANHEIROS M² Periodicidade DIÁRIA prod 400m²</t>
  </si>
  <si>
    <t>ESQUADRIAS INTERNAS m² QUINZENAL 400M²</t>
  </si>
  <si>
    <t>Cobertura  Periodicidade Prod 400m²</t>
  </si>
  <si>
    <t>Espelho d´água SEMESTRAL, Periodicidade, Produtividade 200m².</t>
  </si>
  <si>
    <t>Área convertida p/ produtividade 400m²/dia</t>
  </si>
  <si>
    <t>PISO FRIO m² Prod 1.009,57m²</t>
  </si>
  <si>
    <t>Espelho d´água, frequência SEMESTRAL, Periodicidade 1X, Produtividade 200m²</t>
  </si>
  <si>
    <t>Jardins Periodicidade semanal 1x Prod 100m²</t>
  </si>
  <si>
    <t>Grama M² Periodicidade semanal 1x prod 2800m²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</si>
</sst>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#,##0.00"/>
    <numFmt numFmtId="166" formatCode="_(&quot;R$ &quot;* #,##0.00_);_(&quot;R$ &quot;* \(#,##0.00\);_(&quot;R$ &quot;* &quot;-&quot;??_);_(@_)"/>
    <numFmt numFmtId="167" formatCode="0.0000%"/>
    <numFmt numFmtId="168" formatCode="_-* #,##0_-;\-* #,##0_-;_-* &quot;-&quot;??_-;_-@_-"/>
    <numFmt numFmtId="169" formatCode="#,##0.000000"/>
    <numFmt numFmtId="170" formatCode="0.0000"/>
    <numFmt numFmtId="171" formatCode="0.000"/>
    <numFmt numFmtId="172" formatCode="#,##0.0000"/>
    <numFmt numFmtId="173" formatCode="#,##0.000"/>
    <numFmt numFmtId="174" formatCode="0.000000000"/>
    <numFmt numFmtId="175" formatCode="_-* #,##0.0000_-;\-* #,##0.0000_-;_-* &quot;-&quot;_-;_-@_-"/>
    <numFmt numFmtId="176" formatCode="_-* #,##0.0000_-;\-* #,##0.0000_-;_-* &quot;-&quot;?_-;_-@_-"/>
    <numFmt numFmtId="177" formatCode="#,##0.0000_ ;\-#,##0.0000\ "/>
    <numFmt numFmtId="178" formatCode="#,##0.0000000"/>
    <numFmt numFmtId="179" formatCode="#,##0_ ;\-#,##0\ "/>
  </numFmts>
  <fonts count="47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339966"/>
      <name val="Calibri"/>
      <family val="2"/>
      <scheme val="minor"/>
    </font>
    <font>
      <b/>
      <sz val="10"/>
      <color rgb="FF339966"/>
      <name val="Calibri"/>
      <family val="2"/>
      <scheme val="minor"/>
    </font>
    <font>
      <sz val="10"/>
      <name val="Calibri"/>
      <family val="2"/>
      <scheme val="minor"/>
    </font>
    <font>
      <sz val="10"/>
      <color rgb="FF000080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10.5"/>
      <name val="Arial"/>
      <family val="2"/>
    </font>
    <font>
      <sz val="9.5"/>
      <name val="Arial"/>
      <family val="2"/>
    </font>
    <font>
      <b/>
      <sz val="9"/>
      <name val="Arial"/>
      <family val="2"/>
    </font>
    <font>
      <sz val="10"/>
      <color rgb="FF000000"/>
      <name val="Arial"/>
      <family val="2"/>
    </font>
    <font>
      <b/>
      <i/>
      <sz val="10"/>
      <name val="Arial"/>
      <family val="2"/>
    </font>
    <font>
      <sz val="8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1"/>
      <name val="Calibri"/>
      <family val="2"/>
      <scheme val="minor"/>
    </font>
    <font>
      <b/>
      <sz val="16"/>
      <name val="Arial"/>
      <family val="2"/>
    </font>
    <font>
      <sz val="11"/>
      <color rgb="FFFF0000"/>
      <name val="Calibri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CFC9C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3" tint="0.59999389629810485"/>
        <bgColor indexed="64"/>
      </patternFill>
    </fill>
  </fills>
  <borders count="141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medium">
        <color rgb="FF000000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medium">
        <color rgb="FF000000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6" fontId="37" fillId="0" borderId="0" applyFont="0" applyFill="0" applyBorder="0" applyAlignment="0" applyProtection="0"/>
    <xf numFmtId="43" fontId="28" fillId="0" borderId="0" applyFont="0" applyFill="0" applyBorder="0" applyAlignment="0" applyProtection="0"/>
  </cellStyleXfs>
  <cellXfs count="981">
    <xf numFmtId="0" fontId="0" fillId="0" borderId="0" xfId="0"/>
    <xf numFmtId="0" fontId="4" fillId="0" borderId="28" xfId="0" applyFont="1" applyBorder="1" applyAlignment="1">
      <alignment horizontal="center" vertical="center" wrapText="1"/>
    </xf>
    <xf numFmtId="166" fontId="4" fillId="0" borderId="30" xfId="0" applyNumberFormat="1" applyFont="1" applyBorder="1" applyAlignment="1">
      <alignment horizontal="justify" vertical="center" wrapText="1"/>
    </xf>
    <xf numFmtId="49" fontId="2" fillId="0" borderId="77" xfId="0" applyNumberFormat="1" applyFont="1" applyBorder="1" applyAlignment="1">
      <alignment horizontal="left" vertical="center" indent="1"/>
    </xf>
    <xf numFmtId="49" fontId="1" fillId="0" borderId="77" xfId="0" applyNumberFormat="1" applyFont="1" applyBorder="1" applyAlignment="1">
      <alignment horizontal="left" vertical="center" indent="1"/>
    </xf>
    <xf numFmtId="49" fontId="2" fillId="0" borderId="90" xfId="0" applyNumberFormat="1" applyFont="1" applyBorder="1" applyAlignment="1">
      <alignment horizontal="left" vertical="center" indent="1"/>
    </xf>
    <xf numFmtId="49" fontId="2" fillId="0" borderId="91" xfId="0" applyNumberFormat="1" applyFont="1" applyBorder="1" applyAlignment="1">
      <alignment horizontal="left" vertical="center" indent="1"/>
    </xf>
    <xf numFmtId="0" fontId="3" fillId="0" borderId="92" xfId="0" applyFont="1" applyBorder="1" applyAlignment="1">
      <alignment horizontal="center" vertical="center" wrapText="1"/>
    </xf>
    <xf numFmtId="0" fontId="3" fillId="0" borderId="88" xfId="0" applyFont="1" applyBorder="1" applyAlignment="1">
      <alignment horizontal="justify" vertical="center" wrapText="1"/>
    </xf>
    <xf numFmtId="0" fontId="3" fillId="0" borderId="94" xfId="0" applyFont="1" applyBorder="1" applyAlignment="1">
      <alignment horizontal="center" vertical="center" wrapText="1"/>
    </xf>
    <xf numFmtId="0" fontId="3" fillId="0" borderId="89" xfId="0" applyFont="1" applyBorder="1" applyAlignment="1">
      <alignment horizontal="justify" vertical="center" wrapText="1"/>
    </xf>
    <xf numFmtId="1" fontId="3" fillId="0" borderId="95" xfId="0" applyNumberFormat="1" applyFont="1" applyBorder="1" applyAlignment="1">
      <alignment horizontal="center" vertical="center" wrapText="1"/>
    </xf>
    <xf numFmtId="0" fontId="3" fillId="0" borderId="72" xfId="0" applyFont="1" applyBorder="1" applyAlignment="1">
      <alignment horizontal="justify" vertical="center" wrapText="1"/>
    </xf>
    <xf numFmtId="0" fontId="3" fillId="0" borderId="72" xfId="0" applyFont="1" applyBorder="1" applyAlignment="1">
      <alignment horizontal="center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72" xfId="0" applyFont="1" applyBorder="1" applyAlignment="1">
      <alignment horizontal="justify" vertical="center" wrapText="1"/>
    </xf>
    <xf numFmtId="0" fontId="3" fillId="0" borderId="72" xfId="0" applyFont="1" applyBorder="1" applyAlignment="1">
      <alignment vertical="center" wrapText="1"/>
    </xf>
    <xf numFmtId="166" fontId="4" fillId="0" borderId="97" xfId="0" applyNumberFormat="1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right" vertical="center" wrapText="1"/>
    </xf>
    <xf numFmtId="0" fontId="6" fillId="0" borderId="45" xfId="0" applyFont="1" applyBorder="1" applyAlignment="1">
      <alignment horizontal="right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49" fontId="6" fillId="7" borderId="72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right" vertical="center" wrapText="1"/>
    </xf>
    <xf numFmtId="165" fontId="7" fillId="0" borderId="9" xfId="0" applyNumberFormat="1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165" fontId="7" fillId="0" borderId="20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6" fillId="3" borderId="72" xfId="0" applyNumberFormat="1" applyFont="1" applyFill="1" applyBorder="1" applyAlignment="1">
      <alignment horizontal="center" vertical="center"/>
    </xf>
    <xf numFmtId="165" fontId="7" fillId="6" borderId="12" xfId="0" applyNumberFormat="1" applyFont="1" applyFill="1" applyBorder="1" applyAlignment="1">
      <alignment vertical="center" wrapText="1"/>
    </xf>
    <xf numFmtId="0" fontId="9" fillId="5" borderId="4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10" fontId="7" fillId="0" borderId="8" xfId="0" applyNumberFormat="1" applyFont="1" applyBorder="1" applyAlignment="1">
      <alignment vertical="center" wrapText="1"/>
    </xf>
    <xf numFmtId="10" fontId="7" fillId="0" borderId="11" xfId="0" applyNumberFormat="1" applyFont="1" applyBorder="1" applyAlignment="1">
      <alignment vertical="center" wrapText="1"/>
    </xf>
    <xf numFmtId="165" fontId="7" fillId="0" borderId="15" xfId="0" applyNumberFormat="1" applyFont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right" vertical="center" wrapText="1"/>
    </xf>
    <xf numFmtId="0" fontId="12" fillId="0" borderId="14" xfId="0" applyFont="1" applyBorder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165" fontId="6" fillId="5" borderId="0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72" xfId="0" applyNumberFormat="1" applyFont="1" applyFill="1" applyBorder="1" applyAlignment="1">
      <alignment horizontal="left" vertical="center"/>
    </xf>
    <xf numFmtId="165" fontId="6" fillId="0" borderId="12" xfId="0" applyNumberFormat="1" applyFont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49" fontId="6" fillId="3" borderId="75" xfId="0" applyNumberFormat="1" applyFont="1" applyFill="1" applyBorder="1" applyAlignment="1">
      <alignment horizontal="center" vertical="center"/>
    </xf>
    <xf numFmtId="0" fontId="6" fillId="3" borderId="46" xfId="0" applyFont="1" applyFill="1" applyBorder="1" applyAlignment="1">
      <alignment vertical="center" wrapText="1"/>
    </xf>
    <xf numFmtId="0" fontId="6" fillId="3" borderId="46" xfId="0" applyFont="1" applyFill="1" applyBorder="1" applyAlignment="1">
      <alignment horizontal="center" vertical="center" wrapText="1"/>
    </xf>
    <xf numFmtId="165" fontId="7" fillId="6" borderId="100" xfId="0" applyNumberFormat="1" applyFont="1" applyFill="1" applyBorder="1" applyAlignment="1">
      <alignment vertical="center" wrapText="1"/>
    </xf>
    <xf numFmtId="165" fontId="7" fillId="6" borderId="101" xfId="0" applyNumberFormat="1" applyFont="1" applyFill="1" applyBorder="1" applyAlignment="1">
      <alignment vertical="center" wrapText="1"/>
    </xf>
    <xf numFmtId="0" fontId="16" fillId="0" borderId="0" xfId="0" applyFont="1"/>
    <xf numFmtId="0" fontId="7" fillId="0" borderId="19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65" fontId="17" fillId="4" borderId="23" xfId="0" applyNumberFormat="1" applyFont="1" applyFill="1" applyBorder="1" applyAlignment="1">
      <alignment vertical="center" wrapText="1"/>
    </xf>
    <xf numFmtId="165" fontId="11" fillId="0" borderId="17" xfId="0" applyNumberFormat="1" applyFont="1" applyBorder="1" applyAlignment="1">
      <alignment vertical="center" wrapText="1"/>
    </xf>
    <xf numFmtId="0" fontId="8" fillId="7" borderId="6" xfId="0" applyFont="1" applyFill="1" applyBorder="1" applyAlignment="1">
      <alignment vertical="center" wrapText="1"/>
    </xf>
    <xf numFmtId="165" fontId="11" fillId="0" borderId="12" xfId="0" applyNumberFormat="1" applyFont="1" applyBorder="1" applyAlignment="1">
      <alignment vertical="center" wrapText="1"/>
    </xf>
    <xf numFmtId="165" fontId="6" fillId="8" borderId="72" xfId="0" applyNumberFormat="1" applyFont="1" applyFill="1" applyBorder="1" applyAlignment="1">
      <alignment vertical="center" wrapText="1"/>
    </xf>
    <xf numFmtId="165" fontId="6" fillId="8" borderId="3" xfId="0" applyNumberFormat="1" applyFont="1" applyFill="1" applyBorder="1" applyAlignment="1">
      <alignment vertical="center" wrapText="1"/>
    </xf>
    <xf numFmtId="10" fontId="7" fillId="0" borderId="19" xfId="0" applyNumberFormat="1" applyFont="1" applyBorder="1" applyAlignment="1">
      <alignment vertical="center" wrapText="1"/>
    </xf>
    <xf numFmtId="10" fontId="6" fillId="8" borderId="102" xfId="0" applyNumberFormat="1" applyFont="1" applyFill="1" applyBorder="1" applyAlignment="1">
      <alignment vertical="center" wrapText="1"/>
    </xf>
    <xf numFmtId="165" fontId="6" fillId="8" borderId="103" xfId="0" applyNumberFormat="1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165" fontId="6" fillId="8" borderId="2" xfId="0" applyNumberFormat="1" applyFont="1" applyFill="1" applyBorder="1" applyAlignment="1">
      <alignment vertical="center" wrapText="1"/>
    </xf>
    <xf numFmtId="165" fontId="18" fillId="8" borderId="17" xfId="0" applyNumberFormat="1" applyFont="1" applyFill="1" applyBorder="1" applyAlignment="1">
      <alignment vertical="center" wrapText="1"/>
    </xf>
    <xf numFmtId="0" fontId="9" fillId="8" borderId="72" xfId="0" applyFont="1" applyFill="1" applyBorder="1" applyAlignment="1">
      <alignment vertical="center" wrapText="1"/>
    </xf>
    <xf numFmtId="165" fontId="7" fillId="6" borderId="107" xfId="0" applyNumberFormat="1" applyFont="1" applyFill="1" applyBorder="1" applyAlignment="1">
      <alignment vertical="center" wrapText="1"/>
    </xf>
    <xf numFmtId="165" fontId="6" fillId="8" borderId="104" xfId="0" applyNumberFormat="1" applyFont="1" applyFill="1" applyBorder="1" applyAlignment="1">
      <alignment vertical="center" wrapText="1"/>
    </xf>
    <xf numFmtId="165" fontId="7" fillId="6" borderId="109" xfId="0" applyNumberFormat="1" applyFont="1" applyFill="1" applyBorder="1" applyAlignment="1">
      <alignment vertical="center" wrapText="1"/>
    </xf>
    <xf numFmtId="0" fontId="21" fillId="9" borderId="28" xfId="0" applyFont="1" applyFill="1" applyBorder="1" applyAlignment="1">
      <alignment horizontal="center" vertical="center" wrapText="1"/>
    </xf>
    <xf numFmtId="0" fontId="21" fillId="9" borderId="29" xfId="0" applyFont="1" applyFill="1" applyBorder="1" applyAlignment="1">
      <alignment horizontal="center" vertical="center"/>
    </xf>
    <xf numFmtId="0" fontId="22" fillId="9" borderId="31" xfId="0" applyFont="1" applyFill="1" applyBorder="1" applyAlignment="1">
      <alignment horizontal="center" vertical="center" wrapText="1"/>
    </xf>
    <xf numFmtId="0" fontId="22" fillId="9" borderId="32" xfId="0" applyFont="1" applyFill="1" applyBorder="1" applyAlignment="1">
      <alignment horizontal="center" vertical="center" wrapText="1"/>
    </xf>
    <xf numFmtId="0" fontId="22" fillId="9" borderId="111" xfId="0" applyFont="1" applyFill="1" applyBorder="1" applyAlignment="1">
      <alignment horizontal="center" vertical="center" wrapText="1"/>
    </xf>
    <xf numFmtId="0" fontId="20" fillId="9" borderId="26" xfId="0" applyFont="1" applyFill="1" applyBorder="1" applyAlignment="1">
      <alignment horizontal="center" vertical="center"/>
    </xf>
    <xf numFmtId="4" fontId="4" fillId="0" borderId="29" xfId="0" applyNumberFormat="1" applyFont="1" applyBorder="1" applyAlignment="1">
      <alignment horizontal="center" vertical="center" wrapText="1"/>
    </xf>
    <xf numFmtId="1" fontId="23" fillId="0" borderId="29" xfId="0" applyNumberFormat="1" applyFont="1" applyBorder="1" applyAlignment="1">
      <alignment horizontal="center" vertical="center" wrapText="1"/>
    </xf>
    <xf numFmtId="2" fontId="20" fillId="0" borderId="27" xfId="0" applyNumberFormat="1" applyFont="1" applyBorder="1" applyAlignment="1">
      <alignment horizontal="center" vertical="center"/>
    </xf>
    <xf numFmtId="0" fontId="20" fillId="9" borderId="28" xfId="0" applyFont="1" applyFill="1" applyBorder="1" applyAlignment="1">
      <alignment horizontal="center" vertical="center"/>
    </xf>
    <xf numFmtId="0" fontId="24" fillId="0" borderId="29" xfId="0" applyFont="1" applyBorder="1" applyAlignment="1">
      <alignment horizontal="justify" vertical="center"/>
    </xf>
    <xf numFmtId="2" fontId="20" fillId="0" borderId="29" xfId="0" applyNumberFormat="1" applyFont="1" applyBorder="1" applyAlignment="1">
      <alignment horizontal="center" vertical="center"/>
    </xf>
    <xf numFmtId="0" fontId="20" fillId="9" borderId="9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3" fillId="0" borderId="0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/>
    </xf>
    <xf numFmtId="0" fontId="21" fillId="9" borderId="29" xfId="0" applyFont="1" applyFill="1" applyBorder="1" applyAlignment="1">
      <alignment horizontal="center" vertical="center" wrapText="1"/>
    </xf>
    <xf numFmtId="3" fontId="4" fillId="0" borderId="29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 vertical="center"/>
    </xf>
    <xf numFmtId="0" fontId="24" fillId="0" borderId="27" xfId="0" applyFont="1" applyBorder="1" applyAlignment="1">
      <alignment horizontal="justify" vertical="center"/>
    </xf>
    <xf numFmtId="4" fontId="4" fillId="0" borderId="27" xfId="0" applyNumberFormat="1" applyFont="1" applyBorder="1" applyAlignment="1">
      <alignment horizontal="center" vertical="center" wrapText="1"/>
    </xf>
    <xf numFmtId="1" fontId="23" fillId="0" borderId="27" xfId="0" applyNumberFormat="1" applyFont="1" applyBorder="1" applyAlignment="1">
      <alignment horizontal="center" vertical="center" wrapText="1"/>
    </xf>
    <xf numFmtId="4" fontId="0" fillId="0" borderId="29" xfId="0" applyNumberFormat="1" applyFont="1" applyBorder="1" applyAlignment="1">
      <alignment vertical="center" wrapText="1"/>
    </xf>
    <xf numFmtId="4" fontId="0" fillId="0" borderId="29" xfId="0" applyNumberFormat="1" applyFont="1" applyBorder="1" applyAlignment="1">
      <alignment horizontal="center" vertical="center" wrapText="1"/>
    </xf>
    <xf numFmtId="0" fontId="20" fillId="9" borderId="31" xfId="0" applyFont="1" applyFill="1" applyBorder="1" applyAlignment="1">
      <alignment horizontal="center" vertical="center"/>
    </xf>
    <xf numFmtId="4" fontId="4" fillId="0" borderId="32" xfId="0" applyNumberFormat="1" applyFont="1" applyBorder="1" applyAlignment="1">
      <alignment vertical="center" wrapText="1"/>
    </xf>
    <xf numFmtId="4" fontId="4" fillId="0" borderId="32" xfId="0" applyNumberFormat="1" applyFont="1" applyBorder="1" applyAlignment="1">
      <alignment horizontal="center" vertical="center" wrapText="1"/>
    </xf>
    <xf numFmtId="1" fontId="23" fillId="0" borderId="32" xfId="0" applyNumberFormat="1" applyFont="1" applyBorder="1" applyAlignment="1">
      <alignment horizontal="center" vertical="center" wrapText="1"/>
    </xf>
    <xf numFmtId="2" fontId="20" fillId="0" borderId="32" xfId="0" applyNumberFormat="1" applyFont="1" applyBorder="1" applyAlignment="1">
      <alignment horizontal="center" vertical="center" wrapText="1"/>
    </xf>
    <xf numFmtId="2" fontId="23" fillId="0" borderId="111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117" xfId="0" applyBorder="1"/>
    <xf numFmtId="0" fontId="3" fillId="0" borderId="0" xfId="0" applyFont="1"/>
    <xf numFmtId="10" fontId="6" fillId="4" borderId="24" xfId="0" applyNumberFormat="1" applyFont="1" applyFill="1" applyBorder="1" applyAlignment="1">
      <alignment vertical="center"/>
    </xf>
    <xf numFmtId="165" fontId="11" fillId="5" borderId="15" xfId="0" applyNumberFormat="1" applyFont="1" applyFill="1" applyBorder="1" applyAlignment="1">
      <alignment vertical="center" wrapText="1"/>
    </xf>
    <xf numFmtId="165" fontId="11" fillId="6" borderId="17" xfId="0" applyNumberFormat="1" applyFont="1" applyFill="1" applyBorder="1" applyAlignment="1">
      <alignment vertical="center" wrapText="1"/>
    </xf>
    <xf numFmtId="167" fontId="11" fillId="0" borderId="11" xfId="0" applyNumberFormat="1" applyFont="1" applyBorder="1" applyAlignment="1">
      <alignment vertical="center" wrapText="1"/>
    </xf>
    <xf numFmtId="167" fontId="11" fillId="5" borderId="11" xfId="0" applyNumberFormat="1" applyFont="1" applyFill="1" applyBorder="1" applyAlignment="1">
      <alignment vertical="center" wrapText="1"/>
    </xf>
    <xf numFmtId="10" fontId="7" fillId="13" borderId="11" xfId="0" applyNumberFormat="1" applyFont="1" applyFill="1" applyBorder="1" applyAlignment="1">
      <alignment vertical="center" wrapText="1"/>
    </xf>
    <xf numFmtId="165" fontId="7" fillId="13" borderId="12" xfId="0" applyNumberFormat="1" applyFont="1" applyFill="1" applyBorder="1" applyAlignment="1">
      <alignment vertical="center" wrapText="1"/>
    </xf>
    <xf numFmtId="167" fontId="6" fillId="8" borderId="72" xfId="0" applyNumberFormat="1" applyFont="1" applyFill="1" applyBorder="1" applyAlignment="1">
      <alignment horizontal="right" vertical="center" wrapText="1"/>
    </xf>
    <xf numFmtId="167" fontId="7" fillId="0" borderId="49" xfId="0" applyNumberFormat="1" applyFont="1" applyBorder="1" applyAlignment="1">
      <alignment vertical="center" wrapText="1"/>
    </xf>
    <xf numFmtId="167" fontId="7" fillId="0" borderId="11" xfId="0" applyNumberFormat="1" applyFont="1" applyBorder="1" applyAlignment="1">
      <alignment vertical="center" wrapText="1"/>
    </xf>
    <xf numFmtId="167" fontId="18" fillId="8" borderId="21" xfId="0" applyNumberFormat="1" applyFont="1" applyFill="1" applyBorder="1" applyAlignment="1">
      <alignment horizontal="right" vertical="center" wrapText="1"/>
    </xf>
    <xf numFmtId="167" fontId="18" fillId="8" borderId="120" xfId="0" applyNumberFormat="1" applyFont="1" applyFill="1" applyBorder="1" applyAlignment="1">
      <alignment vertical="center" wrapText="1"/>
    </xf>
    <xf numFmtId="165" fontId="18" fillId="8" borderId="120" xfId="0" applyNumberFormat="1" applyFont="1" applyFill="1" applyBorder="1" applyAlignment="1">
      <alignment vertical="center" wrapText="1"/>
    </xf>
    <xf numFmtId="0" fontId="16" fillId="0" borderId="80" xfId="0" applyFont="1" applyBorder="1" applyAlignment="1">
      <alignment horizontal="center" vertical="center"/>
    </xf>
    <xf numFmtId="165" fontId="16" fillId="0" borderId="50" xfId="0" applyNumberFormat="1" applyFont="1" applyBorder="1" applyAlignment="1">
      <alignment horizontal="right" vertical="center"/>
    </xf>
    <xf numFmtId="2" fontId="23" fillId="10" borderId="72" xfId="0" applyNumberFormat="1" applyFont="1" applyFill="1" applyBorder="1" applyAlignment="1">
      <alignment vertical="center"/>
    </xf>
    <xf numFmtId="165" fontId="23" fillId="10" borderId="72" xfId="0" applyNumberFormat="1" applyFont="1" applyFill="1" applyBorder="1" applyAlignment="1">
      <alignment vertical="center"/>
    </xf>
    <xf numFmtId="165" fontId="19" fillId="12" borderId="72" xfId="0" applyNumberFormat="1" applyFont="1" applyFill="1" applyBorder="1" applyAlignment="1">
      <alignment vertical="center" wrapText="1"/>
    </xf>
    <xf numFmtId="167" fontId="6" fillId="0" borderId="11" xfId="0" applyNumberFormat="1" applyFont="1" applyBorder="1" applyAlignment="1">
      <alignment vertical="center" wrapText="1"/>
    </xf>
    <xf numFmtId="167" fontId="11" fillId="13" borderId="11" xfId="0" applyNumberFormat="1" applyFont="1" applyFill="1" applyBorder="1" applyAlignment="1">
      <alignment vertical="center" wrapText="1"/>
    </xf>
    <xf numFmtId="167" fontId="11" fillId="6" borderId="11" xfId="0" applyNumberFormat="1" applyFont="1" applyFill="1" applyBorder="1" applyAlignment="1">
      <alignment vertical="center" wrapText="1"/>
    </xf>
    <xf numFmtId="167" fontId="11" fillId="6" borderId="106" xfId="0" applyNumberFormat="1" applyFont="1" applyFill="1" applyBorder="1" applyAlignment="1">
      <alignment vertical="center" wrapText="1"/>
    </xf>
    <xf numFmtId="167" fontId="11" fillId="6" borderId="108" xfId="0" applyNumberFormat="1" applyFont="1" applyFill="1" applyBorder="1" applyAlignment="1">
      <alignment vertical="center" wrapText="1"/>
    </xf>
    <xf numFmtId="167" fontId="11" fillId="8" borderId="3" xfId="0" applyNumberFormat="1" applyFont="1" applyFill="1" applyBorder="1" applyAlignment="1">
      <alignment horizontal="right" vertical="center" wrapText="1"/>
    </xf>
    <xf numFmtId="167" fontId="11" fillId="0" borderId="16" xfId="0" applyNumberFormat="1" applyFont="1" applyBorder="1" applyAlignment="1">
      <alignment horizontal="right" vertical="center" wrapText="1"/>
    </xf>
    <xf numFmtId="167" fontId="11" fillId="6" borderId="16" xfId="0" applyNumberFormat="1" applyFont="1" applyFill="1" applyBorder="1" applyAlignment="1">
      <alignment horizontal="right" vertical="center" wrapText="1"/>
    </xf>
    <xf numFmtId="167" fontId="11" fillId="6" borderId="27" xfId="0" applyNumberFormat="1" applyFont="1" applyFill="1" applyBorder="1" applyAlignment="1">
      <alignment vertical="center" wrapText="1"/>
    </xf>
    <xf numFmtId="167" fontId="11" fillId="6" borderId="32" xfId="0" applyNumberFormat="1" applyFont="1" applyFill="1" applyBorder="1" applyAlignment="1">
      <alignment vertical="center" wrapText="1"/>
    </xf>
    <xf numFmtId="0" fontId="16" fillId="5" borderId="0" xfId="0" applyFont="1" applyFill="1"/>
    <xf numFmtId="167" fontId="11" fillId="6" borderId="29" xfId="0" applyNumberFormat="1" applyFont="1" applyFill="1" applyBorder="1" applyAlignment="1">
      <alignment vertical="center" wrapText="1"/>
    </xf>
    <xf numFmtId="165" fontId="7" fillId="6" borderId="12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left" vertical="center"/>
    </xf>
    <xf numFmtId="49" fontId="11" fillId="0" borderId="7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left" vertical="center"/>
    </xf>
    <xf numFmtId="49" fontId="7" fillId="0" borderId="18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5" borderId="4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49" fontId="7" fillId="0" borderId="76" xfId="0" applyNumberFormat="1" applyFont="1" applyBorder="1" applyAlignment="1">
      <alignment horizontal="left" vertical="center"/>
    </xf>
    <xf numFmtId="49" fontId="7" fillId="0" borderId="77" xfId="0" applyNumberFormat="1" applyFont="1" applyBorder="1" applyAlignment="1">
      <alignment horizontal="left" vertical="center"/>
    </xf>
    <xf numFmtId="49" fontId="7" fillId="13" borderId="77" xfId="0" applyNumberFormat="1" applyFont="1" applyFill="1" applyBorder="1" applyAlignment="1">
      <alignment horizontal="left" vertical="center"/>
    </xf>
    <xf numFmtId="49" fontId="7" fillId="0" borderId="91" xfId="0" applyNumberFormat="1" applyFont="1" applyBorder="1" applyAlignment="1">
      <alignment horizontal="left" vertical="center"/>
    </xf>
    <xf numFmtId="49" fontId="6" fillId="3" borderId="4" xfId="0" applyNumberFormat="1" applyFont="1" applyFill="1" applyBorder="1" applyAlignment="1">
      <alignment horizontal="left" vertical="center"/>
    </xf>
    <xf numFmtId="49" fontId="6" fillId="8" borderId="72" xfId="0" applyNumberFormat="1" applyFont="1" applyFill="1" applyBorder="1" applyAlignment="1">
      <alignment horizontal="left" vertical="center"/>
    </xf>
    <xf numFmtId="49" fontId="6" fillId="5" borderId="0" xfId="0" applyNumberFormat="1" applyFont="1" applyFill="1" applyBorder="1" applyAlignment="1">
      <alignment horizontal="left" vertical="center"/>
    </xf>
    <xf numFmtId="49" fontId="18" fillId="8" borderId="52" xfId="0" applyNumberFormat="1" applyFont="1" applyFill="1" applyBorder="1" applyAlignment="1">
      <alignment horizontal="left" vertical="center"/>
    </xf>
    <xf numFmtId="49" fontId="14" fillId="0" borderId="76" xfId="0" applyNumberFormat="1" applyFont="1" applyBorder="1" applyAlignment="1">
      <alignment horizontal="left" vertical="center"/>
    </xf>
    <xf numFmtId="49" fontId="14" fillId="0" borderId="77" xfId="0" applyNumberFormat="1" applyFont="1" applyBorder="1" applyAlignment="1">
      <alignment horizontal="left" vertical="center"/>
    </xf>
    <xf numFmtId="49" fontId="7" fillId="0" borderId="82" xfId="0" applyNumberFormat="1" applyFont="1" applyBorder="1" applyAlignment="1">
      <alignment horizontal="left" vertical="center"/>
    </xf>
    <xf numFmtId="49" fontId="6" fillId="8" borderId="2" xfId="0" applyNumberFormat="1" applyFont="1" applyFill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48" xfId="0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left" vertical="center"/>
    </xf>
    <xf numFmtId="49" fontId="6" fillId="0" borderId="72" xfId="0" applyNumberFormat="1" applyFont="1" applyBorder="1" applyAlignment="1">
      <alignment horizontal="left" vertical="center"/>
    </xf>
    <xf numFmtId="49" fontId="7" fillId="0" borderId="98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6" fillId="3" borderId="0" xfId="0" applyNumberFormat="1" applyFont="1" applyFill="1" applyBorder="1" applyAlignment="1">
      <alignment horizontal="left" vertical="center"/>
    </xf>
    <xf numFmtId="49" fontId="7" fillId="6" borderId="27" xfId="0" applyNumberFormat="1" applyFont="1" applyFill="1" applyBorder="1" applyAlignment="1">
      <alignment horizontal="left" vertical="center"/>
    </xf>
    <xf numFmtId="49" fontId="7" fillId="6" borderId="29" xfId="0" applyNumberFormat="1" applyFont="1" applyFill="1" applyBorder="1" applyAlignment="1">
      <alignment horizontal="left" vertical="center"/>
    </xf>
    <xf numFmtId="49" fontId="7" fillId="6" borderId="32" xfId="0" applyNumberFormat="1" applyFont="1" applyFill="1" applyBorder="1" applyAlignment="1">
      <alignment horizontal="left" vertical="center"/>
    </xf>
    <xf numFmtId="49" fontId="11" fillId="6" borderId="77" xfId="0" applyNumberFormat="1" applyFont="1" applyFill="1" applyBorder="1" applyAlignment="1">
      <alignment horizontal="left" vertical="center" wrapText="1"/>
    </xf>
    <xf numFmtId="49" fontId="7" fillId="6" borderId="105" xfId="0" applyNumberFormat="1" applyFont="1" applyFill="1" applyBorder="1" applyAlignment="1">
      <alignment horizontal="left" vertical="center" wrapText="1"/>
    </xf>
    <xf numFmtId="49" fontId="7" fillId="6" borderId="98" xfId="0" applyNumberFormat="1" applyFont="1" applyFill="1" applyBorder="1" applyAlignment="1">
      <alignment horizontal="left" vertical="center" wrapText="1"/>
    </xf>
    <xf numFmtId="49" fontId="14" fillId="0" borderId="7" xfId="0" applyNumberFormat="1" applyFont="1" applyBorder="1" applyAlignment="1">
      <alignment horizontal="left" vertical="center" wrapText="1"/>
    </xf>
    <xf numFmtId="49" fontId="14" fillId="0" borderId="10" xfId="0" applyNumberFormat="1" applyFont="1" applyBorder="1" applyAlignment="1">
      <alignment horizontal="left" vertical="center" wrapText="1"/>
    </xf>
    <xf numFmtId="49" fontId="7" fillId="0" borderId="13" xfId="0" applyNumberFormat="1" applyFont="1" applyBorder="1" applyAlignment="1">
      <alignment horizontal="left" vertical="center" wrapText="1"/>
    </xf>
    <xf numFmtId="49" fontId="7" fillId="0" borderId="76" xfId="0" applyNumberFormat="1" applyFont="1" applyBorder="1" applyAlignment="1">
      <alignment horizontal="left" vertical="center" wrapText="1"/>
    </xf>
    <xf numFmtId="49" fontId="7" fillId="0" borderId="77" xfId="0" applyNumberFormat="1" applyFont="1" applyBorder="1" applyAlignment="1">
      <alignment horizontal="left" vertical="center" wrapText="1"/>
    </xf>
    <xf numFmtId="49" fontId="7" fillId="0" borderId="91" xfId="0" applyNumberFormat="1" applyFont="1" applyBorder="1" applyAlignment="1">
      <alignment horizontal="left" vertical="center" wrapText="1"/>
    </xf>
    <xf numFmtId="49" fontId="7" fillId="13" borderId="77" xfId="0" applyNumberFormat="1" applyFont="1" applyFill="1" applyBorder="1" applyAlignment="1">
      <alignment horizontal="left" vertical="center" wrapText="1"/>
    </xf>
    <xf numFmtId="49" fontId="11" fillId="0" borderId="77" xfId="0" applyNumberFormat="1" applyFont="1" applyBorder="1" applyAlignment="1">
      <alignment horizontal="left" vertical="center" wrapText="1"/>
    </xf>
    <xf numFmtId="49" fontId="11" fillId="5" borderId="77" xfId="0" applyNumberFormat="1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vertical="center" wrapText="1"/>
    </xf>
    <xf numFmtId="49" fontId="11" fillId="0" borderId="21" xfId="0" applyNumberFormat="1" applyFont="1" applyBorder="1" applyAlignment="1">
      <alignment horizontal="left" vertical="center" wrapText="1"/>
    </xf>
    <xf numFmtId="49" fontId="11" fillId="6" borderId="21" xfId="0" applyNumberFormat="1" applyFont="1" applyFill="1" applyBorder="1" applyAlignment="1">
      <alignment horizontal="left" vertical="center" wrapText="1"/>
    </xf>
    <xf numFmtId="49" fontId="18" fillId="8" borderId="6" xfId="0" applyNumberFormat="1" applyFont="1" applyFill="1" applyBorder="1" applyAlignment="1">
      <alignment horizontal="left" vertical="center" wrapText="1"/>
    </xf>
    <xf numFmtId="4" fontId="4" fillId="0" borderId="122" xfId="0" applyNumberFormat="1" applyFont="1" applyBorder="1" applyAlignment="1">
      <alignment horizontal="center" vertical="center" wrapText="1"/>
    </xf>
    <xf numFmtId="2" fontId="20" fillId="0" borderId="27" xfId="0" applyNumberFormat="1" applyFont="1" applyBorder="1" applyAlignment="1">
      <alignment horizontal="right" vertical="center" wrapText="1"/>
    </xf>
    <xf numFmtId="2" fontId="23" fillId="0" borderId="110" xfId="0" applyNumberFormat="1" applyFont="1" applyBorder="1" applyAlignment="1">
      <alignment horizontal="right" vertical="center" wrapText="1"/>
    </xf>
    <xf numFmtId="2" fontId="20" fillId="0" borderId="29" xfId="0" applyNumberFormat="1" applyFont="1" applyBorder="1" applyAlignment="1">
      <alignment horizontal="right" vertical="center" wrapText="1"/>
    </xf>
    <xf numFmtId="2" fontId="23" fillId="0" borderId="30" xfId="0" applyNumberFormat="1" applyFont="1" applyBorder="1" applyAlignment="1">
      <alignment horizontal="right" vertical="center" wrapText="1"/>
    </xf>
    <xf numFmtId="2" fontId="23" fillId="0" borderId="111" xfId="0" applyNumberFormat="1" applyFont="1" applyBorder="1" applyAlignment="1">
      <alignment horizontal="right" vertical="center" wrapText="1"/>
    </xf>
    <xf numFmtId="2" fontId="3" fillId="11" borderId="72" xfId="0" applyNumberFormat="1" applyFont="1" applyFill="1" applyBorder="1" applyAlignment="1"/>
    <xf numFmtId="0" fontId="6" fillId="0" borderId="66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/>
    </xf>
    <xf numFmtId="0" fontId="4" fillId="9" borderId="27" xfId="0" applyFont="1" applyFill="1" applyBorder="1" applyAlignment="1">
      <alignment horizontal="center"/>
    </xf>
    <xf numFmtId="0" fontId="7" fillId="5" borderId="56" xfId="0" applyFont="1" applyFill="1" applyBorder="1" applyAlignment="1">
      <alignment horizontal="center" vertical="center" wrapText="1"/>
    </xf>
    <xf numFmtId="0" fontId="7" fillId="5" borderId="64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165" fontId="7" fillId="5" borderId="64" xfId="0" applyNumberFormat="1" applyFont="1" applyFill="1" applyBorder="1" applyAlignment="1">
      <alignment horizontal="center" vertical="center" wrapText="1"/>
    </xf>
    <xf numFmtId="165" fontId="7" fillId="5" borderId="57" xfId="0" applyNumberFormat="1" applyFont="1" applyFill="1" applyBorder="1" applyAlignment="1">
      <alignment horizontal="center" vertical="center" wrapText="1"/>
    </xf>
    <xf numFmtId="49" fontId="7" fillId="6" borderId="88" xfId="0" applyNumberFormat="1" applyFont="1" applyFill="1" applyBorder="1" applyAlignment="1">
      <alignment horizontal="left" vertical="center"/>
    </xf>
    <xf numFmtId="167" fontId="11" fillId="6" borderId="88" xfId="0" applyNumberFormat="1" applyFont="1" applyFill="1" applyBorder="1" applyAlignment="1">
      <alignment vertical="center" wrapText="1"/>
    </xf>
    <xf numFmtId="165" fontId="7" fillId="6" borderId="123" xfId="0" applyNumberFormat="1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75" xfId="0" applyFont="1" applyBorder="1" applyAlignment="1">
      <alignment vertical="center"/>
    </xf>
    <xf numFmtId="0" fontId="16" fillId="0" borderId="71" xfId="0" applyFont="1" applyBorder="1" applyAlignment="1">
      <alignment horizontal="center" vertical="center"/>
    </xf>
    <xf numFmtId="0" fontId="16" fillId="0" borderId="73" xfId="0" applyFont="1" applyBorder="1" applyAlignment="1">
      <alignment horizontal="center" vertical="center"/>
    </xf>
    <xf numFmtId="0" fontId="16" fillId="6" borderId="79" xfId="0" applyFont="1" applyFill="1" applyBorder="1" applyAlignment="1">
      <alignment horizontal="center" vertical="center" wrapText="1"/>
    </xf>
    <xf numFmtId="0" fontId="16" fillId="6" borderId="78" xfId="0" applyFont="1" applyFill="1" applyBorder="1" applyAlignment="1">
      <alignment horizontal="center" vertical="center" wrapText="1"/>
    </xf>
    <xf numFmtId="0" fontId="16" fillId="0" borderId="79" xfId="0" applyFont="1" applyBorder="1" applyAlignment="1">
      <alignment horizontal="center" vertical="center"/>
    </xf>
    <xf numFmtId="0" fontId="16" fillId="13" borderId="80" xfId="0" applyFont="1" applyFill="1" applyBorder="1" applyAlignment="1">
      <alignment horizontal="center" vertical="center"/>
    </xf>
    <xf numFmtId="0" fontId="16" fillId="0" borderId="83" xfId="0" applyFont="1" applyBorder="1" applyAlignment="1">
      <alignment horizontal="center" vertical="center"/>
    </xf>
    <xf numFmtId="0" fontId="16" fillId="0" borderId="74" xfId="0" applyFont="1" applyBorder="1" applyAlignment="1">
      <alignment horizontal="center" vertical="center" wrapText="1"/>
    </xf>
    <xf numFmtId="0" fontId="16" fillId="0" borderId="71" xfId="0" applyFont="1" applyBorder="1" applyAlignment="1">
      <alignment horizontal="center" vertical="center" wrapText="1"/>
    </xf>
    <xf numFmtId="0" fontId="16" fillId="0" borderId="73" xfId="0" applyFont="1" applyBorder="1" applyAlignment="1">
      <alignment horizontal="center" vertical="center" wrapText="1"/>
    </xf>
    <xf numFmtId="0" fontId="16" fillId="0" borderId="80" xfId="0" applyFont="1" applyBorder="1" applyAlignment="1">
      <alignment horizontal="center" vertical="center" wrapText="1"/>
    </xf>
    <xf numFmtId="0" fontId="16" fillId="0" borderId="83" xfId="0" applyFont="1" applyBorder="1" applyAlignment="1">
      <alignment horizontal="center" vertical="center" wrapText="1"/>
    </xf>
    <xf numFmtId="0" fontId="16" fillId="8" borderId="72" xfId="0" applyFont="1" applyFill="1" applyBorder="1" applyAlignment="1">
      <alignment horizontal="center" vertical="center"/>
    </xf>
    <xf numFmtId="0" fontId="16" fillId="6" borderId="80" xfId="0" applyFont="1" applyFill="1" applyBorder="1" applyAlignment="1">
      <alignment horizontal="center" vertical="center"/>
    </xf>
    <xf numFmtId="0" fontId="11" fillId="0" borderId="80" xfId="0" applyFont="1" applyBorder="1" applyAlignment="1">
      <alignment horizontal="center" vertical="center"/>
    </xf>
    <xf numFmtId="0" fontId="11" fillId="5" borderId="81" xfId="0" applyFont="1" applyFill="1" applyBorder="1" applyAlignment="1">
      <alignment horizontal="center" vertical="center"/>
    </xf>
    <xf numFmtId="0" fontId="11" fillId="8" borderId="75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5" fontId="16" fillId="0" borderId="50" xfId="0" applyNumberFormat="1" applyFont="1" applyBorder="1" applyAlignment="1">
      <alignment vertical="center"/>
    </xf>
    <xf numFmtId="0" fontId="16" fillId="0" borderId="81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11" fillId="6" borderId="72" xfId="0" applyFont="1" applyFill="1" applyBorder="1" applyAlignment="1">
      <alignment horizontal="center" vertical="center"/>
    </xf>
    <xf numFmtId="0" fontId="11" fillId="8" borderId="72" xfId="0" applyFont="1" applyFill="1" applyBorder="1" applyAlignment="1">
      <alignment horizontal="center" vertical="center"/>
    </xf>
    <xf numFmtId="0" fontId="16" fillId="0" borderId="87" xfId="0" applyFont="1" applyBorder="1" applyAlignment="1">
      <alignment horizontal="center" vertical="center"/>
    </xf>
    <xf numFmtId="0" fontId="16" fillId="0" borderId="85" xfId="0" applyFont="1" applyBorder="1" applyAlignment="1">
      <alignment horizontal="center" vertical="center"/>
    </xf>
    <xf numFmtId="0" fontId="16" fillId="0" borderId="86" xfId="0" applyFont="1" applyBorder="1" applyAlignment="1">
      <alignment horizontal="center" vertical="center"/>
    </xf>
    <xf numFmtId="0" fontId="16" fillId="0" borderId="84" xfId="0" applyFont="1" applyBorder="1" applyAlignment="1">
      <alignment horizontal="center" vertical="center"/>
    </xf>
    <xf numFmtId="165" fontId="7" fillId="0" borderId="10" xfId="0" applyNumberFormat="1" applyFont="1" applyBorder="1" applyAlignment="1">
      <alignment horizontal="right" vertical="center"/>
    </xf>
    <xf numFmtId="165" fontId="7" fillId="0" borderId="18" xfId="0" applyNumberFormat="1" applyFont="1" applyBorder="1" applyAlignment="1">
      <alignment horizontal="right" vertical="center"/>
    </xf>
    <xf numFmtId="0" fontId="16" fillId="0" borderId="72" xfId="0" applyFont="1" applyBorder="1" applyAlignment="1">
      <alignment horizontal="center" vertical="center"/>
    </xf>
    <xf numFmtId="49" fontId="7" fillId="0" borderId="72" xfId="0" applyNumberFormat="1" applyFont="1" applyBorder="1" applyAlignment="1">
      <alignment horizontal="left" vertical="center"/>
    </xf>
    <xf numFmtId="165" fontId="17" fillId="0" borderId="72" xfId="0" applyNumberFormat="1" applyFont="1" applyBorder="1" applyAlignment="1">
      <alignment horizontal="right" vertical="center"/>
    </xf>
    <xf numFmtId="0" fontId="16" fillId="0" borderId="78" xfId="0" applyFont="1" applyBorder="1" applyAlignment="1">
      <alignment horizontal="center" vertical="center"/>
    </xf>
    <xf numFmtId="49" fontId="7" fillId="0" borderId="99" xfId="0" applyNumberFormat="1" applyFont="1" applyBorder="1" applyAlignment="1">
      <alignment horizontal="left" vertical="center"/>
    </xf>
    <xf numFmtId="165" fontId="7" fillId="0" borderId="99" xfId="0" applyNumberFormat="1" applyFont="1" applyBorder="1" applyAlignment="1">
      <alignment horizontal="right" vertical="center"/>
    </xf>
    <xf numFmtId="165" fontId="17" fillId="8" borderId="72" xfId="0" applyNumberFormat="1" applyFont="1" applyFill="1" applyBorder="1" applyAlignment="1">
      <alignment horizontal="right" vertical="center"/>
    </xf>
    <xf numFmtId="0" fontId="16" fillId="6" borderId="26" xfId="0" applyFont="1" applyFill="1" applyBorder="1" applyAlignment="1">
      <alignment horizontal="center" vertical="center"/>
    </xf>
    <xf numFmtId="0" fontId="16" fillId="6" borderId="28" xfId="0" applyFont="1" applyFill="1" applyBorder="1" applyAlignment="1">
      <alignment horizontal="center" vertical="center"/>
    </xf>
    <xf numFmtId="0" fontId="16" fillId="6" borderId="92" xfId="0" applyFont="1" applyFill="1" applyBorder="1" applyAlignment="1">
      <alignment horizontal="center" vertical="center"/>
    </xf>
    <xf numFmtId="0" fontId="16" fillId="6" borderId="31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6" fillId="0" borderId="52" xfId="0" applyFont="1" applyBorder="1" applyAlignment="1">
      <alignment horizontal="center" vertical="center"/>
    </xf>
    <xf numFmtId="0" fontId="6" fillId="0" borderId="120" xfId="0" applyFont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vertical="center"/>
    </xf>
    <xf numFmtId="49" fontId="6" fillId="3" borderId="125" xfId="0" applyNumberFormat="1" applyFont="1" applyFill="1" applyBorder="1" applyAlignment="1">
      <alignment horizontal="center" vertical="center"/>
    </xf>
    <xf numFmtId="49" fontId="15" fillId="0" borderId="0" xfId="0" applyNumberFormat="1" applyFont="1" applyBorder="1" applyAlignment="1">
      <alignment horizontal="left" vertical="center"/>
    </xf>
    <xf numFmtId="0" fontId="15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0" fontId="9" fillId="3" borderId="125" xfId="0" applyFont="1" applyFill="1" applyBorder="1" applyAlignment="1">
      <alignment vertical="center" wrapText="1"/>
    </xf>
    <xf numFmtId="0" fontId="6" fillId="3" borderId="125" xfId="0" applyFont="1" applyFill="1" applyBorder="1" applyAlignment="1">
      <alignment horizontal="center" vertical="center" wrapText="1"/>
    </xf>
    <xf numFmtId="49" fontId="6" fillId="7" borderId="4" xfId="0" applyNumberFormat="1" applyFont="1" applyFill="1" applyBorder="1" applyAlignment="1">
      <alignment horizontal="left" vertical="center"/>
    </xf>
    <xf numFmtId="0" fontId="9" fillId="7" borderId="4" xfId="0" applyFont="1" applyFill="1" applyBorder="1" applyAlignment="1">
      <alignment vertical="center" wrapText="1"/>
    </xf>
    <xf numFmtId="0" fontId="9" fillId="7" borderId="2" xfId="0" applyFont="1" applyFill="1" applyBorder="1" applyAlignment="1">
      <alignment vertical="center" wrapText="1"/>
    </xf>
    <xf numFmtId="49" fontId="6" fillId="7" borderId="125" xfId="0" applyNumberFormat="1" applyFont="1" applyFill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right" vertical="center" wrapText="1"/>
    </xf>
    <xf numFmtId="0" fontId="7" fillId="0" borderId="25" xfId="0" applyFont="1" applyBorder="1" applyAlignment="1">
      <alignment vertical="center" wrapText="1"/>
    </xf>
    <xf numFmtId="49" fontId="18" fillId="7" borderId="72" xfId="0" applyNumberFormat="1" applyFont="1" applyFill="1" applyBorder="1" applyAlignment="1">
      <alignment horizontal="center" vertical="center"/>
    </xf>
    <xf numFmtId="49" fontId="18" fillId="7" borderId="6" xfId="0" applyNumberFormat="1" applyFont="1" applyFill="1" applyBorder="1" applyAlignment="1">
      <alignment horizontal="left" vertical="center"/>
    </xf>
    <xf numFmtId="0" fontId="7" fillId="14" borderId="57" xfId="0" applyFont="1" applyFill="1" applyBorder="1" applyAlignment="1" applyProtection="1">
      <alignment horizontal="center" vertical="center" wrapText="1"/>
      <protection locked="0"/>
    </xf>
    <xf numFmtId="0" fontId="7" fillId="14" borderId="58" xfId="0" applyFont="1" applyFill="1" applyBorder="1" applyAlignment="1" applyProtection="1">
      <alignment horizontal="center" vertical="center" wrapText="1"/>
      <protection locked="0"/>
    </xf>
    <xf numFmtId="0" fontId="7" fillId="14" borderId="64" xfId="0" applyFont="1" applyFill="1" applyBorder="1" applyAlignment="1" applyProtection="1">
      <alignment horizontal="center" vertical="center" wrapText="1"/>
      <protection locked="0"/>
    </xf>
    <xf numFmtId="165" fontId="7" fillId="14" borderId="57" xfId="0" applyNumberFormat="1" applyFont="1" applyFill="1" applyBorder="1" applyAlignment="1" applyProtection="1">
      <alignment horizontal="center" vertical="center" wrapText="1"/>
      <protection locked="0"/>
    </xf>
    <xf numFmtId="14" fontId="7" fillId="14" borderId="58" xfId="0" applyNumberFormat="1" applyFont="1" applyFill="1" applyBorder="1" applyAlignment="1" applyProtection="1">
      <alignment horizontal="center" vertical="center" wrapText="1"/>
      <protection locked="0"/>
    </xf>
    <xf numFmtId="165" fontId="7" fillId="14" borderId="35" xfId="0" applyNumberFormat="1" applyFont="1" applyFill="1" applyBorder="1" applyAlignment="1" applyProtection="1">
      <alignment horizontal="center" vertical="center" wrapText="1"/>
      <protection locked="0"/>
    </xf>
    <xf numFmtId="165" fontId="7" fillId="14" borderId="33" xfId="0" applyNumberFormat="1" applyFont="1" applyFill="1" applyBorder="1" applyAlignment="1" applyProtection="1">
      <alignment horizontal="center" vertical="center" wrapText="1"/>
      <protection locked="0"/>
    </xf>
    <xf numFmtId="165" fontId="7" fillId="14" borderId="70" xfId="0" applyNumberFormat="1" applyFont="1" applyFill="1" applyBorder="1" applyAlignment="1" applyProtection="1">
      <alignment horizontal="center" vertical="center" wrapText="1"/>
      <protection locked="0"/>
    </xf>
    <xf numFmtId="1" fontId="11" fillId="14" borderId="34" xfId="0" applyNumberFormat="1" applyFont="1" applyFill="1" applyBorder="1" applyAlignment="1" applyProtection="1">
      <alignment horizontal="center" vertical="center" wrapText="1"/>
      <protection locked="0"/>
    </xf>
    <xf numFmtId="165" fontId="7" fillId="14" borderId="12" xfId="0" applyNumberFormat="1" applyFont="1" applyFill="1" applyBorder="1" applyAlignment="1">
      <alignment vertical="center" wrapText="1"/>
    </xf>
    <xf numFmtId="165" fontId="7" fillId="14" borderId="9" xfId="0" applyNumberFormat="1" applyFont="1" applyFill="1" applyBorder="1" applyAlignment="1" applyProtection="1">
      <alignment vertical="center" wrapText="1"/>
      <protection locked="0"/>
    </xf>
    <xf numFmtId="165" fontId="7" fillId="14" borderId="12" xfId="0" applyNumberFormat="1" applyFont="1" applyFill="1" applyBorder="1" applyAlignment="1" applyProtection="1">
      <alignment vertical="center" wrapText="1"/>
      <protection locked="0"/>
    </xf>
    <xf numFmtId="165" fontId="7" fillId="14" borderId="20" xfId="0" applyNumberFormat="1" applyFont="1" applyFill="1" applyBorder="1" applyAlignment="1" applyProtection="1">
      <alignment vertical="center" wrapText="1"/>
      <protection locked="0"/>
    </xf>
    <xf numFmtId="0" fontId="16" fillId="14" borderId="80" xfId="0" applyFont="1" applyFill="1" applyBorder="1" applyAlignment="1">
      <alignment horizontal="center" vertical="center"/>
    </xf>
    <xf numFmtId="49" fontId="8" fillId="14" borderId="77" xfId="0" applyNumberFormat="1" applyFont="1" applyFill="1" applyBorder="1" applyAlignment="1">
      <alignment horizontal="left" vertical="center"/>
    </xf>
    <xf numFmtId="10" fontId="13" fillId="14" borderId="11" xfId="0" applyNumberFormat="1" applyFont="1" applyFill="1" applyBorder="1" applyAlignment="1" applyProtection="1">
      <alignment vertical="center" wrapText="1"/>
      <protection locked="0"/>
    </xf>
    <xf numFmtId="167" fontId="11" fillId="14" borderId="8" xfId="0" applyNumberFormat="1" applyFont="1" applyFill="1" applyBorder="1" applyAlignment="1" applyProtection="1">
      <alignment vertical="center" wrapText="1"/>
      <protection locked="0"/>
    </xf>
    <xf numFmtId="167" fontId="11" fillId="14" borderId="11" xfId="0" applyNumberFormat="1" applyFont="1" applyFill="1" applyBorder="1" applyAlignment="1" applyProtection="1">
      <alignment vertical="center" wrapText="1"/>
      <protection locked="0"/>
    </xf>
    <xf numFmtId="167" fontId="11" fillId="14" borderId="49" xfId="0" applyNumberFormat="1" applyFont="1" applyFill="1" applyBorder="1" applyAlignment="1" applyProtection="1">
      <alignment horizontal="right" vertical="center" wrapText="1"/>
      <protection locked="0"/>
    </xf>
    <xf numFmtId="167" fontId="11" fillId="14" borderId="11" xfId="0" applyNumberFormat="1" applyFont="1" applyFill="1" applyBorder="1" applyAlignment="1" applyProtection="1">
      <alignment horizontal="right" vertical="center" wrapText="1"/>
      <protection locked="0"/>
    </xf>
    <xf numFmtId="167" fontId="11" fillId="14" borderId="14" xfId="0" applyNumberFormat="1" applyFont="1" applyFill="1" applyBorder="1" applyAlignment="1" applyProtection="1">
      <alignment horizontal="right" vertical="center" wrapText="1"/>
      <protection locked="0"/>
    </xf>
    <xf numFmtId="167" fontId="13" fillId="0" borderId="11" xfId="0" applyNumberFormat="1" applyFont="1" applyBorder="1" applyAlignment="1" applyProtection="1">
      <alignment vertical="center" wrapText="1"/>
      <protection locked="0"/>
    </xf>
    <xf numFmtId="0" fontId="4" fillId="9" borderId="110" xfId="0" applyFont="1" applyFill="1" applyBorder="1" applyAlignment="1">
      <alignment horizontal="center"/>
    </xf>
    <xf numFmtId="165" fontId="7" fillId="14" borderId="15" xfId="0" applyNumberFormat="1" applyFont="1" applyFill="1" applyBorder="1" applyAlignment="1" applyProtection="1">
      <alignment vertical="center" wrapText="1"/>
      <protection locked="0"/>
    </xf>
    <xf numFmtId="0" fontId="6" fillId="0" borderId="66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0" fontId="3" fillId="9" borderId="23" xfId="0" applyFont="1" applyFill="1" applyBorder="1" applyAlignment="1">
      <alignment horizontal="center" vertical="center"/>
    </xf>
    <xf numFmtId="0" fontId="8" fillId="5" borderId="47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72" xfId="0" applyFont="1" applyBorder="1" applyAlignment="1">
      <alignment horizontal="center" vertical="center"/>
    </xf>
    <xf numFmtId="0" fontId="0" fillId="0" borderId="27" xfId="0" applyBorder="1" applyAlignment="1">
      <alignment wrapText="1"/>
    </xf>
    <xf numFmtId="0" fontId="0" fillId="0" borderId="27" xfId="0" applyBorder="1" applyAlignment="1">
      <alignment horizontal="center"/>
    </xf>
    <xf numFmtId="0" fontId="0" fillId="0" borderId="29" xfId="0" applyBorder="1" applyAlignment="1">
      <alignment wrapText="1"/>
    </xf>
    <xf numFmtId="0" fontId="0" fillId="0" borderId="29" xfId="0" applyBorder="1" applyAlignment="1">
      <alignment horizontal="center"/>
    </xf>
    <xf numFmtId="0" fontId="4" fillId="0" borderId="29" xfId="0" applyFont="1" applyBorder="1" applyAlignment="1">
      <alignment wrapText="1"/>
    </xf>
    <xf numFmtId="0" fontId="20" fillId="9" borderId="29" xfId="0" applyFont="1" applyFill="1" applyBorder="1" applyAlignment="1">
      <alignment horizontal="center" vertical="center"/>
    </xf>
    <xf numFmtId="2" fontId="23" fillId="0" borderId="29" xfId="0" applyNumberFormat="1" applyFont="1" applyBorder="1" applyAlignment="1">
      <alignment horizontal="right" vertical="center" wrapText="1"/>
    </xf>
    <xf numFmtId="2" fontId="20" fillId="0" borderId="32" xfId="0" applyNumberFormat="1" applyFont="1" applyFill="1" applyBorder="1" applyAlignment="1">
      <alignment horizontal="center" vertical="center"/>
    </xf>
    <xf numFmtId="0" fontId="0" fillId="0" borderId="116" xfId="0" applyBorder="1" applyAlignment="1">
      <alignment horizontal="center"/>
    </xf>
    <xf numFmtId="0" fontId="0" fillId="0" borderId="32" xfId="0" applyFill="1" applyBorder="1" applyAlignment="1">
      <alignment vertical="center" wrapText="1"/>
    </xf>
    <xf numFmtId="0" fontId="0" fillId="0" borderId="32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64" fontId="0" fillId="0" borderId="29" xfId="1" applyFont="1" applyBorder="1" applyAlignment="1">
      <alignment vertical="center"/>
    </xf>
    <xf numFmtId="164" fontId="4" fillId="5" borderId="29" xfId="1" applyFont="1" applyFill="1" applyBorder="1" applyAlignment="1">
      <alignment vertical="center"/>
    </xf>
    <xf numFmtId="0" fontId="20" fillId="9" borderId="114" xfId="0" applyFont="1" applyFill="1" applyBorder="1" applyAlignment="1">
      <alignment horizontal="center" vertical="center"/>
    </xf>
    <xf numFmtId="0" fontId="0" fillId="0" borderId="114" xfId="0" applyBorder="1" applyAlignment="1">
      <alignment wrapText="1"/>
    </xf>
    <xf numFmtId="0" fontId="0" fillId="0" borderId="114" xfId="0" applyBorder="1" applyAlignment="1">
      <alignment horizontal="center" vertical="center"/>
    </xf>
    <xf numFmtId="164" fontId="0" fillId="0" borderId="114" xfId="1" applyFont="1" applyBorder="1" applyAlignment="1">
      <alignment vertical="center"/>
    </xf>
    <xf numFmtId="164" fontId="4" fillId="5" borderId="114" xfId="1" applyFont="1" applyFill="1" applyBorder="1" applyAlignment="1">
      <alignment vertical="center"/>
    </xf>
    <xf numFmtId="2" fontId="20" fillId="0" borderId="114" xfId="0" applyNumberFormat="1" applyFont="1" applyBorder="1" applyAlignment="1">
      <alignment horizontal="right" vertical="center" wrapText="1"/>
    </xf>
    <xf numFmtId="2" fontId="23" fillId="0" borderId="114" xfId="0" applyNumberFormat="1" applyFont="1" applyBorder="1" applyAlignment="1">
      <alignment horizontal="right" vertical="center" wrapText="1"/>
    </xf>
    <xf numFmtId="0" fontId="0" fillId="0" borderId="72" xfId="0" applyBorder="1" applyAlignment="1">
      <alignment wrapText="1"/>
    </xf>
    <xf numFmtId="0" fontId="0" fillId="0" borderId="75" xfId="0" applyBorder="1"/>
    <xf numFmtId="0" fontId="0" fillId="0" borderId="78" xfId="0" applyBorder="1"/>
    <xf numFmtId="0" fontId="0" fillId="0" borderId="125" xfId="0" applyBorder="1"/>
    <xf numFmtId="166" fontId="19" fillId="0" borderId="72" xfId="0" applyNumberFormat="1" applyFont="1" applyBorder="1"/>
    <xf numFmtId="166" fontId="4" fillId="0" borderId="72" xfId="0" applyNumberFormat="1" applyFont="1" applyBorder="1" applyAlignment="1">
      <alignment horizontal="justify" vertical="center" wrapText="1"/>
    </xf>
    <xf numFmtId="0" fontId="0" fillId="4" borderId="72" xfId="0" applyFont="1" applyFill="1" applyBorder="1" applyAlignment="1">
      <alignment horizontal="center" vertical="center" wrapText="1"/>
    </xf>
    <xf numFmtId="0" fontId="0" fillId="4" borderId="72" xfId="0" applyFill="1" applyBorder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4" borderId="72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43" fontId="0" fillId="0" borderId="0" xfId="2" applyFont="1"/>
    <xf numFmtId="0" fontId="3" fillId="0" borderId="0" xfId="0" applyFont="1" applyAlignment="1">
      <alignment horizontal="justify" vertical="center"/>
    </xf>
    <xf numFmtId="0" fontId="34" fillId="0" borderId="72" xfId="0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35" fillId="0" borderId="72" xfId="0" applyFont="1" applyFill="1" applyBorder="1" applyAlignment="1">
      <alignment horizontal="justify" vertical="center" wrapText="1"/>
    </xf>
    <xf numFmtId="2" fontId="36" fillId="0" borderId="72" xfId="0" applyNumberFormat="1" applyFont="1" applyBorder="1" applyAlignment="1">
      <alignment horizontal="center" vertical="center"/>
    </xf>
    <xf numFmtId="169" fontId="36" fillId="0" borderId="72" xfId="0" applyNumberFormat="1" applyFont="1" applyBorder="1" applyAlignment="1">
      <alignment horizontal="center" vertical="center"/>
    </xf>
    <xf numFmtId="4" fontId="36" fillId="0" borderId="72" xfId="0" applyNumberFormat="1" applyFont="1" applyBorder="1" applyAlignment="1">
      <alignment horizontal="center" vertical="center"/>
    </xf>
    <xf numFmtId="4" fontId="35" fillId="0" borderId="72" xfId="0" applyNumberFormat="1" applyFont="1" applyBorder="1" applyAlignment="1">
      <alignment horizontal="center" vertical="center"/>
    </xf>
    <xf numFmtId="1" fontId="35" fillId="0" borderId="72" xfId="0" applyNumberFormat="1" applyFont="1" applyBorder="1" applyAlignment="1">
      <alignment horizontal="center" vertical="center"/>
    </xf>
    <xf numFmtId="0" fontId="3" fillId="9" borderId="23" xfId="0" applyFont="1" applyFill="1" applyBorder="1" applyAlignment="1">
      <alignment horizontal="center" vertical="center"/>
    </xf>
    <xf numFmtId="2" fontId="3" fillId="18" borderId="72" xfId="0" applyNumberFormat="1" applyFont="1" applyFill="1" applyBorder="1" applyAlignment="1"/>
    <xf numFmtId="0" fontId="8" fillId="12" borderId="47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9" fillId="0" borderId="29" xfId="0" applyFont="1" applyBorder="1"/>
    <xf numFmtId="43" fontId="19" fillId="0" borderId="29" xfId="0" applyNumberFormat="1" applyFont="1" applyBorder="1"/>
    <xf numFmtId="0" fontId="0" fillId="10" borderId="114" xfId="0" applyFill="1" applyBorder="1" applyAlignment="1">
      <alignment horizontal="center" vertical="center"/>
    </xf>
    <xf numFmtId="0" fontId="0" fillId="10" borderId="29" xfId="0" applyFill="1" applyBorder="1" applyAlignment="1">
      <alignment horizontal="center" vertical="center"/>
    </xf>
    <xf numFmtId="0" fontId="4" fillId="9" borderId="39" xfId="0" applyFont="1" applyFill="1" applyBorder="1" applyAlignment="1"/>
    <xf numFmtId="0" fontId="4" fillId="9" borderId="40" xfId="0" applyFont="1" applyFill="1" applyBorder="1" applyAlignment="1"/>
    <xf numFmtId="0" fontId="4" fillId="9" borderId="41" xfId="0" applyFont="1" applyFill="1" applyBorder="1" applyAlignment="1"/>
    <xf numFmtId="2" fontId="23" fillId="19" borderId="72" xfId="0" applyNumberFormat="1" applyFont="1" applyFill="1" applyBorder="1" applyAlignment="1">
      <alignment vertical="center"/>
    </xf>
    <xf numFmtId="164" fontId="0" fillId="0" borderId="88" xfId="1" applyFont="1" applyBorder="1" applyAlignment="1">
      <alignment vertical="center"/>
    </xf>
    <xf numFmtId="164" fontId="4" fillId="5" borderId="88" xfId="1" applyFont="1" applyFill="1" applyBorder="1" applyAlignment="1">
      <alignment vertical="center"/>
    </xf>
    <xf numFmtId="4" fontId="23" fillId="19" borderId="72" xfId="0" applyNumberFormat="1" applyFont="1" applyFill="1" applyBorder="1" applyAlignment="1">
      <alignment vertical="center"/>
    </xf>
    <xf numFmtId="4" fontId="23" fillId="10" borderId="72" xfId="0" applyNumberFormat="1" applyFont="1" applyFill="1" applyBorder="1" applyAlignment="1">
      <alignment vertical="center"/>
    </xf>
    <xf numFmtId="0" fontId="20" fillId="9" borderId="89" xfId="0" applyFont="1" applyFill="1" applyBorder="1" applyAlignment="1">
      <alignment horizontal="center" vertical="center"/>
    </xf>
    <xf numFmtId="0" fontId="4" fillId="0" borderId="88" xfId="0" applyFont="1" applyBorder="1" applyAlignment="1">
      <alignment wrapText="1"/>
    </xf>
    <xf numFmtId="0" fontId="4" fillId="0" borderId="88" xfId="0" applyFont="1" applyBorder="1" applyAlignment="1">
      <alignment horizontal="center" vertical="center"/>
    </xf>
    <xf numFmtId="0" fontId="0" fillId="10" borderId="88" xfId="0" applyFill="1" applyBorder="1" applyAlignment="1">
      <alignment horizontal="center" vertical="center"/>
    </xf>
    <xf numFmtId="165" fontId="0" fillId="0" borderId="29" xfId="1" applyNumberFormat="1" applyFont="1" applyBorder="1" applyAlignment="1">
      <alignment horizontal="right"/>
    </xf>
    <xf numFmtId="165" fontId="20" fillId="0" borderId="27" xfId="0" applyNumberFormat="1" applyFont="1" applyBorder="1" applyAlignment="1">
      <alignment horizontal="right" vertical="center"/>
    </xf>
    <xf numFmtId="165" fontId="20" fillId="0" borderId="29" xfId="0" applyNumberFormat="1" applyFont="1" applyBorder="1" applyAlignment="1">
      <alignment horizontal="right" vertical="center"/>
    </xf>
    <xf numFmtId="165" fontId="20" fillId="0" borderId="27" xfId="0" applyNumberFormat="1" applyFont="1" applyBorder="1" applyAlignment="1">
      <alignment horizontal="right" vertical="center" wrapText="1"/>
    </xf>
    <xf numFmtId="165" fontId="20" fillId="0" borderId="29" xfId="0" applyNumberFormat="1" applyFont="1" applyBorder="1" applyAlignment="1">
      <alignment horizontal="right" vertical="center" wrapText="1"/>
    </xf>
    <xf numFmtId="165" fontId="20" fillId="0" borderId="32" xfId="0" applyNumberFormat="1" applyFont="1" applyBorder="1" applyAlignment="1">
      <alignment horizontal="right" vertical="center" wrapText="1"/>
    </xf>
    <xf numFmtId="165" fontId="23" fillId="0" borderId="110" xfId="0" applyNumberFormat="1" applyFont="1" applyBorder="1" applyAlignment="1">
      <alignment horizontal="right" vertical="center" wrapText="1"/>
    </xf>
    <xf numFmtId="165" fontId="23" fillId="0" borderId="30" xfId="0" applyNumberFormat="1" applyFont="1" applyBorder="1" applyAlignment="1">
      <alignment horizontal="right" vertical="center" wrapText="1"/>
    </xf>
    <xf numFmtId="165" fontId="23" fillId="0" borderId="111" xfId="0" applyNumberFormat="1" applyFont="1" applyBorder="1" applyAlignment="1">
      <alignment horizontal="right" vertical="center" wrapText="1"/>
    </xf>
    <xf numFmtId="165" fontId="0" fillId="0" borderId="29" xfId="0" applyNumberFormat="1" applyBorder="1" applyAlignment="1">
      <alignment horizontal="right" vertical="center"/>
    </xf>
    <xf numFmtId="165" fontId="0" fillId="0" borderId="88" xfId="0" applyNumberFormat="1" applyBorder="1" applyAlignment="1">
      <alignment horizontal="right" vertical="center"/>
    </xf>
    <xf numFmtId="165" fontId="0" fillId="0" borderId="117" xfId="0" applyNumberFormat="1" applyBorder="1"/>
    <xf numFmtId="165" fontId="3" fillId="10" borderId="72" xfId="0" applyNumberFormat="1" applyFont="1" applyFill="1" applyBorder="1" applyAlignment="1"/>
    <xf numFmtId="165" fontId="3" fillId="18" borderId="72" xfId="0" applyNumberFormat="1" applyFont="1" applyFill="1" applyBorder="1" applyAlignment="1"/>
    <xf numFmtId="165" fontId="20" fillId="0" borderId="114" xfId="0" applyNumberFormat="1" applyFont="1" applyFill="1" applyBorder="1" applyAlignment="1" applyProtection="1">
      <alignment horizontal="right" vertical="center"/>
      <protection locked="0"/>
    </xf>
    <xf numFmtId="165" fontId="20" fillId="0" borderId="29" xfId="0" applyNumberFormat="1" applyFont="1" applyFill="1" applyBorder="1" applyAlignment="1" applyProtection="1">
      <alignment horizontal="right" vertical="center"/>
      <protection locked="0"/>
    </xf>
    <xf numFmtId="166" fontId="4" fillId="0" borderId="93" xfId="0" applyNumberFormat="1" applyFont="1" applyBorder="1" applyAlignment="1">
      <alignment horizontal="justify" vertical="center" wrapText="1"/>
    </xf>
    <xf numFmtId="1" fontId="3" fillId="0" borderId="72" xfId="0" applyNumberFormat="1" applyFont="1" applyBorder="1" applyAlignment="1" applyProtection="1">
      <alignment horizontal="center" vertical="center" wrapText="1"/>
      <protection locked="0"/>
    </xf>
    <xf numFmtId="4" fontId="33" fillId="0" borderId="29" xfId="0" applyNumberFormat="1" applyFont="1" applyBorder="1" applyAlignment="1">
      <alignment horizontal="right" vertical="center" wrapText="1"/>
    </xf>
    <xf numFmtId="0" fontId="33" fillId="0" borderId="29" xfId="0" applyFont="1" applyBorder="1" applyAlignment="1">
      <alignment vertical="center" wrapText="1"/>
    </xf>
    <xf numFmtId="4" fontId="32" fillId="0" borderId="29" xfId="0" applyNumberFormat="1" applyFont="1" applyBorder="1" applyAlignment="1">
      <alignment horizontal="right" vertical="center" wrapText="1"/>
    </xf>
    <xf numFmtId="4" fontId="32" fillId="0" borderId="29" xfId="0" applyNumberFormat="1" applyFont="1" applyBorder="1" applyAlignment="1">
      <alignment horizontal="center" vertical="center" wrapText="1"/>
    </xf>
    <xf numFmtId="0" fontId="33" fillId="5" borderId="29" xfId="0" applyFont="1" applyFill="1" applyBorder="1" applyAlignment="1">
      <alignment vertical="center" wrapText="1"/>
    </xf>
    <xf numFmtId="4" fontId="33" fillId="5" borderId="29" xfId="0" applyNumberFormat="1" applyFont="1" applyFill="1" applyBorder="1" applyAlignment="1">
      <alignment horizontal="right"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9" fillId="0" borderId="29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29" xfId="0" applyNumberFormat="1" applyFont="1" applyBorder="1" applyAlignment="1">
      <alignment horizontal="center" vertical="center"/>
    </xf>
    <xf numFmtId="0" fontId="19" fillId="15" borderId="72" xfId="0" applyFont="1" applyFill="1" applyBorder="1" applyAlignment="1">
      <alignment horizontal="center" vertical="center" wrapText="1"/>
    </xf>
    <xf numFmtId="1" fontId="0" fillId="0" borderId="0" xfId="0" applyNumberFormat="1" applyFont="1" applyBorder="1" applyAlignment="1">
      <alignment horizontal="center" vertical="center"/>
    </xf>
    <xf numFmtId="4" fontId="19" fillId="15" borderId="88" xfId="0" applyNumberFormat="1" applyFont="1" applyFill="1" applyBorder="1" applyAlignment="1">
      <alignment horizontal="center" vertical="center"/>
    </xf>
    <xf numFmtId="0" fontId="0" fillId="0" borderId="126" xfId="0" applyFont="1" applyBorder="1" applyAlignment="1">
      <alignment horizontal="center" vertical="center"/>
    </xf>
    <xf numFmtId="1" fontId="19" fillId="0" borderId="127" xfId="0" applyNumberFormat="1" applyFont="1" applyBorder="1" applyAlignment="1">
      <alignment horizontal="center" vertical="center"/>
    </xf>
    <xf numFmtId="0" fontId="23" fillId="9" borderId="29" xfId="0" applyFont="1" applyFill="1" applyBorder="1" applyAlignment="1">
      <alignment horizontal="center" vertical="center" wrapText="1"/>
    </xf>
    <xf numFmtId="0" fontId="23" fillId="9" borderId="29" xfId="0" applyFont="1" applyFill="1" applyBorder="1" applyAlignment="1">
      <alignment horizontal="center" vertical="center"/>
    </xf>
    <xf numFmtId="2" fontId="20" fillId="0" borderId="32" xfId="0" applyNumberFormat="1" applyFont="1" applyBorder="1" applyAlignment="1">
      <alignment horizontal="center" vertical="center"/>
    </xf>
    <xf numFmtId="2" fontId="20" fillId="0" borderId="32" xfId="0" applyNumberFormat="1" applyFont="1" applyBorder="1" applyAlignment="1">
      <alignment horizontal="right" vertical="center" wrapText="1"/>
    </xf>
    <xf numFmtId="0" fontId="21" fillId="9" borderId="30" xfId="0" applyFont="1" applyFill="1" applyBorder="1" applyAlignment="1">
      <alignment horizontal="center" vertical="center" wrapText="1"/>
    </xf>
    <xf numFmtId="2" fontId="20" fillId="0" borderId="29" xfId="0" applyNumberFormat="1" applyFont="1" applyFill="1" applyBorder="1" applyAlignment="1">
      <alignment horizontal="right" vertical="center" wrapText="1"/>
    </xf>
    <xf numFmtId="0" fontId="0" fillId="0" borderId="29" xfId="0" applyFill="1" applyBorder="1" applyAlignment="1">
      <alignment wrapText="1"/>
    </xf>
    <xf numFmtId="0" fontId="0" fillId="0" borderId="29" xfId="0" applyFill="1" applyBorder="1" applyAlignment="1">
      <alignment horizontal="center" vertical="center"/>
    </xf>
    <xf numFmtId="164" fontId="0" fillId="0" borderId="29" xfId="1" applyFont="1" applyFill="1" applyBorder="1" applyAlignment="1">
      <alignment vertical="center"/>
    </xf>
    <xf numFmtId="164" fontId="4" fillId="0" borderId="29" xfId="1" applyFont="1" applyFill="1" applyBorder="1" applyAlignment="1">
      <alignment vertical="center"/>
    </xf>
    <xf numFmtId="2" fontId="38" fillId="20" borderId="72" xfId="0" applyNumberFormat="1" applyFont="1" applyFill="1" applyBorder="1"/>
    <xf numFmtId="0" fontId="21" fillId="9" borderId="122" xfId="0" applyFont="1" applyFill="1" applyBorder="1" applyAlignment="1">
      <alignment horizontal="center" vertical="center" wrapText="1"/>
    </xf>
    <xf numFmtId="0" fontId="22" fillId="9" borderId="134" xfId="0" applyFont="1" applyFill="1" applyBorder="1" applyAlignment="1">
      <alignment horizontal="center" vertical="center" wrapText="1"/>
    </xf>
    <xf numFmtId="0" fontId="21" fillId="9" borderId="122" xfId="0" applyFont="1" applyFill="1" applyBorder="1" applyAlignment="1">
      <alignment vertical="center"/>
    </xf>
    <xf numFmtId="0" fontId="0" fillId="0" borderId="28" xfId="0" applyFont="1" applyBorder="1" applyAlignment="1">
      <alignment horizontal="center" vertical="center"/>
    </xf>
    <xf numFmtId="0" fontId="0" fillId="0" borderId="92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43" fontId="19" fillId="15" borderId="29" xfId="2" applyFont="1" applyFill="1" applyBorder="1" applyAlignment="1">
      <alignment horizontal="center" vertical="center"/>
    </xf>
    <xf numFmtId="43" fontId="19" fillId="0" borderId="29" xfId="2" applyFont="1" applyBorder="1" applyAlignment="1">
      <alignment horizontal="center" vertical="center" wrapText="1"/>
    </xf>
    <xf numFmtId="4" fontId="19" fillId="0" borderId="0" xfId="0" applyNumberFormat="1" applyFont="1" applyBorder="1" applyAlignment="1">
      <alignment horizontal="center"/>
    </xf>
    <xf numFmtId="43" fontId="19" fillId="4" borderId="32" xfId="2" applyFont="1" applyFill="1" applyBorder="1" applyAlignment="1">
      <alignment horizontal="center" vertical="center"/>
    </xf>
    <xf numFmtId="0" fontId="19" fillId="0" borderId="72" xfId="0" applyFont="1" applyBorder="1" applyAlignment="1">
      <alignment horizontal="center" vertical="center"/>
    </xf>
    <xf numFmtId="0" fontId="19" fillId="0" borderId="72" xfId="0" applyFont="1" applyBorder="1" applyAlignment="1">
      <alignment horizontal="center" vertical="center" wrapText="1"/>
    </xf>
    <xf numFmtId="43" fontId="19" fillId="15" borderId="72" xfId="2" applyFont="1" applyFill="1" applyBorder="1" applyAlignment="1">
      <alignment horizontal="center" vertical="center" wrapText="1"/>
    </xf>
    <xf numFmtId="0" fontId="0" fillId="0" borderId="72" xfId="0" applyBorder="1"/>
    <xf numFmtId="4" fontId="0" fillId="0" borderId="72" xfId="0" applyNumberFormat="1" applyBorder="1" applyAlignment="1">
      <alignment horizontal="right" vertical="center"/>
    </xf>
    <xf numFmtId="4" fontId="0" fillId="22" borderId="29" xfId="0" applyNumberFormat="1" applyFont="1" applyFill="1" applyBorder="1" applyAlignment="1">
      <alignment horizontal="center" vertical="center"/>
    </xf>
    <xf numFmtId="4" fontId="0" fillId="10" borderId="29" xfId="0" applyNumberFormat="1" applyFill="1" applyBorder="1" applyAlignment="1">
      <alignment horizontal="right" vertical="center"/>
    </xf>
    <xf numFmtId="0" fontId="0" fillId="10" borderId="29" xfId="0" applyFont="1" applyFill="1" applyBorder="1" applyAlignment="1">
      <alignment horizontal="left" vertical="center" wrapText="1"/>
    </xf>
    <xf numFmtId="0" fontId="0" fillId="10" borderId="29" xfId="0" applyFont="1" applyFill="1" applyBorder="1" applyAlignment="1">
      <alignment horizontal="center" vertical="center" wrapText="1"/>
    </xf>
    <xf numFmtId="4" fontId="0" fillId="10" borderId="29" xfId="0" applyNumberFormat="1" applyFont="1" applyFill="1" applyBorder="1" applyAlignment="1">
      <alignment horizontal="center" vertical="center"/>
    </xf>
    <xf numFmtId="0" fontId="0" fillId="13" borderId="29" xfId="0" applyFont="1" applyFill="1" applyBorder="1" applyAlignment="1">
      <alignment horizontal="left" vertical="center" wrapText="1"/>
    </xf>
    <xf numFmtId="2" fontId="0" fillId="13" borderId="29" xfId="0" applyNumberFormat="1" applyFont="1" applyFill="1" applyBorder="1" applyAlignment="1">
      <alignment horizontal="center" vertical="center" wrapText="1"/>
    </xf>
    <xf numFmtId="4" fontId="0" fillId="13" borderId="29" xfId="0" applyNumberFormat="1" applyFont="1" applyFill="1" applyBorder="1" applyAlignment="1">
      <alignment horizontal="center" vertical="center"/>
    </xf>
    <xf numFmtId="0" fontId="0" fillId="13" borderId="29" xfId="0" applyFont="1" applyFill="1" applyBorder="1" applyAlignment="1">
      <alignment horizontal="center" vertical="center" wrapText="1"/>
    </xf>
    <xf numFmtId="0" fontId="0" fillId="21" borderId="29" xfId="0" applyFont="1" applyFill="1" applyBorder="1" applyAlignment="1">
      <alignment horizontal="left" vertical="center" wrapText="1"/>
    </xf>
    <xf numFmtId="2" fontId="0" fillId="21" borderId="29" xfId="0" applyNumberFormat="1" applyFont="1" applyFill="1" applyBorder="1" applyAlignment="1">
      <alignment horizontal="center" vertical="center" wrapText="1"/>
    </xf>
    <xf numFmtId="4" fontId="0" fillId="21" borderId="29" xfId="0" applyNumberFormat="1" applyFont="1" applyFill="1" applyBorder="1" applyAlignment="1">
      <alignment horizontal="center" vertical="center"/>
    </xf>
    <xf numFmtId="0" fontId="0" fillId="21" borderId="29" xfId="0" applyFont="1" applyFill="1" applyBorder="1" applyAlignment="1">
      <alignment horizontal="center" vertical="center" wrapText="1"/>
    </xf>
    <xf numFmtId="0" fontId="0" fillId="23" borderId="29" xfId="0" applyFont="1" applyFill="1" applyBorder="1" applyAlignment="1">
      <alignment horizontal="left" vertical="center" wrapText="1"/>
    </xf>
    <xf numFmtId="2" fontId="0" fillId="23" borderId="29" xfId="0" applyNumberFormat="1" applyFont="1" applyFill="1" applyBorder="1" applyAlignment="1">
      <alignment horizontal="center" vertical="center" wrapText="1"/>
    </xf>
    <xf numFmtId="4" fontId="0" fillId="23" borderId="29" xfId="0" applyNumberFormat="1" applyFont="1" applyFill="1" applyBorder="1" applyAlignment="1">
      <alignment horizontal="center" vertical="center"/>
    </xf>
    <xf numFmtId="0" fontId="0" fillId="23" borderId="29" xfId="0" applyFont="1" applyFill="1" applyBorder="1" applyAlignment="1">
      <alignment horizontal="center" vertical="center" wrapText="1"/>
    </xf>
    <xf numFmtId="2" fontId="0" fillId="10" borderId="29" xfId="0" applyNumberFormat="1" applyFont="1" applyFill="1" applyBorder="1" applyAlignment="1">
      <alignment horizontal="center" vertical="center"/>
    </xf>
    <xf numFmtId="0" fontId="0" fillId="10" borderId="29" xfId="0" applyFont="1" applyFill="1" applyBorder="1" applyAlignment="1">
      <alignment horizontal="center" vertical="center"/>
    </xf>
    <xf numFmtId="2" fontId="0" fillId="13" borderId="29" xfId="0" applyNumberFormat="1" applyFont="1" applyFill="1" applyBorder="1" applyAlignment="1">
      <alignment horizontal="center" vertical="center"/>
    </xf>
    <xf numFmtId="0" fontId="0" fillId="13" borderId="29" xfId="0" applyFont="1" applyFill="1" applyBorder="1" applyAlignment="1">
      <alignment horizontal="center" vertical="center"/>
    </xf>
    <xf numFmtId="2" fontId="0" fillId="21" borderId="29" xfId="0" applyNumberFormat="1" applyFont="1" applyFill="1" applyBorder="1" applyAlignment="1">
      <alignment horizontal="center" vertical="center"/>
    </xf>
    <xf numFmtId="2" fontId="0" fillId="23" borderId="29" xfId="0" applyNumberFormat="1" applyFont="1" applyFill="1" applyBorder="1" applyAlignment="1">
      <alignment horizontal="center" vertical="center"/>
    </xf>
    <xf numFmtId="0" fontId="0" fillId="23" borderId="29" xfId="0" applyFont="1" applyFill="1" applyBorder="1" applyAlignment="1">
      <alignment horizontal="center" vertical="center"/>
    </xf>
    <xf numFmtId="0" fontId="0" fillId="10" borderId="29" xfId="0" applyFont="1" applyFill="1" applyBorder="1" applyAlignment="1">
      <alignment horizontal="center"/>
    </xf>
    <xf numFmtId="2" fontId="0" fillId="10" borderId="29" xfId="0" applyNumberFormat="1" applyFont="1" applyFill="1" applyBorder="1" applyAlignment="1">
      <alignment horizontal="center" vertical="center" wrapText="1"/>
    </xf>
    <xf numFmtId="0" fontId="0" fillId="13" borderId="29" xfId="0" applyFont="1" applyFill="1" applyBorder="1" applyAlignment="1">
      <alignment horizontal="left" vertical="center"/>
    </xf>
    <xf numFmtId="0" fontId="0" fillId="13" borderId="29" xfId="0" applyFont="1" applyFill="1" applyBorder="1"/>
    <xf numFmtId="0" fontId="0" fillId="13" borderId="29" xfId="0" applyFont="1" applyFill="1" applyBorder="1" applyAlignment="1">
      <alignment horizontal="center"/>
    </xf>
    <xf numFmtId="0" fontId="0" fillId="13" borderId="29" xfId="0" applyFont="1" applyFill="1" applyBorder="1" applyAlignment="1">
      <alignment wrapText="1"/>
    </xf>
    <xf numFmtId="0" fontId="0" fillId="22" borderId="29" xfId="0" applyFill="1" applyBorder="1" applyAlignment="1">
      <alignment horizontal="left" vertical="center" wrapText="1"/>
    </xf>
    <xf numFmtId="0" fontId="0" fillId="22" borderId="29" xfId="0" applyFill="1" applyBorder="1" applyAlignment="1">
      <alignment horizontal="center" vertical="center" wrapText="1"/>
    </xf>
    <xf numFmtId="0" fontId="0" fillId="22" borderId="29" xfId="0" applyFill="1" applyBorder="1" applyAlignment="1">
      <alignment horizontal="center" vertical="center"/>
    </xf>
    <xf numFmtId="4" fontId="0" fillId="13" borderId="27" xfId="0" applyNumberFormat="1" applyFill="1" applyBorder="1" applyAlignment="1">
      <alignment vertical="center"/>
    </xf>
    <xf numFmtId="4" fontId="0" fillId="13" borderId="29" xfId="0" applyNumberFormat="1" applyFill="1" applyBorder="1" applyAlignment="1">
      <alignment vertical="center"/>
    </xf>
    <xf numFmtId="4" fontId="0" fillId="6" borderId="29" xfId="0" applyNumberFormat="1" applyFill="1" applyBorder="1" applyAlignment="1">
      <alignment vertical="center"/>
    </xf>
    <xf numFmtId="4" fontId="0" fillId="21" borderId="29" xfId="0" applyNumberFormat="1" applyFill="1" applyBorder="1" applyAlignment="1">
      <alignment vertical="center"/>
    </xf>
    <xf numFmtId="4" fontId="0" fillId="21" borderId="89" xfId="0" applyNumberFormat="1" applyFill="1" applyBorder="1" applyAlignment="1">
      <alignment vertical="center"/>
    </xf>
    <xf numFmtId="0" fontId="0" fillId="23" borderId="29" xfId="0" applyFont="1" applyFill="1" applyBorder="1" applyAlignment="1">
      <alignment horizontal="left" vertical="center"/>
    </xf>
    <xf numFmtId="0" fontId="0" fillId="23" borderId="29" xfId="0" applyFont="1" applyFill="1" applyBorder="1"/>
    <xf numFmtId="0" fontId="0" fillId="23" borderId="29" xfId="0" applyFont="1" applyFill="1" applyBorder="1" applyAlignment="1">
      <alignment horizontal="center"/>
    </xf>
    <xf numFmtId="0" fontId="0" fillId="13" borderId="27" xfId="0" applyFont="1" applyFill="1" applyBorder="1" applyAlignment="1">
      <alignment horizontal="left" vertical="center"/>
    </xf>
    <xf numFmtId="0" fontId="0" fillId="13" borderId="27" xfId="0" applyFont="1" applyFill="1" applyBorder="1" applyAlignment="1">
      <alignment horizontal="center" vertical="center"/>
    </xf>
    <xf numFmtId="0" fontId="0" fillId="13" borderId="27" xfId="0" applyFill="1" applyBorder="1" applyAlignment="1">
      <alignment horizontal="center" vertical="center"/>
    </xf>
    <xf numFmtId="2" fontId="0" fillId="13" borderId="27" xfId="0" applyNumberFormat="1" applyFont="1" applyFill="1" applyBorder="1" applyAlignment="1">
      <alignment horizontal="center" vertical="center"/>
    </xf>
    <xf numFmtId="4" fontId="0" fillId="10" borderId="29" xfId="0" applyNumberFormat="1" applyFont="1" applyFill="1" applyBorder="1" applyAlignment="1">
      <alignment horizontal="center" vertical="center" wrapText="1"/>
    </xf>
    <xf numFmtId="0" fontId="0" fillId="23" borderId="29" xfId="0" applyFont="1" applyFill="1" applyBorder="1" applyAlignment="1">
      <alignment vertical="center" wrapText="1"/>
    </xf>
    <xf numFmtId="2" fontId="0" fillId="10" borderId="29" xfId="0" applyNumberFormat="1" applyFont="1" applyFill="1" applyBorder="1" applyAlignment="1">
      <alignment horizontal="right" vertical="center"/>
    </xf>
    <xf numFmtId="2" fontId="0" fillId="13" borderId="29" xfId="0" applyNumberFormat="1" applyFont="1" applyFill="1" applyBorder="1" applyAlignment="1">
      <alignment vertical="center"/>
    </xf>
    <xf numFmtId="0" fontId="0" fillId="23" borderId="29" xfId="0" applyFont="1" applyFill="1" applyBorder="1" applyAlignment="1">
      <alignment vertical="center"/>
    </xf>
    <xf numFmtId="2" fontId="0" fillId="23" borderId="29" xfId="0" applyNumberFormat="1" applyFont="1" applyFill="1" applyBorder="1" applyAlignment="1">
      <alignment vertical="center"/>
    </xf>
    <xf numFmtId="2" fontId="0" fillId="22" borderId="29" xfId="0" applyNumberFormat="1" applyFont="1" applyFill="1" applyBorder="1" applyAlignment="1">
      <alignment horizontal="center" vertical="center"/>
    </xf>
    <xf numFmtId="4" fontId="0" fillId="13" borderId="88" xfId="0" applyNumberFormat="1" applyFill="1" applyBorder="1" applyAlignment="1">
      <alignment horizontal="center" vertical="center"/>
    </xf>
    <xf numFmtId="4" fontId="0" fillId="13" borderId="89" xfId="0" applyNumberFormat="1" applyFill="1" applyBorder="1" applyAlignment="1">
      <alignment horizontal="center" vertical="center"/>
    </xf>
    <xf numFmtId="4" fontId="0" fillId="13" borderId="114" xfId="0" applyNumberFormat="1" applyFill="1" applyBorder="1" applyAlignment="1">
      <alignment horizontal="center" vertical="center"/>
    </xf>
    <xf numFmtId="4" fontId="0" fillId="10" borderId="89" xfId="0" applyNumberFormat="1" applyFill="1" applyBorder="1" applyAlignment="1">
      <alignment vertical="center"/>
    </xf>
    <xf numFmtId="4" fontId="0" fillId="13" borderId="133" xfId="0" applyNumberFormat="1" applyFill="1" applyBorder="1" applyAlignment="1">
      <alignment horizontal="center" vertical="center"/>
    </xf>
    <xf numFmtId="0" fontId="19" fillId="0" borderId="125" xfId="0" applyFont="1" applyFill="1" applyBorder="1" applyAlignment="1">
      <alignment horizontal="center" vertical="center" wrapText="1"/>
    </xf>
    <xf numFmtId="4" fontId="0" fillId="0" borderId="0" xfId="0" applyNumberFormat="1"/>
    <xf numFmtId="2" fontId="0" fillId="10" borderId="29" xfId="0" applyNumberFormat="1" applyFill="1" applyBorder="1" applyAlignment="1">
      <alignment horizontal="right" vertical="center"/>
    </xf>
    <xf numFmtId="4" fontId="19" fillId="0" borderId="72" xfId="0" applyNumberFormat="1" applyFont="1" applyBorder="1"/>
    <xf numFmtId="2" fontId="0" fillId="13" borderId="89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/>
    </xf>
    <xf numFmtId="0" fontId="19" fillId="0" borderId="78" xfId="0" applyFont="1" applyFill="1" applyBorder="1" applyAlignment="1">
      <alignment horizontal="center" vertical="center" wrapText="1"/>
    </xf>
    <xf numFmtId="2" fontId="0" fillId="0" borderId="89" xfId="0" applyNumberFormat="1" applyFont="1" applyFill="1" applyBorder="1" applyAlignment="1">
      <alignment horizontal="center" vertical="center"/>
    </xf>
    <xf numFmtId="2" fontId="0" fillId="0" borderId="135" xfId="0" applyNumberFormat="1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4" fontId="0" fillId="10" borderId="88" xfId="0" applyNumberFormat="1" applyFill="1" applyBorder="1" applyAlignment="1">
      <alignment horizontal="center" vertical="center"/>
    </xf>
    <xf numFmtId="4" fontId="0" fillId="10" borderId="89" xfId="0" applyNumberFormat="1" applyFill="1" applyBorder="1" applyAlignment="1">
      <alignment horizontal="center" vertical="center"/>
    </xf>
    <xf numFmtId="4" fontId="0" fillId="10" borderId="114" xfId="0" applyNumberFormat="1" applyFill="1" applyBorder="1" applyAlignment="1">
      <alignment horizontal="center" vertical="center"/>
    </xf>
    <xf numFmtId="2" fontId="0" fillId="13" borderId="88" xfId="0" applyNumberFormat="1" applyFont="1" applyFill="1" applyBorder="1" applyAlignment="1">
      <alignment horizontal="center" vertical="center"/>
    </xf>
    <xf numFmtId="2" fontId="0" fillId="13" borderId="114" xfId="0" applyNumberFormat="1" applyFont="1" applyFill="1" applyBorder="1" applyAlignment="1">
      <alignment horizontal="center" vertical="center"/>
    </xf>
    <xf numFmtId="2" fontId="0" fillId="21" borderId="29" xfId="0" applyNumberFormat="1" applyFont="1" applyFill="1" applyBorder="1" applyAlignment="1">
      <alignment vertical="center"/>
    </xf>
    <xf numFmtId="2" fontId="0" fillId="13" borderId="88" xfId="0" applyNumberFormat="1" applyFont="1" applyFill="1" applyBorder="1" applyAlignment="1">
      <alignment vertical="center"/>
    </xf>
    <xf numFmtId="2" fontId="0" fillId="13" borderId="89" xfId="0" applyNumberFormat="1" applyFont="1" applyFill="1" applyBorder="1" applyAlignment="1">
      <alignment vertical="center"/>
    </xf>
    <xf numFmtId="2" fontId="0" fillId="13" borderId="114" xfId="0" applyNumberFormat="1" applyFont="1" applyFill="1" applyBorder="1" applyAlignment="1">
      <alignment vertical="center"/>
    </xf>
    <xf numFmtId="4" fontId="0" fillId="21" borderId="88" xfId="0" applyNumberFormat="1" applyFill="1" applyBorder="1" applyAlignment="1">
      <alignment vertical="center"/>
    </xf>
    <xf numFmtId="0" fontId="0" fillId="24" borderId="29" xfId="0" applyFont="1" applyFill="1" applyBorder="1" applyAlignment="1">
      <alignment horizontal="left" vertical="center" wrapText="1"/>
    </xf>
    <xf numFmtId="2" fontId="0" fillId="24" borderId="29" xfId="0" applyNumberFormat="1" applyFont="1" applyFill="1" applyBorder="1" applyAlignment="1">
      <alignment horizontal="center" vertical="center" wrapText="1"/>
    </xf>
    <xf numFmtId="4" fontId="0" fillId="24" borderId="29" xfId="0" applyNumberFormat="1" applyFont="1" applyFill="1" applyBorder="1" applyAlignment="1">
      <alignment horizontal="center" vertical="center"/>
    </xf>
    <xf numFmtId="0" fontId="0" fillId="24" borderId="29" xfId="0" applyFont="1" applyFill="1" applyBorder="1" applyAlignment="1">
      <alignment horizontal="center" vertical="center" wrapText="1"/>
    </xf>
    <xf numFmtId="2" fontId="0" fillId="24" borderId="29" xfId="0" applyNumberFormat="1" applyFont="1" applyFill="1" applyBorder="1" applyAlignment="1">
      <alignment horizontal="center" vertical="center"/>
    </xf>
    <xf numFmtId="2" fontId="0" fillId="24" borderId="89" xfId="0" applyNumberFormat="1" applyFont="1" applyFill="1" applyBorder="1" applyAlignment="1">
      <alignment horizontal="center" vertical="center"/>
    </xf>
    <xf numFmtId="4" fontId="0" fillId="24" borderId="29" xfId="0" applyNumberFormat="1" applyFill="1" applyBorder="1" applyAlignment="1">
      <alignment vertical="center"/>
    </xf>
    <xf numFmtId="0" fontId="0" fillId="24" borderId="29" xfId="0" applyFont="1" applyFill="1" applyBorder="1" applyAlignment="1">
      <alignment horizontal="center" vertical="center"/>
    </xf>
    <xf numFmtId="2" fontId="0" fillId="24" borderId="29" xfId="0" applyNumberFormat="1" applyFont="1" applyFill="1" applyBorder="1" applyAlignment="1">
      <alignment vertical="center"/>
    </xf>
    <xf numFmtId="0" fontId="0" fillId="24" borderId="29" xfId="0" applyFont="1" applyFill="1" applyBorder="1" applyAlignment="1">
      <alignment horizontal="left" vertical="center"/>
    </xf>
    <xf numFmtId="0" fontId="0" fillId="24" borderId="29" xfId="0" applyFont="1" applyFill="1" applyBorder="1"/>
    <xf numFmtId="0" fontId="0" fillId="24" borderId="29" xfId="0" applyFont="1" applyFill="1" applyBorder="1" applyAlignment="1">
      <alignment horizontal="center"/>
    </xf>
    <xf numFmtId="43" fontId="19" fillId="0" borderId="0" xfId="0" applyNumberFormat="1" applyFont="1" applyBorder="1" applyAlignment="1">
      <alignment horizontal="center"/>
    </xf>
    <xf numFmtId="43" fontId="0" fillId="22" borderId="29" xfId="2" applyFont="1" applyFill="1" applyBorder="1" applyAlignment="1">
      <alignment vertical="center"/>
    </xf>
    <xf numFmtId="43" fontId="0" fillId="0" borderId="0" xfId="0" applyNumberFormat="1"/>
    <xf numFmtId="0" fontId="0" fillId="24" borderId="28" xfId="0" quotePrefix="1" applyFill="1" applyBorder="1"/>
    <xf numFmtId="43" fontId="0" fillId="24" borderId="29" xfId="0" applyNumberFormat="1" applyFill="1" applyBorder="1" applyAlignment="1">
      <alignment horizontal="center" vertical="center"/>
    </xf>
    <xf numFmtId="168" fontId="0" fillId="24" borderId="29" xfId="0" applyNumberFormat="1" applyFill="1" applyBorder="1" applyAlignment="1">
      <alignment horizontal="center" vertical="center"/>
    </xf>
    <xf numFmtId="43" fontId="0" fillId="24" borderId="29" xfId="2" applyFont="1" applyFill="1" applyBorder="1"/>
    <xf numFmtId="0" fontId="0" fillId="24" borderId="30" xfId="0" applyFill="1" applyBorder="1" applyAlignment="1">
      <alignment horizontal="center" vertical="center"/>
    </xf>
    <xf numFmtId="0" fontId="0" fillId="23" borderId="28" xfId="0" quotePrefix="1" applyFill="1" applyBorder="1"/>
    <xf numFmtId="43" fontId="0" fillId="23" borderId="29" xfId="0" applyNumberFormat="1" applyFill="1" applyBorder="1" applyAlignment="1">
      <alignment horizontal="center" vertical="center"/>
    </xf>
    <xf numFmtId="168" fontId="0" fillId="23" borderId="29" xfId="0" applyNumberFormat="1" applyFill="1" applyBorder="1" applyAlignment="1">
      <alignment horizontal="center" vertical="center"/>
    </xf>
    <xf numFmtId="43" fontId="0" fillId="23" borderId="29" xfId="2" applyFont="1" applyFill="1" applyBorder="1"/>
    <xf numFmtId="0" fontId="0" fillId="21" borderId="28" xfId="0" quotePrefix="1" applyFill="1" applyBorder="1"/>
    <xf numFmtId="43" fontId="0" fillId="21" borderId="29" xfId="0" applyNumberFormat="1" applyFill="1" applyBorder="1" applyAlignment="1">
      <alignment horizontal="center" vertical="center"/>
    </xf>
    <xf numFmtId="168" fontId="0" fillId="21" borderId="29" xfId="0" applyNumberFormat="1" applyFill="1" applyBorder="1" applyAlignment="1">
      <alignment horizontal="center" vertical="center"/>
    </xf>
    <xf numFmtId="43" fontId="0" fillId="21" borderId="29" xfId="2" applyFont="1" applyFill="1" applyBorder="1"/>
    <xf numFmtId="0" fontId="0" fillId="21" borderId="30" xfId="0" applyFill="1" applyBorder="1" applyAlignment="1">
      <alignment horizontal="center" vertical="center"/>
    </xf>
    <xf numFmtId="0" fontId="0" fillId="16" borderId="28" xfId="0" quotePrefix="1" applyFill="1" applyBorder="1" applyAlignment="1">
      <alignment wrapText="1"/>
    </xf>
    <xf numFmtId="43" fontId="0" fillId="16" borderId="29" xfId="0" applyNumberFormat="1" applyFill="1" applyBorder="1" applyAlignment="1">
      <alignment horizontal="center" vertical="center"/>
    </xf>
    <xf numFmtId="168" fontId="0" fillId="16" borderId="29" xfId="0" applyNumberFormat="1" applyFill="1" applyBorder="1" applyAlignment="1">
      <alignment horizontal="center" vertical="center"/>
    </xf>
    <xf numFmtId="43" fontId="0" fillId="16" borderId="29" xfId="2" applyFont="1" applyFill="1" applyBorder="1" applyAlignment="1">
      <alignment vertical="center"/>
    </xf>
    <xf numFmtId="0" fontId="0" fillId="16" borderId="30" xfId="0" applyFill="1" applyBorder="1" applyAlignment="1">
      <alignment horizontal="center" vertical="center"/>
    </xf>
    <xf numFmtId="4" fontId="0" fillId="0" borderId="29" xfId="0" applyNumberFormat="1" applyFill="1" applyBorder="1"/>
    <xf numFmtId="0" fontId="0" fillId="10" borderId="28" xfId="0" quotePrefix="1" applyFill="1" applyBorder="1" applyAlignment="1">
      <alignment wrapText="1"/>
    </xf>
    <xf numFmtId="43" fontId="0" fillId="10" borderId="29" xfId="0" applyNumberFormat="1" applyFill="1" applyBorder="1" applyAlignment="1">
      <alignment horizontal="center" vertical="center"/>
    </xf>
    <xf numFmtId="168" fontId="0" fillId="10" borderId="29" xfId="0" applyNumberFormat="1" applyFill="1" applyBorder="1" applyAlignment="1">
      <alignment horizontal="center" vertical="center"/>
    </xf>
    <xf numFmtId="43" fontId="0" fillId="10" borderId="29" xfId="2" applyFont="1" applyFill="1" applyBorder="1"/>
    <xf numFmtId="4" fontId="40" fillId="15" borderId="88" xfId="0" applyNumberFormat="1" applyFont="1" applyFill="1" applyBorder="1" applyAlignment="1">
      <alignment horizontal="center" vertical="center"/>
    </xf>
    <xf numFmtId="2" fontId="0" fillId="22" borderId="122" xfId="0" applyNumberFormat="1" applyFont="1" applyFill="1" applyBorder="1" applyAlignment="1">
      <alignment horizontal="right" vertical="center"/>
    </xf>
    <xf numFmtId="3" fontId="19" fillId="15" borderId="88" xfId="0" applyNumberFormat="1" applyFont="1" applyFill="1" applyBorder="1" applyAlignment="1">
      <alignment horizontal="right" vertical="center"/>
    </xf>
    <xf numFmtId="0" fontId="4" fillId="0" borderId="22" xfId="0" applyFont="1" applyBorder="1" applyAlignment="1">
      <alignment horizontal="center" vertical="center"/>
    </xf>
    <xf numFmtId="4" fontId="34" fillId="17" borderId="27" xfId="0" applyNumberFormat="1" applyFont="1" applyFill="1" applyBorder="1" applyAlignment="1">
      <alignment vertical="center" wrapText="1"/>
    </xf>
    <xf numFmtId="4" fontId="34" fillId="17" borderId="29" xfId="0" applyNumberFormat="1" applyFont="1" applyFill="1" applyBorder="1" applyAlignment="1">
      <alignment vertical="center" wrapText="1"/>
    </xf>
    <xf numFmtId="4" fontId="34" fillId="14" borderId="29" xfId="0" applyNumberFormat="1" applyFont="1" applyFill="1" applyBorder="1" applyAlignment="1">
      <alignment vertical="center" wrapText="1"/>
    </xf>
    <xf numFmtId="4" fontId="34" fillId="16" borderId="29" xfId="0" applyNumberFormat="1" applyFont="1" applyFill="1" applyBorder="1" applyAlignment="1">
      <alignment vertical="center" wrapText="1"/>
    </xf>
    <xf numFmtId="4" fontId="34" fillId="16" borderId="32" xfId="0" applyNumberFormat="1" applyFont="1" applyFill="1" applyBorder="1" applyAlignment="1">
      <alignment vertical="center" wrapText="1"/>
    </xf>
    <xf numFmtId="3" fontId="0" fillId="0" borderId="75" xfId="0" applyNumberFormat="1" applyBorder="1" applyAlignment="1">
      <alignment horizontal="right" vertical="center"/>
    </xf>
    <xf numFmtId="3" fontId="0" fillId="0" borderId="75" xfId="0" applyNumberFormat="1" applyBorder="1" applyAlignment="1">
      <alignment horizontal="right"/>
    </xf>
    <xf numFmtId="171" fontId="19" fillId="0" borderId="0" xfId="0" applyNumberFormat="1" applyFont="1" applyAlignment="1">
      <alignment horizontal="center" vertical="center"/>
    </xf>
    <xf numFmtId="0" fontId="33" fillId="0" borderId="29" xfId="0" applyFont="1" applyBorder="1" applyAlignment="1">
      <alignment horizontal="center" vertical="center" wrapText="1"/>
    </xf>
    <xf numFmtId="0" fontId="0" fillId="13" borderId="29" xfId="0" applyFont="1" applyFill="1" applyBorder="1" applyAlignment="1">
      <alignment horizontal="center" vertical="center"/>
    </xf>
    <xf numFmtId="0" fontId="0" fillId="13" borderId="88" xfId="0" applyFont="1" applyFill="1" applyBorder="1" applyAlignment="1">
      <alignment horizontal="center" vertical="center"/>
    </xf>
    <xf numFmtId="0" fontId="0" fillId="13" borderId="29" xfId="0" applyFill="1" applyBorder="1" applyAlignment="1">
      <alignment horizontal="center" vertical="center"/>
    </xf>
    <xf numFmtId="2" fontId="0" fillId="13" borderId="29" xfId="0" applyNumberFormat="1" applyFont="1" applyFill="1" applyBorder="1" applyAlignment="1">
      <alignment horizontal="center" vertical="center"/>
    </xf>
    <xf numFmtId="0" fontId="0" fillId="13" borderId="29" xfId="0" applyFont="1" applyFill="1" applyBorder="1" applyAlignment="1">
      <alignment horizontal="center" vertical="center" wrapText="1"/>
    </xf>
    <xf numFmtId="172" fontId="19" fillId="15" borderId="88" xfId="0" applyNumberFormat="1" applyFont="1" applyFill="1" applyBorder="1" applyAlignment="1">
      <alignment horizontal="right" vertical="center"/>
    </xf>
    <xf numFmtId="1" fontId="19" fillId="0" borderId="0" xfId="0" applyNumberFormat="1" applyFont="1" applyFill="1" applyBorder="1" applyAlignment="1">
      <alignment horizontal="center" vertical="center"/>
    </xf>
    <xf numFmtId="170" fontId="0" fillId="13" borderId="27" xfId="0" applyNumberFormat="1" applyFont="1" applyFill="1" applyBorder="1" applyAlignment="1">
      <alignment horizontal="center" vertical="center"/>
    </xf>
    <xf numFmtId="170" fontId="0" fillId="10" borderId="29" xfId="0" applyNumberFormat="1" applyFont="1" applyFill="1" applyBorder="1" applyAlignment="1">
      <alignment horizontal="center" vertical="center" wrapText="1"/>
    </xf>
    <xf numFmtId="170" fontId="0" fillId="13" borderId="29" xfId="0" applyNumberFormat="1" applyFont="1" applyFill="1" applyBorder="1" applyAlignment="1">
      <alignment horizontal="center" vertical="center" wrapText="1"/>
    </xf>
    <xf numFmtId="170" fontId="0" fillId="21" borderId="29" xfId="0" applyNumberFormat="1" applyFont="1" applyFill="1" applyBorder="1" applyAlignment="1">
      <alignment horizontal="center" vertical="center" wrapText="1"/>
    </xf>
    <xf numFmtId="170" fontId="0" fillId="24" borderId="29" xfId="0" applyNumberFormat="1" applyFont="1" applyFill="1" applyBorder="1" applyAlignment="1">
      <alignment horizontal="center" vertical="center" wrapText="1"/>
    </xf>
    <xf numFmtId="170" fontId="0" fillId="10" borderId="29" xfId="0" applyNumberFormat="1" applyFont="1" applyFill="1" applyBorder="1" applyAlignment="1">
      <alignment horizontal="center" vertical="center"/>
    </xf>
    <xf numFmtId="170" fontId="0" fillId="13" borderId="29" xfId="0" applyNumberFormat="1" applyFont="1" applyFill="1" applyBorder="1" applyAlignment="1">
      <alignment horizontal="center" vertical="center"/>
    </xf>
    <xf numFmtId="170" fontId="0" fillId="23" borderId="29" xfId="0" applyNumberFormat="1" applyFont="1" applyFill="1" applyBorder="1" applyAlignment="1">
      <alignment horizontal="center" vertical="center"/>
    </xf>
    <xf numFmtId="170" fontId="0" fillId="24" borderId="29" xfId="0" applyNumberFormat="1" applyFont="1" applyFill="1" applyBorder="1" applyAlignment="1">
      <alignment horizontal="center" vertical="center"/>
    </xf>
    <xf numFmtId="170" fontId="0" fillId="23" borderId="29" xfId="0" applyNumberFormat="1" applyFont="1" applyFill="1" applyBorder="1" applyAlignment="1">
      <alignment horizontal="center" vertical="center" wrapText="1"/>
    </xf>
    <xf numFmtId="174" fontId="0" fillId="22" borderId="29" xfId="0" applyNumberFormat="1" applyFill="1" applyBorder="1" applyAlignment="1">
      <alignment horizontal="center" vertical="center"/>
    </xf>
    <xf numFmtId="1" fontId="0" fillId="22" borderId="29" xfId="0" applyNumberFormat="1" applyFill="1" applyBorder="1" applyAlignment="1">
      <alignment horizontal="center" vertical="center"/>
    </xf>
    <xf numFmtId="170" fontId="0" fillId="0" borderId="72" xfId="0" applyNumberFormat="1" applyBorder="1"/>
    <xf numFmtId="175" fontId="19" fillId="4" borderId="111" xfId="0" applyNumberFormat="1" applyFont="1" applyFill="1" applyBorder="1" applyAlignment="1">
      <alignment horizontal="center" vertical="center"/>
    </xf>
    <xf numFmtId="176" fontId="19" fillId="4" borderId="111" xfId="0" applyNumberFormat="1" applyFont="1" applyFill="1" applyBorder="1" applyAlignment="1">
      <alignment horizontal="center" vertical="center"/>
    </xf>
    <xf numFmtId="177" fontId="19" fillId="0" borderId="127" xfId="0" applyNumberFormat="1" applyFont="1" applyBorder="1" applyAlignment="1">
      <alignment horizontal="right" vertical="center"/>
    </xf>
    <xf numFmtId="170" fontId="39" fillId="0" borderId="72" xfId="0" applyNumberFormat="1" applyFont="1" applyBorder="1"/>
    <xf numFmtId="172" fontId="39" fillId="0" borderId="72" xfId="0" applyNumberFormat="1" applyFont="1" applyBorder="1"/>
    <xf numFmtId="0" fontId="32" fillId="0" borderId="29" xfId="0" applyFont="1" applyBorder="1" applyAlignment="1">
      <alignment horizontal="justify" vertical="center" wrapText="1"/>
    </xf>
    <xf numFmtId="0" fontId="32" fillId="5" borderId="29" xfId="0" applyFont="1" applyFill="1" applyBorder="1" applyAlignment="1">
      <alignment horizontal="justify" vertical="center" wrapText="1"/>
    </xf>
    <xf numFmtId="4" fontId="32" fillId="5" borderId="29" xfId="0" applyNumberFormat="1" applyFont="1" applyFill="1" applyBorder="1" applyAlignment="1">
      <alignment horizontal="center" vertical="center" wrapText="1"/>
    </xf>
    <xf numFmtId="0" fontId="33" fillId="0" borderId="88" xfId="0" applyFont="1" applyBorder="1" applyAlignment="1">
      <alignment vertical="center" wrapText="1"/>
    </xf>
    <xf numFmtId="4" fontId="32" fillId="0" borderId="88" xfId="0" applyNumberFormat="1" applyFont="1" applyBorder="1" applyAlignment="1">
      <alignment horizontal="right" vertical="center" wrapText="1"/>
    </xf>
    <xf numFmtId="4" fontId="32" fillId="5" borderId="88" xfId="0" applyNumberFormat="1" applyFont="1" applyFill="1" applyBorder="1" applyAlignment="1">
      <alignment horizontal="center" vertical="center" wrapText="1"/>
    </xf>
    <xf numFmtId="0" fontId="0" fillId="13" borderId="88" xfId="0" applyFill="1" applyBorder="1" applyAlignment="1">
      <alignment horizontal="center" vertical="center"/>
    </xf>
    <xf numFmtId="170" fontId="0" fillId="13" borderId="88" xfId="0" applyNumberFormat="1" applyFont="1" applyFill="1" applyBorder="1" applyAlignment="1">
      <alignment horizontal="center" vertical="center"/>
    </xf>
    <xf numFmtId="4" fontId="0" fillId="15" borderId="88" xfId="0" applyNumberFormat="1" applyFont="1" applyFill="1" applyBorder="1" applyAlignment="1">
      <alignment horizontal="center" vertical="center"/>
    </xf>
    <xf numFmtId="4" fontId="39" fillId="0" borderId="23" xfId="0" applyNumberFormat="1" applyFont="1" applyBorder="1" applyAlignment="1">
      <alignment horizontal="center"/>
    </xf>
    <xf numFmtId="170" fontId="39" fillId="0" borderId="72" xfId="0" applyNumberFormat="1" applyFont="1" applyBorder="1" applyAlignment="1">
      <alignment horizontal="center"/>
    </xf>
    <xf numFmtId="4" fontId="35" fillId="0" borderId="72" xfId="0" applyNumberFormat="1" applyFont="1" applyBorder="1" applyAlignment="1">
      <alignment horizontal="right" vertical="center"/>
    </xf>
    <xf numFmtId="0" fontId="0" fillId="0" borderId="137" xfId="0" applyBorder="1" applyAlignment="1">
      <alignment vertical="center"/>
    </xf>
    <xf numFmtId="0" fontId="0" fillId="17" borderId="26" xfId="0" applyFont="1" applyFill="1" applyBorder="1" applyAlignment="1">
      <alignment horizontal="center" vertical="center"/>
    </xf>
    <xf numFmtId="0" fontId="0" fillId="17" borderId="27" xfId="0" applyFont="1" applyFill="1" applyBorder="1" applyAlignment="1">
      <alignment horizontal="center" vertical="center"/>
    </xf>
    <xf numFmtId="0" fontId="41" fillId="17" borderId="27" xfId="0" applyFont="1" applyFill="1" applyBorder="1" applyAlignment="1">
      <alignment horizontal="justify" vertical="center" wrapText="1"/>
    </xf>
    <xf numFmtId="4" fontId="41" fillId="17" borderId="27" xfId="0" applyNumberFormat="1" applyFont="1" applyFill="1" applyBorder="1" applyAlignment="1">
      <alignment vertical="center" wrapText="1"/>
    </xf>
    <xf numFmtId="3" fontId="41" fillId="17" borderId="27" xfId="0" applyNumberFormat="1" applyFont="1" applyFill="1" applyBorder="1" applyAlignment="1">
      <alignment horizontal="center" vertical="center" wrapText="1"/>
    </xf>
    <xf numFmtId="4" fontId="41" fillId="17" borderId="27" xfId="0" applyNumberFormat="1" applyFont="1" applyFill="1" applyBorder="1" applyAlignment="1">
      <alignment horizontal="center" vertical="center" wrapText="1"/>
    </xf>
    <xf numFmtId="0" fontId="0" fillId="17" borderId="28" xfId="0" applyFont="1" applyFill="1" applyBorder="1" applyAlignment="1">
      <alignment horizontal="center" vertical="center"/>
    </xf>
    <xf numFmtId="0" fontId="0" fillId="17" borderId="29" xfId="0" applyFont="1" applyFill="1" applyBorder="1" applyAlignment="1">
      <alignment horizontal="center" vertical="center"/>
    </xf>
    <xf numFmtId="0" fontId="41" fillId="17" borderId="29" xfId="0" applyFont="1" applyFill="1" applyBorder="1" applyAlignment="1">
      <alignment horizontal="left" vertical="center" wrapText="1"/>
    </xf>
    <xf numFmtId="4" fontId="41" fillId="17" borderId="29" xfId="0" applyNumberFormat="1" applyFont="1" applyFill="1" applyBorder="1" applyAlignment="1">
      <alignment vertical="center" wrapText="1"/>
    </xf>
    <xf numFmtId="3" fontId="41" fillId="17" borderId="29" xfId="0" applyNumberFormat="1" applyFont="1" applyFill="1" applyBorder="1" applyAlignment="1">
      <alignment horizontal="center" vertical="center" wrapText="1"/>
    </xf>
    <xf numFmtId="4" fontId="41" fillId="17" borderId="29" xfId="0" applyNumberFormat="1" applyFont="1" applyFill="1" applyBorder="1" applyAlignment="1">
      <alignment horizontal="center" vertical="center" wrapText="1"/>
    </xf>
    <xf numFmtId="0" fontId="41" fillId="17" borderId="29" xfId="0" applyFont="1" applyFill="1" applyBorder="1" applyAlignment="1">
      <alignment horizontal="justify" vertical="center" wrapText="1"/>
    </xf>
    <xf numFmtId="0" fontId="0" fillId="14" borderId="28" xfId="0" applyFont="1" applyFill="1" applyBorder="1" applyAlignment="1">
      <alignment horizontal="center" vertical="center"/>
    </xf>
    <xf numFmtId="0" fontId="0" fillId="14" borderId="29" xfId="0" applyFont="1" applyFill="1" applyBorder="1" applyAlignment="1">
      <alignment horizontal="center" vertical="center"/>
    </xf>
    <xf numFmtId="0" fontId="41" fillId="14" borderId="29" xfId="0" applyFont="1" applyFill="1" applyBorder="1" applyAlignment="1">
      <alignment horizontal="justify" vertical="center" wrapText="1"/>
    </xf>
    <xf numFmtId="4" fontId="41" fillId="14" borderId="29" xfId="0" applyNumberFormat="1" applyFont="1" applyFill="1" applyBorder="1" applyAlignment="1">
      <alignment vertical="center" wrapText="1"/>
    </xf>
    <xf numFmtId="3" fontId="41" fillId="14" borderId="29" xfId="0" applyNumberFormat="1" applyFont="1" applyFill="1" applyBorder="1" applyAlignment="1">
      <alignment horizontal="center" vertical="center" wrapText="1"/>
    </xf>
    <xf numFmtId="4" fontId="41" fillId="14" borderId="29" xfId="0" applyNumberFormat="1" applyFont="1" applyFill="1" applyBorder="1" applyAlignment="1">
      <alignment horizontal="center" vertical="center" wrapText="1"/>
    </xf>
    <xf numFmtId="0" fontId="0" fillId="16" borderId="28" xfId="0" applyFont="1" applyFill="1" applyBorder="1" applyAlignment="1">
      <alignment horizontal="center" vertical="center"/>
    </xf>
    <xf numFmtId="0" fontId="0" fillId="16" borderId="29" xfId="0" applyFont="1" applyFill="1" applyBorder="1" applyAlignment="1">
      <alignment horizontal="center" vertical="center"/>
    </xf>
    <xf numFmtId="0" fontId="41" fillId="16" borderId="29" xfId="0" applyFont="1" applyFill="1" applyBorder="1" applyAlignment="1">
      <alignment horizontal="justify" vertical="center" wrapText="1"/>
    </xf>
    <xf numFmtId="4" fontId="41" fillId="16" borderId="29" xfId="0" applyNumberFormat="1" applyFont="1" applyFill="1" applyBorder="1" applyAlignment="1">
      <alignment vertical="center" wrapText="1"/>
    </xf>
    <xf numFmtId="3" fontId="41" fillId="16" borderId="29" xfId="0" applyNumberFormat="1" applyFont="1" applyFill="1" applyBorder="1" applyAlignment="1">
      <alignment horizontal="center" vertical="center" wrapText="1"/>
    </xf>
    <xf numFmtId="4" fontId="41" fillId="16" borderId="29" xfId="0" applyNumberFormat="1" applyFont="1" applyFill="1" applyBorder="1" applyAlignment="1">
      <alignment horizontal="center" vertical="center" wrapText="1"/>
    </xf>
    <xf numFmtId="0" fontId="0" fillId="16" borderId="31" xfId="0" applyFont="1" applyFill="1" applyBorder="1" applyAlignment="1">
      <alignment horizontal="center" vertical="center"/>
    </xf>
    <xf numFmtId="0" fontId="0" fillId="16" borderId="32" xfId="0" applyFont="1" applyFill="1" applyBorder="1" applyAlignment="1">
      <alignment horizontal="center" vertical="center"/>
    </xf>
    <xf numFmtId="0" fontId="41" fillId="16" borderId="32" xfId="0" applyFont="1" applyFill="1" applyBorder="1" applyAlignment="1">
      <alignment horizontal="justify" vertical="center" wrapText="1"/>
    </xf>
    <xf numFmtId="4" fontId="41" fillId="16" borderId="32" xfId="0" applyNumberFormat="1" applyFont="1" applyFill="1" applyBorder="1" applyAlignment="1">
      <alignment vertical="center" wrapText="1"/>
    </xf>
    <xf numFmtId="4" fontId="41" fillId="16" borderId="32" xfId="0" applyNumberFormat="1" applyFont="1" applyFill="1" applyBorder="1" applyAlignment="1">
      <alignment horizontal="center" vertical="center" wrapText="1"/>
    </xf>
    <xf numFmtId="0" fontId="0" fillId="0" borderId="25" xfId="0" applyFont="1" applyBorder="1" applyAlignment="1">
      <alignment vertical="center"/>
    </xf>
    <xf numFmtId="1" fontId="42" fillId="0" borderId="72" xfId="0" applyNumberFormat="1" applyFont="1" applyBorder="1" applyAlignment="1">
      <alignment horizontal="center" vertical="center"/>
    </xf>
    <xf numFmtId="4" fontId="42" fillId="0" borderId="72" xfId="0" applyNumberFormat="1" applyFont="1" applyBorder="1" applyAlignment="1">
      <alignment horizontal="right" vertical="center"/>
    </xf>
    <xf numFmtId="0" fontId="0" fillId="0" borderId="0" xfId="0" applyFont="1" applyAlignment="1">
      <alignment horizontal="center" vertical="center"/>
    </xf>
    <xf numFmtId="171" fontId="0" fillId="0" borderId="0" xfId="0" applyNumberFormat="1" applyFont="1" applyAlignment="1">
      <alignment horizontal="center" vertical="center"/>
    </xf>
    <xf numFmtId="0" fontId="0" fillId="0" borderId="72" xfId="0" applyFont="1" applyBorder="1" applyAlignment="1">
      <alignment horizontal="center" vertical="center"/>
    </xf>
    <xf numFmtId="0" fontId="42" fillId="0" borderId="72" xfId="0" applyFont="1" applyFill="1" applyBorder="1" applyAlignment="1">
      <alignment horizontal="justify" vertical="center" wrapText="1"/>
    </xf>
    <xf numFmtId="2" fontId="43" fillId="0" borderId="72" xfId="0" applyNumberFormat="1" applyFont="1" applyBorder="1" applyAlignment="1">
      <alignment horizontal="center" vertical="center"/>
    </xf>
    <xf numFmtId="4" fontId="43" fillId="0" borderId="72" xfId="0" applyNumberFormat="1" applyFont="1" applyBorder="1" applyAlignment="1">
      <alignment horizontal="center" vertical="center"/>
    </xf>
    <xf numFmtId="169" fontId="43" fillId="0" borderId="72" xfId="0" applyNumberFormat="1" applyFont="1" applyBorder="1" applyAlignment="1">
      <alignment horizontal="center" vertical="center"/>
    </xf>
    <xf numFmtId="0" fontId="44" fillId="18" borderId="29" xfId="0" applyFont="1" applyFill="1" applyBorder="1" applyAlignment="1">
      <alignment horizontal="center" vertical="center"/>
    </xf>
    <xf numFmtId="0" fontId="44" fillId="19" borderId="29" xfId="0" applyFont="1" applyFill="1" applyBorder="1" applyAlignment="1">
      <alignment horizontal="center" vertical="center"/>
    </xf>
    <xf numFmtId="0" fontId="33" fillId="0" borderId="88" xfId="0" applyFont="1" applyBorder="1" applyAlignment="1">
      <alignment horizontal="center" vertical="center" wrapText="1"/>
    </xf>
    <xf numFmtId="0" fontId="32" fillId="0" borderId="88" xfId="0" applyFont="1" applyBorder="1" applyAlignment="1">
      <alignment horizontal="justify" vertical="center" wrapText="1"/>
    </xf>
    <xf numFmtId="0" fontId="19" fillId="0" borderId="89" xfId="0" applyFont="1" applyBorder="1" applyAlignment="1">
      <alignment horizontal="center"/>
    </xf>
    <xf numFmtId="0" fontId="3" fillId="0" borderId="89" xfId="0" applyFont="1" applyBorder="1"/>
    <xf numFmtId="0" fontId="0" fillId="0" borderId="26" xfId="0" applyBorder="1" applyAlignment="1">
      <alignment horizontal="center"/>
    </xf>
    <xf numFmtId="170" fontId="0" fillId="0" borderId="27" xfId="0" applyNumberFormat="1" applyBorder="1" applyAlignment="1">
      <alignment horizontal="center"/>
    </xf>
    <xf numFmtId="0" fontId="4" fillId="0" borderId="27" xfId="0" applyFont="1" applyBorder="1"/>
    <xf numFmtId="170" fontId="4" fillId="0" borderId="27" xfId="0" applyNumberFormat="1" applyFont="1" applyBorder="1"/>
    <xf numFmtId="0" fontId="4" fillId="0" borderId="110" xfId="0" applyFont="1" applyBorder="1"/>
    <xf numFmtId="0" fontId="0" fillId="0" borderId="31" xfId="0" applyBorder="1"/>
    <xf numFmtId="0" fontId="0" fillId="0" borderId="32" xfId="0" applyBorder="1"/>
    <xf numFmtId="170" fontId="0" fillId="0" borderId="32" xfId="0" applyNumberFormat="1" applyBorder="1"/>
    <xf numFmtId="0" fontId="0" fillId="0" borderId="111" xfId="0" applyBorder="1"/>
    <xf numFmtId="0" fontId="44" fillId="0" borderId="26" xfId="0" applyFont="1" applyBorder="1" applyAlignment="1">
      <alignment horizontal="center" vertical="center" wrapText="1"/>
    </xf>
    <xf numFmtId="0" fontId="44" fillId="0" borderId="27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38" fillId="0" borderId="27" xfId="0" applyFont="1" applyFill="1" applyBorder="1" applyAlignment="1">
      <alignment horizontal="center" vertical="center" wrapText="1"/>
    </xf>
    <xf numFmtId="4" fontId="44" fillId="0" borderId="27" xfId="0" applyNumberFormat="1" applyFont="1" applyBorder="1" applyAlignment="1">
      <alignment horizontal="right" vertical="center" wrapText="1"/>
    </xf>
    <xf numFmtId="173" fontId="44" fillId="0" borderId="27" xfId="0" applyNumberFormat="1" applyFont="1" applyBorder="1" applyAlignment="1">
      <alignment horizontal="center" vertical="center" wrapText="1"/>
    </xf>
    <xf numFmtId="3" fontId="44" fillId="0" borderId="27" xfId="0" applyNumberFormat="1" applyFont="1" applyBorder="1" applyAlignment="1">
      <alignment horizontal="center" vertical="center"/>
    </xf>
    <xf numFmtId="4" fontId="44" fillId="0" borderId="110" xfId="0" applyNumberFormat="1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center" vertical="center" wrapText="1"/>
    </xf>
    <xf numFmtId="0" fontId="44" fillId="0" borderId="29" xfId="0" applyFont="1" applyBorder="1" applyAlignment="1">
      <alignment vertical="center" wrapText="1"/>
    </xf>
    <xf numFmtId="0" fontId="38" fillId="0" borderId="29" xfId="0" applyFont="1" applyFill="1" applyBorder="1" applyAlignment="1">
      <alignment horizontal="center" vertical="center" wrapText="1"/>
    </xf>
    <xf numFmtId="4" fontId="44" fillId="0" borderId="29" xfId="0" applyNumberFormat="1" applyFont="1" applyBorder="1" applyAlignment="1">
      <alignment horizontal="right" vertical="center" wrapText="1"/>
    </xf>
    <xf numFmtId="3" fontId="44" fillId="0" borderId="29" xfId="0" applyNumberFormat="1" applyFont="1" applyBorder="1" applyAlignment="1">
      <alignment horizontal="center" vertical="center" wrapText="1"/>
    </xf>
    <xf numFmtId="3" fontId="44" fillId="0" borderId="29" xfId="0" applyNumberFormat="1" applyFont="1" applyBorder="1" applyAlignment="1">
      <alignment horizontal="center" vertical="center"/>
    </xf>
    <xf numFmtId="4" fontId="44" fillId="0" borderId="30" xfId="0" applyNumberFormat="1" applyFont="1" applyBorder="1" applyAlignment="1">
      <alignment horizontal="center" vertical="center" wrapText="1"/>
    </xf>
    <xf numFmtId="0" fontId="41" fillId="0" borderId="29" xfId="0" applyFont="1" applyBorder="1" applyAlignment="1">
      <alignment horizontal="center" vertical="center" wrapText="1"/>
    </xf>
    <xf numFmtId="4" fontId="44" fillId="0" borderId="29" xfId="0" applyNumberFormat="1" applyFont="1" applyBorder="1" applyAlignment="1">
      <alignment horizontal="center" vertical="center" wrapText="1"/>
    </xf>
    <xf numFmtId="173" fontId="44" fillId="0" borderId="29" xfId="0" applyNumberFormat="1" applyFont="1" applyBorder="1" applyAlignment="1">
      <alignment horizontal="center" vertical="center" wrapText="1"/>
    </xf>
    <xf numFmtId="0" fontId="44" fillId="0" borderId="31" xfId="0" applyFont="1" applyBorder="1" applyAlignment="1">
      <alignment horizontal="center" vertical="center" wrapText="1"/>
    </xf>
    <xf numFmtId="0" fontId="44" fillId="0" borderId="32" xfId="0" applyFont="1" applyBorder="1" applyAlignment="1">
      <alignment horizontal="center" vertical="center" wrapText="1"/>
    </xf>
    <xf numFmtId="0" fontId="44" fillId="0" borderId="32" xfId="0" applyFont="1" applyBorder="1" applyAlignment="1">
      <alignment vertical="center" wrapText="1"/>
    </xf>
    <xf numFmtId="0" fontId="38" fillId="0" borderId="32" xfId="0" applyFont="1" applyFill="1" applyBorder="1" applyAlignment="1">
      <alignment horizontal="center" vertical="center" wrapText="1"/>
    </xf>
    <xf numFmtId="4" fontId="44" fillId="0" borderId="32" xfId="0" applyNumberFormat="1" applyFont="1" applyBorder="1" applyAlignment="1">
      <alignment horizontal="right" vertical="center" wrapText="1"/>
    </xf>
    <xf numFmtId="3" fontId="44" fillId="0" borderId="32" xfId="0" applyNumberFormat="1" applyFont="1" applyBorder="1" applyAlignment="1">
      <alignment horizontal="center" vertical="center" wrapText="1"/>
    </xf>
    <xf numFmtId="3" fontId="44" fillId="0" borderId="32" xfId="0" applyNumberFormat="1" applyFont="1" applyBorder="1" applyAlignment="1">
      <alignment horizontal="center" vertical="center"/>
    </xf>
    <xf numFmtId="4" fontId="44" fillId="0" borderId="111" xfId="0" applyNumberFormat="1" applyFont="1" applyBorder="1" applyAlignment="1">
      <alignment horizontal="center" vertical="center" wrapText="1"/>
    </xf>
    <xf numFmtId="0" fontId="44" fillId="4" borderId="72" xfId="0" applyFont="1" applyFill="1" applyBorder="1" applyAlignment="1">
      <alignment horizontal="center" wrapText="1"/>
    </xf>
    <xf numFmtId="4" fontId="44" fillId="0" borderId="27" xfId="0" applyNumberFormat="1" applyFont="1" applyBorder="1" applyAlignment="1">
      <alignment horizontal="center" vertical="center"/>
    </xf>
    <xf numFmtId="4" fontId="44" fillId="0" borderId="29" xfId="0" applyNumberFormat="1" applyFont="1" applyBorder="1" applyAlignment="1">
      <alignment horizontal="center" vertical="center"/>
    </xf>
    <xf numFmtId="4" fontId="44" fillId="0" borderId="32" xfId="0" applyNumberFormat="1" applyFont="1" applyBorder="1" applyAlignment="1">
      <alignment horizontal="center" vertical="center"/>
    </xf>
    <xf numFmtId="173" fontId="0" fillId="0" borderId="0" xfId="0" applyNumberFormat="1" applyAlignment="1">
      <alignment vertical="center"/>
    </xf>
    <xf numFmtId="178" fontId="34" fillId="17" borderId="27" xfId="0" applyNumberFormat="1" applyFont="1" applyFill="1" applyBorder="1" applyAlignment="1">
      <alignment vertical="center" wrapText="1"/>
    </xf>
    <xf numFmtId="178" fontId="34" fillId="17" borderId="29" xfId="0" applyNumberFormat="1" applyFont="1" applyFill="1" applyBorder="1" applyAlignment="1">
      <alignment vertical="center" wrapText="1"/>
    </xf>
    <xf numFmtId="178" fontId="34" fillId="14" borderId="29" xfId="0" applyNumberFormat="1" applyFont="1" applyFill="1" applyBorder="1" applyAlignment="1">
      <alignment vertical="center" wrapText="1"/>
    </xf>
    <xf numFmtId="178" fontId="34" fillId="16" borderId="29" xfId="0" applyNumberFormat="1" applyFont="1" applyFill="1" applyBorder="1" applyAlignment="1">
      <alignment vertical="center" wrapText="1"/>
    </xf>
    <xf numFmtId="178" fontId="34" fillId="16" borderId="32" xfId="0" applyNumberFormat="1" applyFont="1" applyFill="1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88" xfId="0" applyBorder="1" applyAlignment="1">
      <alignment vertical="center" wrapText="1"/>
    </xf>
    <xf numFmtId="0" fontId="44" fillId="0" borderId="29" xfId="0" applyFont="1" applyBorder="1" applyAlignment="1">
      <alignment horizontal="center" vertical="center" wrapText="1"/>
    </xf>
    <xf numFmtId="4" fontId="45" fillId="0" borderId="72" xfId="0" applyNumberFormat="1" applyFont="1" applyBorder="1" applyAlignment="1">
      <alignment horizontal="right" vertical="center"/>
    </xf>
    <xf numFmtId="0" fontId="0" fillId="0" borderId="94" xfId="0" applyBorder="1" applyAlignment="1">
      <alignment horizontal="center"/>
    </xf>
    <xf numFmtId="0" fontId="0" fillId="0" borderId="89" xfId="0" applyBorder="1" applyAlignment="1">
      <alignment horizontal="center"/>
    </xf>
    <xf numFmtId="170" fontId="0" fillId="0" borderId="89" xfId="0" applyNumberFormat="1" applyBorder="1" applyAlignment="1">
      <alignment horizontal="center"/>
    </xf>
    <xf numFmtId="0" fontId="4" fillId="0" borderId="89" xfId="0" applyFont="1" applyBorder="1"/>
    <xf numFmtId="0" fontId="3" fillId="0" borderId="89" xfId="0" applyFont="1" applyBorder="1" applyAlignment="1">
      <alignment horizontal="center"/>
    </xf>
    <xf numFmtId="170" fontId="3" fillId="0" borderId="89" xfId="0" applyNumberFormat="1" applyFont="1" applyBorder="1" applyAlignment="1">
      <alignment horizontal="center"/>
    </xf>
    <xf numFmtId="0" fontId="3" fillId="0" borderId="95" xfId="0" applyFont="1" applyBorder="1" applyAlignment="1">
      <alignment horizontal="center"/>
    </xf>
    <xf numFmtId="0" fontId="32" fillId="0" borderId="114" xfId="0" applyFont="1" applyBorder="1" applyAlignment="1">
      <alignment horizontal="center" vertical="center" wrapText="1"/>
    </xf>
    <xf numFmtId="0" fontId="19" fillId="0" borderId="114" xfId="0" applyFont="1" applyBorder="1" applyAlignment="1">
      <alignment horizontal="center" vertical="center" wrapText="1"/>
    </xf>
    <xf numFmtId="0" fontId="19" fillId="15" borderId="114" xfId="0" applyFont="1" applyFill="1" applyBorder="1" applyAlignment="1">
      <alignment horizontal="center" vertical="center" wrapText="1"/>
    </xf>
    <xf numFmtId="0" fontId="44" fillId="0" borderId="27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center" vertical="center" wrapText="1"/>
    </xf>
    <xf numFmtId="0" fontId="46" fillId="18" borderId="29" xfId="0" applyFont="1" applyFill="1" applyBorder="1" applyAlignment="1">
      <alignment horizontal="center" vertical="center"/>
    </xf>
    <xf numFmtId="0" fontId="44" fillId="0" borderId="29" xfId="0" applyFont="1" applyBorder="1" applyAlignment="1">
      <alignment horizontal="center" vertical="center" wrapText="1"/>
    </xf>
    <xf numFmtId="4" fontId="4" fillId="0" borderId="72" xfId="0" applyNumberFormat="1" applyFont="1" applyBorder="1" applyAlignment="1">
      <alignment horizontal="center" vertical="center"/>
    </xf>
    <xf numFmtId="179" fontId="42" fillId="0" borderId="72" xfId="2" applyNumberFormat="1" applyFont="1" applyBorder="1" applyAlignment="1">
      <alignment horizontal="center" vertical="center"/>
    </xf>
    <xf numFmtId="171" fontId="0" fillId="13" borderId="29" xfId="0" applyNumberFormat="1" applyFont="1" applyFill="1" applyBorder="1" applyAlignment="1">
      <alignment horizontal="center" vertical="center"/>
    </xf>
    <xf numFmtId="0" fontId="32" fillId="0" borderId="29" xfId="0" applyFont="1" applyBorder="1" applyAlignment="1">
      <alignment horizontal="justify" vertical="center" wrapText="1"/>
    </xf>
    <xf numFmtId="0" fontId="6" fillId="0" borderId="59" xfId="0" applyFont="1" applyBorder="1" applyAlignment="1">
      <alignment horizontal="right" vertical="center" wrapText="1"/>
    </xf>
    <xf numFmtId="0" fontId="6" fillId="0" borderId="60" xfId="0" applyFont="1" applyBorder="1" applyAlignment="1">
      <alignment horizontal="right" vertical="center" wrapText="1"/>
    </xf>
    <xf numFmtId="0" fontId="6" fillId="0" borderId="56" xfId="0" applyFont="1" applyBorder="1" applyAlignment="1">
      <alignment horizontal="right" vertical="center" wrapText="1"/>
    </xf>
    <xf numFmtId="0" fontId="6" fillId="0" borderId="61" xfId="0" applyFont="1" applyBorder="1" applyAlignment="1">
      <alignment horizontal="right" vertical="center" wrapText="1"/>
    </xf>
    <xf numFmtId="0" fontId="6" fillId="0" borderId="54" xfId="0" applyFont="1" applyBorder="1" applyAlignment="1">
      <alignment horizontal="right" vertical="center" wrapText="1"/>
    </xf>
    <xf numFmtId="0" fontId="6" fillId="0" borderId="57" xfId="0" applyFont="1" applyBorder="1" applyAlignment="1">
      <alignment horizontal="right" vertical="center" wrapText="1"/>
    </xf>
    <xf numFmtId="0" fontId="9" fillId="2" borderId="25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 wrapText="1"/>
    </xf>
    <xf numFmtId="49" fontId="6" fillId="7" borderId="22" xfId="0" applyNumberFormat="1" applyFont="1" applyFill="1" applyBorder="1" applyAlignment="1">
      <alignment horizontal="left" vertical="center"/>
    </xf>
    <xf numFmtId="49" fontId="6" fillId="7" borderId="25" xfId="0" applyNumberFormat="1" applyFont="1" applyFill="1" applyBorder="1" applyAlignment="1">
      <alignment horizontal="left" vertical="center"/>
    </xf>
    <xf numFmtId="49" fontId="6" fillId="7" borderId="23" xfId="0" applyNumberFormat="1" applyFont="1" applyFill="1" applyBorder="1" applyAlignment="1">
      <alignment horizontal="left" vertical="center"/>
    </xf>
    <xf numFmtId="0" fontId="6" fillId="0" borderId="62" xfId="0" applyFont="1" applyBorder="1" applyAlignment="1">
      <alignment horizontal="right" vertical="center" wrapText="1"/>
    </xf>
    <xf numFmtId="0" fontId="6" fillId="0" borderId="63" xfId="0" applyFont="1" applyBorder="1" applyAlignment="1">
      <alignment horizontal="right" vertical="center" wrapText="1"/>
    </xf>
    <xf numFmtId="0" fontId="6" fillId="0" borderId="69" xfId="0" applyFont="1" applyBorder="1" applyAlignment="1">
      <alignment horizontal="right" vertical="center" wrapText="1"/>
    </xf>
    <xf numFmtId="0" fontId="6" fillId="0" borderId="58" xfId="0" applyFont="1" applyBorder="1" applyAlignment="1">
      <alignment horizontal="right" vertical="center" wrapText="1"/>
    </xf>
    <xf numFmtId="0" fontId="6" fillId="0" borderId="55" xfId="0" applyFont="1" applyBorder="1" applyAlignment="1">
      <alignment horizontal="right" vertical="center" wrapText="1"/>
    </xf>
    <xf numFmtId="0" fontId="6" fillId="0" borderId="68" xfId="0" applyFont="1" applyBorder="1" applyAlignment="1">
      <alignment horizontal="right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49" fontId="6" fillId="2" borderId="22" xfId="0" applyNumberFormat="1" applyFont="1" applyFill="1" applyBorder="1" applyAlignment="1">
      <alignment horizontal="left" vertical="center"/>
    </xf>
    <xf numFmtId="49" fontId="6" fillId="2" borderId="25" xfId="0" applyNumberFormat="1" applyFont="1" applyFill="1" applyBorder="1" applyAlignment="1">
      <alignment horizontal="left" vertical="center"/>
    </xf>
    <xf numFmtId="0" fontId="6" fillId="14" borderId="61" xfId="0" applyFont="1" applyFill="1" applyBorder="1" applyAlignment="1">
      <alignment horizontal="right" vertical="center" wrapText="1"/>
    </xf>
    <xf numFmtId="0" fontId="6" fillId="14" borderId="54" xfId="0" applyFont="1" applyFill="1" applyBorder="1" applyAlignment="1">
      <alignment horizontal="right" vertical="center" wrapText="1"/>
    </xf>
    <xf numFmtId="0" fontId="6" fillId="14" borderId="55" xfId="0" applyFont="1" applyFill="1" applyBorder="1" applyAlignment="1">
      <alignment horizontal="right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right" vertical="center" wrapText="1"/>
    </xf>
    <xf numFmtId="0" fontId="6" fillId="0" borderId="53" xfId="0" applyFont="1" applyBorder="1" applyAlignment="1">
      <alignment horizontal="right" vertical="center" wrapText="1"/>
    </xf>
    <xf numFmtId="0" fontId="6" fillId="0" borderId="64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49" fontId="6" fillId="4" borderId="22" xfId="0" applyNumberFormat="1" applyFont="1" applyFill="1" applyBorder="1" applyAlignment="1">
      <alignment horizontal="center" vertical="center"/>
    </xf>
    <xf numFmtId="49" fontId="6" fillId="4" borderId="23" xfId="0" applyNumberFormat="1" applyFont="1" applyFill="1" applyBorder="1" applyAlignment="1">
      <alignment horizontal="center" vertical="center"/>
    </xf>
    <xf numFmtId="49" fontId="26" fillId="8" borderId="115" xfId="0" applyNumberFormat="1" applyFont="1" applyFill="1" applyBorder="1" applyAlignment="1">
      <alignment horizontal="left" vertical="center"/>
    </xf>
    <xf numFmtId="49" fontId="26" fillId="8" borderId="0" xfId="0" applyNumberFormat="1" applyFont="1" applyFill="1" applyBorder="1" applyAlignment="1">
      <alignment horizontal="left" vertical="center"/>
    </xf>
    <xf numFmtId="49" fontId="18" fillId="2" borderId="22" xfId="0" applyNumberFormat="1" applyFont="1" applyFill="1" applyBorder="1" applyAlignment="1">
      <alignment horizontal="left" vertical="center"/>
    </xf>
    <xf numFmtId="49" fontId="18" fillId="2" borderId="25" xfId="0" applyNumberFormat="1" applyFont="1" applyFill="1" applyBorder="1" applyAlignment="1">
      <alignment horizontal="left" vertical="center"/>
    </xf>
    <xf numFmtId="49" fontId="18" fillId="2" borderId="24" xfId="0" applyNumberFormat="1" applyFont="1" applyFill="1" applyBorder="1" applyAlignment="1">
      <alignment horizontal="left" vertical="center"/>
    </xf>
    <xf numFmtId="49" fontId="6" fillId="2" borderId="24" xfId="0" applyNumberFormat="1" applyFont="1" applyFill="1" applyBorder="1" applyAlignment="1">
      <alignment horizontal="left" vertical="center"/>
    </xf>
    <xf numFmtId="49" fontId="6" fillId="2" borderId="23" xfId="0" applyNumberFormat="1" applyFont="1" applyFill="1" applyBorder="1" applyAlignment="1">
      <alignment horizontal="left" vertical="center"/>
    </xf>
    <xf numFmtId="49" fontId="6" fillId="8" borderId="22" xfId="0" applyNumberFormat="1" applyFont="1" applyFill="1" applyBorder="1" applyAlignment="1">
      <alignment horizontal="center" vertical="center"/>
    </xf>
    <xf numFmtId="49" fontId="6" fillId="8" borderId="25" xfId="0" applyNumberFormat="1" applyFont="1" applyFill="1" applyBorder="1" applyAlignment="1">
      <alignment horizontal="center" vertical="center"/>
    </xf>
    <xf numFmtId="49" fontId="6" fillId="8" borderId="23" xfId="0" applyNumberFormat="1" applyFont="1" applyFill="1" applyBorder="1" applyAlignment="1">
      <alignment horizontal="center" vertical="center"/>
    </xf>
    <xf numFmtId="0" fontId="16" fillId="4" borderId="115" xfId="0" applyFont="1" applyFill="1" applyBorder="1" applyAlignment="1">
      <alignment horizontal="left" vertical="center"/>
    </xf>
    <xf numFmtId="49" fontId="7" fillId="8" borderId="115" xfId="0" applyNumberFormat="1" applyFont="1" applyFill="1" applyBorder="1" applyAlignment="1">
      <alignment horizontal="left" vertical="center"/>
    </xf>
    <xf numFmtId="49" fontId="6" fillId="2" borderId="124" xfId="0" applyNumberFormat="1" applyFont="1" applyFill="1" applyBorder="1" applyAlignment="1">
      <alignment horizontal="left" vertical="center"/>
    </xf>
    <xf numFmtId="49" fontId="6" fillId="2" borderId="51" xfId="0" applyNumberFormat="1" applyFont="1" applyFill="1" applyBorder="1" applyAlignment="1">
      <alignment horizontal="left" vertical="center"/>
    </xf>
    <xf numFmtId="49" fontId="6" fillId="3" borderId="51" xfId="0" applyNumberFormat="1" applyFont="1" applyFill="1" applyBorder="1" applyAlignment="1">
      <alignment horizontal="left" vertical="center"/>
    </xf>
    <xf numFmtId="49" fontId="6" fillId="3" borderId="52" xfId="0" applyNumberFormat="1" applyFont="1" applyFill="1" applyBorder="1" applyAlignment="1">
      <alignment horizontal="left" vertical="center"/>
    </xf>
    <xf numFmtId="49" fontId="6" fillId="3" borderId="4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0" fontId="4" fillId="9" borderId="22" xfId="0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 vertical="center"/>
    </xf>
    <xf numFmtId="0" fontId="4" fillId="9" borderId="23" xfId="0" applyFont="1" applyFill="1" applyBorder="1" applyAlignment="1">
      <alignment horizontal="center" vertical="center"/>
    </xf>
    <xf numFmtId="0" fontId="3" fillId="9" borderId="22" xfId="0" applyFont="1" applyFill="1" applyBorder="1" applyAlignment="1">
      <alignment horizontal="center" vertical="center"/>
    </xf>
    <xf numFmtId="0" fontId="3" fillId="9" borderId="25" xfId="0" applyFont="1" applyFill="1" applyBorder="1" applyAlignment="1">
      <alignment horizontal="center" vertical="center"/>
    </xf>
    <xf numFmtId="0" fontId="3" fillId="9" borderId="23" xfId="0" applyFont="1" applyFill="1" applyBorder="1" applyAlignment="1">
      <alignment horizontal="center" vertical="center"/>
    </xf>
    <xf numFmtId="0" fontId="3" fillId="9" borderId="75" xfId="0" applyFont="1" applyFill="1" applyBorder="1" applyAlignment="1">
      <alignment horizontal="center" vertical="center" textRotation="90"/>
    </xf>
    <xf numFmtId="0" fontId="3" fillId="9" borderId="78" xfId="0" applyFont="1" applyFill="1" applyBorder="1" applyAlignment="1">
      <alignment horizontal="center" vertical="center" textRotation="90"/>
    </xf>
    <xf numFmtId="0" fontId="3" fillId="9" borderId="125" xfId="0" applyFont="1" applyFill="1" applyBorder="1" applyAlignment="1">
      <alignment horizontal="center" vertical="center" textRotation="90"/>
    </xf>
    <xf numFmtId="0" fontId="3" fillId="4" borderId="22" xfId="0" applyFont="1" applyFill="1" applyBorder="1" applyAlignment="1">
      <alignment horizontal="center" wrapText="1"/>
    </xf>
    <xf numFmtId="0" fontId="3" fillId="4" borderId="25" xfId="0" applyFont="1" applyFill="1" applyBorder="1" applyAlignment="1">
      <alignment horizontal="center" wrapText="1"/>
    </xf>
    <xf numFmtId="0" fontId="3" fillId="4" borderId="23" xfId="0" applyFont="1" applyFill="1" applyBorder="1" applyAlignment="1">
      <alignment horizont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3" fillId="9" borderId="26" xfId="0" applyFont="1" applyFill="1" applyBorder="1" applyAlignment="1">
      <alignment horizontal="center" vertical="center" textRotation="90"/>
    </xf>
    <xf numFmtId="0" fontId="3" fillId="9" borderId="28" xfId="0" applyFont="1" applyFill="1" applyBorder="1" applyAlignment="1">
      <alignment horizontal="center" vertical="center" textRotation="90"/>
    </xf>
    <xf numFmtId="0" fontId="3" fillId="9" borderId="31" xfId="0" applyFont="1" applyFill="1" applyBorder="1" applyAlignment="1">
      <alignment horizontal="center" vertical="center" textRotation="90"/>
    </xf>
    <xf numFmtId="0" fontId="3" fillId="9" borderId="27" xfId="0" applyFont="1" applyFill="1" applyBorder="1" applyAlignment="1">
      <alignment horizontal="center" vertical="center" wrapText="1"/>
    </xf>
    <xf numFmtId="0" fontId="3" fillId="9" borderId="29" xfId="0" applyFont="1" applyFill="1" applyBorder="1" applyAlignment="1">
      <alignment horizontal="center" vertical="center"/>
    </xf>
    <xf numFmtId="0" fontId="3" fillId="9" borderId="32" xfId="0" applyFont="1" applyFill="1" applyBorder="1" applyAlignment="1">
      <alignment horizontal="center" vertical="center"/>
    </xf>
    <xf numFmtId="0" fontId="3" fillId="9" borderId="27" xfId="0" applyFont="1" applyFill="1" applyBorder="1" applyAlignment="1">
      <alignment horizontal="center" vertical="center" textRotation="90"/>
    </xf>
    <xf numFmtId="0" fontId="3" fillId="9" borderId="29" xfId="0" applyFont="1" applyFill="1" applyBorder="1" applyAlignment="1">
      <alignment horizontal="center" vertical="center" textRotation="90"/>
    </xf>
    <xf numFmtId="0" fontId="3" fillId="9" borderId="32" xfId="0" applyFont="1" applyFill="1" applyBorder="1" applyAlignment="1">
      <alignment horizontal="center" vertical="center" textRotation="90"/>
    </xf>
    <xf numFmtId="0" fontId="3" fillId="9" borderId="110" xfId="0" applyFont="1" applyFill="1" applyBorder="1" applyAlignment="1">
      <alignment horizontal="center" vertical="center" textRotation="90"/>
    </xf>
    <xf numFmtId="0" fontId="3" fillId="9" borderId="30" xfId="0" applyFont="1" applyFill="1" applyBorder="1" applyAlignment="1">
      <alignment horizontal="center" vertical="center" textRotation="90"/>
    </xf>
    <xf numFmtId="0" fontId="3" fillId="9" borderId="111" xfId="0" applyFont="1" applyFill="1" applyBorder="1" applyAlignment="1">
      <alignment horizontal="center" vertical="center" textRotation="90"/>
    </xf>
    <xf numFmtId="0" fontId="3" fillId="9" borderId="39" xfId="0" applyFont="1" applyFill="1" applyBorder="1" applyAlignment="1">
      <alignment horizontal="center" vertical="center"/>
    </xf>
    <xf numFmtId="0" fontId="3" fillId="9" borderId="41" xfId="0" applyFont="1" applyFill="1" applyBorder="1" applyAlignment="1">
      <alignment horizontal="center" vertical="center"/>
    </xf>
    <xf numFmtId="0" fontId="3" fillId="9" borderId="92" xfId="0" applyFont="1" applyFill="1" applyBorder="1" applyAlignment="1">
      <alignment horizontal="center" vertical="center" wrapText="1"/>
    </xf>
    <xf numFmtId="0" fontId="3" fillId="9" borderId="112" xfId="0" applyFont="1" applyFill="1" applyBorder="1" applyAlignment="1">
      <alignment horizontal="center" vertical="center" wrapText="1"/>
    </xf>
    <xf numFmtId="0" fontId="3" fillId="9" borderId="93" xfId="0" applyFont="1" applyFill="1" applyBorder="1" applyAlignment="1">
      <alignment horizontal="center" vertical="center" wrapText="1"/>
    </xf>
    <xf numFmtId="0" fontId="3" fillId="9" borderId="113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4" borderId="22" xfId="0" applyFont="1" applyFill="1" applyBorder="1" applyAlignment="1">
      <alignment horizontal="center" wrapText="1"/>
    </xf>
    <xf numFmtId="0" fontId="4" fillId="4" borderId="25" xfId="0" applyFont="1" applyFill="1" applyBorder="1" applyAlignment="1">
      <alignment horizontal="center" wrapText="1"/>
    </xf>
    <xf numFmtId="0" fontId="4" fillId="4" borderId="23" xfId="0" applyFont="1" applyFill="1" applyBorder="1" applyAlignment="1">
      <alignment horizontal="center" wrapText="1"/>
    </xf>
    <xf numFmtId="0" fontId="4" fillId="9" borderId="39" xfId="0" applyFont="1" applyFill="1" applyBorder="1" applyAlignment="1">
      <alignment horizontal="center"/>
    </xf>
    <xf numFmtId="0" fontId="4" fillId="9" borderId="40" xfId="0" applyFont="1" applyFill="1" applyBorder="1" applyAlignment="1">
      <alignment horizontal="center"/>
    </xf>
    <xf numFmtId="0" fontId="4" fillId="9" borderId="41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22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3" fillId="9" borderId="29" xfId="0" applyFont="1" applyFill="1" applyBorder="1" applyAlignment="1">
      <alignment horizontal="center" vertical="center" wrapText="1"/>
    </xf>
    <xf numFmtId="0" fontId="3" fillId="9" borderId="32" xfId="0" applyFont="1" applyFill="1" applyBorder="1" applyAlignment="1">
      <alignment horizontal="center" vertical="center" wrapText="1"/>
    </xf>
    <xf numFmtId="0" fontId="4" fillId="9" borderId="27" xfId="0" applyFont="1" applyFill="1" applyBorder="1" applyAlignment="1">
      <alignment horizontal="center"/>
    </xf>
    <xf numFmtId="0" fontId="3" fillId="9" borderId="27" xfId="0" applyFont="1" applyFill="1" applyBorder="1" applyAlignment="1">
      <alignment horizontal="center" vertical="center"/>
    </xf>
    <xf numFmtId="0" fontId="3" fillId="9" borderId="110" xfId="0" applyFont="1" applyFill="1" applyBorder="1" applyAlignment="1">
      <alignment horizontal="center" vertical="center"/>
    </xf>
    <xf numFmtId="0" fontId="3" fillId="9" borderId="30" xfId="0" applyFont="1" applyFill="1" applyBorder="1" applyAlignment="1">
      <alignment horizontal="center" vertical="center" wrapText="1"/>
    </xf>
    <xf numFmtId="0" fontId="3" fillId="9" borderId="111" xfId="0" applyFont="1" applyFill="1" applyBorder="1" applyAlignment="1">
      <alignment horizontal="center" vertical="center" wrapText="1"/>
    </xf>
    <xf numFmtId="0" fontId="3" fillId="9" borderId="88" xfId="0" applyFont="1" applyFill="1" applyBorder="1" applyAlignment="1">
      <alignment horizontal="center" vertical="center" wrapText="1"/>
    </xf>
    <xf numFmtId="0" fontId="3" fillId="9" borderId="131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0" fontId="3" fillId="9" borderId="130" xfId="0" applyFont="1" applyFill="1" applyBorder="1" applyAlignment="1">
      <alignment horizontal="center" vertical="center"/>
    </xf>
    <xf numFmtId="0" fontId="0" fillId="0" borderId="128" xfId="0" applyBorder="1" applyAlignment="1">
      <alignment horizontal="center"/>
    </xf>
    <xf numFmtId="0" fontId="0" fillId="0" borderId="22" xfId="0" applyFont="1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115" xfId="0" applyBorder="1" applyAlignment="1">
      <alignment horizontal="left"/>
    </xf>
    <xf numFmtId="0" fontId="3" fillId="9" borderId="22" xfId="0" applyFont="1" applyFill="1" applyBorder="1" applyAlignment="1">
      <alignment horizontal="center" vertical="center" wrapText="1"/>
    </xf>
    <xf numFmtId="0" fontId="3" fillId="9" borderId="25" xfId="0" applyFont="1" applyFill="1" applyBorder="1" applyAlignment="1">
      <alignment horizontal="center" vertical="center" wrapText="1"/>
    </xf>
    <xf numFmtId="0" fontId="3" fillId="9" borderId="118" xfId="0" applyFont="1" applyFill="1" applyBorder="1" applyAlignment="1">
      <alignment horizontal="center" vertical="center"/>
    </xf>
    <xf numFmtId="0" fontId="3" fillId="9" borderId="119" xfId="0" applyFont="1" applyFill="1" applyBorder="1" applyAlignment="1">
      <alignment horizontal="center" vertical="center"/>
    </xf>
    <xf numFmtId="0" fontId="3" fillId="9" borderId="94" xfId="0" applyFont="1" applyFill="1" applyBorder="1" applyAlignment="1">
      <alignment horizontal="center" vertical="center" wrapText="1"/>
    </xf>
    <xf numFmtId="0" fontId="3" fillId="9" borderId="95" xfId="0" applyFont="1" applyFill="1" applyBorder="1" applyAlignment="1">
      <alignment horizontal="center" vertical="center" wrapText="1"/>
    </xf>
    <xf numFmtId="0" fontId="3" fillId="9" borderId="96" xfId="0" applyFont="1" applyFill="1" applyBorder="1" applyAlignment="1">
      <alignment horizontal="center" vertical="center" textRotation="90"/>
    </xf>
    <xf numFmtId="0" fontId="3" fillId="9" borderId="114" xfId="0" applyFont="1" applyFill="1" applyBorder="1" applyAlignment="1">
      <alignment horizontal="center" vertical="center" wrapText="1"/>
    </xf>
    <xf numFmtId="0" fontId="3" fillId="9" borderId="114" xfId="0" applyFont="1" applyFill="1" applyBorder="1" applyAlignment="1">
      <alignment horizontal="center" vertical="center" textRotation="90"/>
    </xf>
    <xf numFmtId="0" fontId="3" fillId="9" borderId="97" xfId="0" applyFont="1" applyFill="1" applyBorder="1" applyAlignment="1">
      <alignment horizontal="center" vertical="center" textRotation="90" wrapText="1"/>
    </xf>
    <xf numFmtId="0" fontId="3" fillId="9" borderId="30" xfId="0" applyFont="1" applyFill="1" applyBorder="1" applyAlignment="1">
      <alignment horizontal="center" vertical="center" textRotation="90" wrapText="1"/>
    </xf>
    <xf numFmtId="0" fontId="3" fillId="9" borderId="111" xfId="0" applyFont="1" applyFill="1" applyBorder="1" applyAlignment="1">
      <alignment horizontal="center" vertical="center" textRotation="90" wrapText="1"/>
    </xf>
    <xf numFmtId="0" fontId="3" fillId="0" borderId="2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42" fillId="0" borderId="22" xfId="0" applyFont="1" applyFill="1" applyBorder="1" applyAlignment="1">
      <alignment horizontal="left" vertical="center" wrapText="1"/>
    </xf>
    <xf numFmtId="0" fontId="42" fillId="0" borderId="25" xfId="0" applyFont="1" applyFill="1" applyBorder="1" applyAlignment="1">
      <alignment horizontal="left" vertical="center" wrapText="1"/>
    </xf>
    <xf numFmtId="0" fontId="42" fillId="0" borderId="23" xfId="0" applyFont="1" applyFill="1" applyBorder="1" applyAlignment="1">
      <alignment horizontal="left" vertical="center" wrapText="1"/>
    </xf>
    <xf numFmtId="0" fontId="39" fillId="0" borderId="128" xfId="0" applyFont="1" applyBorder="1" applyAlignment="1">
      <alignment horizontal="center" vertical="center"/>
    </xf>
    <xf numFmtId="0" fontId="19" fillId="0" borderId="126" xfId="0" applyFont="1" applyBorder="1" applyAlignment="1">
      <alignment horizontal="center"/>
    </xf>
    <xf numFmtId="0" fontId="19" fillId="0" borderId="132" xfId="0" applyFont="1" applyBorder="1" applyAlignment="1">
      <alignment horizontal="center"/>
    </xf>
    <xf numFmtId="0" fontId="19" fillId="0" borderId="127" xfId="0" applyFont="1" applyBorder="1" applyAlignment="1">
      <alignment horizontal="center"/>
    </xf>
    <xf numFmtId="0" fontId="0" fillId="15" borderId="22" xfId="0" applyFill="1" applyBorder="1" applyAlignment="1">
      <alignment horizontal="center" wrapText="1"/>
    </xf>
    <xf numFmtId="0" fontId="0" fillId="15" borderId="25" xfId="0" applyFill="1" applyBorder="1" applyAlignment="1">
      <alignment horizontal="center" wrapText="1"/>
    </xf>
    <xf numFmtId="0" fontId="0" fillId="15" borderId="23" xfId="0" applyFill="1" applyBorder="1" applyAlignment="1">
      <alignment horizontal="center" wrapText="1"/>
    </xf>
    <xf numFmtId="0" fontId="44" fillId="25" borderId="22" xfId="0" applyFont="1" applyFill="1" applyBorder="1" applyAlignment="1">
      <alignment horizontal="center" wrapText="1"/>
    </xf>
    <xf numFmtId="0" fontId="44" fillId="25" borderId="25" xfId="0" applyFont="1" applyFill="1" applyBorder="1" applyAlignment="1">
      <alignment horizontal="center" wrapText="1"/>
    </xf>
    <xf numFmtId="0" fontId="44" fillId="25" borderId="23" xfId="0" applyFont="1" applyFill="1" applyBorder="1" applyAlignment="1">
      <alignment horizontal="center" wrapText="1"/>
    </xf>
    <xf numFmtId="0" fontId="44" fillId="0" borderId="133" xfId="0" applyFont="1" applyBorder="1" applyAlignment="1">
      <alignment horizontal="center" vertical="center" wrapText="1"/>
    </xf>
    <xf numFmtId="0" fontId="44" fillId="0" borderId="89" xfId="0" applyFont="1" applyBorder="1" applyAlignment="1">
      <alignment horizontal="center" vertical="center" wrapText="1"/>
    </xf>
    <xf numFmtId="0" fontId="44" fillId="0" borderId="114" xfId="0" applyFont="1" applyBorder="1" applyAlignment="1">
      <alignment horizontal="center" vertical="center" wrapText="1"/>
    </xf>
    <xf numFmtId="0" fontId="44" fillId="0" borderId="88" xfId="0" applyFont="1" applyBorder="1" applyAlignment="1">
      <alignment horizontal="center" vertical="center" wrapText="1"/>
    </xf>
    <xf numFmtId="4" fontId="0" fillId="15" borderId="88" xfId="0" applyNumberFormat="1" applyFont="1" applyFill="1" applyBorder="1" applyAlignment="1">
      <alignment horizontal="center" vertical="center"/>
    </xf>
    <xf numFmtId="4" fontId="0" fillId="15" borderId="89" xfId="0" applyNumberFormat="1" applyFont="1" applyFill="1" applyBorder="1" applyAlignment="1">
      <alignment horizontal="center" vertical="center"/>
    </xf>
    <xf numFmtId="4" fontId="0" fillId="15" borderId="114" xfId="0" applyNumberFormat="1" applyFont="1" applyFill="1" applyBorder="1" applyAlignment="1">
      <alignment horizontal="center" vertical="center"/>
    </xf>
    <xf numFmtId="4" fontId="32" fillId="5" borderId="88" xfId="0" applyNumberFormat="1" applyFont="1" applyFill="1" applyBorder="1" applyAlignment="1">
      <alignment horizontal="center" vertical="center" wrapText="1"/>
    </xf>
    <xf numFmtId="4" fontId="32" fillId="5" borderId="114" xfId="0" applyNumberFormat="1" applyFont="1" applyFill="1" applyBorder="1" applyAlignment="1">
      <alignment horizontal="center" vertical="center" wrapText="1"/>
    </xf>
    <xf numFmtId="0" fontId="0" fillId="13" borderId="88" xfId="0" applyFont="1" applyFill="1" applyBorder="1" applyAlignment="1">
      <alignment horizontal="center" vertical="center"/>
    </xf>
    <xf numFmtId="0" fontId="0" fillId="13" borderId="114" xfId="0" applyFont="1" applyFill="1" applyBorder="1" applyAlignment="1">
      <alignment horizontal="center" vertical="center"/>
    </xf>
    <xf numFmtId="0" fontId="0" fillId="13" borderId="88" xfId="0" applyFill="1" applyBorder="1" applyAlignment="1">
      <alignment horizontal="center" vertical="center"/>
    </xf>
    <xf numFmtId="0" fontId="0" fillId="13" borderId="114" xfId="0" applyFill="1" applyBorder="1" applyAlignment="1">
      <alignment horizontal="center" vertical="center"/>
    </xf>
    <xf numFmtId="170" fontId="0" fillId="13" borderId="88" xfId="0" applyNumberFormat="1" applyFont="1" applyFill="1" applyBorder="1" applyAlignment="1">
      <alignment horizontal="center" vertical="center"/>
    </xf>
    <xf numFmtId="170" fontId="0" fillId="13" borderId="114" xfId="0" applyNumberFormat="1" applyFont="1" applyFill="1" applyBorder="1" applyAlignment="1">
      <alignment horizontal="center" vertical="center"/>
    </xf>
    <xf numFmtId="171" fontId="0" fillId="13" borderId="88" xfId="0" applyNumberFormat="1" applyFont="1" applyFill="1" applyBorder="1" applyAlignment="1">
      <alignment horizontal="center" vertical="center"/>
    </xf>
    <xf numFmtId="171" fontId="0" fillId="13" borderId="89" xfId="0" applyNumberFormat="1" applyFont="1" applyFill="1" applyBorder="1" applyAlignment="1">
      <alignment horizontal="center" vertical="center"/>
    </xf>
    <xf numFmtId="171" fontId="0" fillId="13" borderId="114" xfId="0" applyNumberFormat="1" applyFont="1" applyFill="1" applyBorder="1" applyAlignment="1">
      <alignment horizontal="center" vertical="center"/>
    </xf>
    <xf numFmtId="0" fontId="0" fillId="13" borderId="89" xfId="0" applyFill="1" applyBorder="1" applyAlignment="1">
      <alignment horizontal="center" vertical="center"/>
    </xf>
    <xf numFmtId="170" fontId="0" fillId="13" borderId="89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128" xfId="0" applyFont="1" applyBorder="1" applyAlignment="1">
      <alignment horizontal="center" vertical="center"/>
    </xf>
    <xf numFmtId="0" fontId="33" fillId="0" borderId="88" xfId="0" applyFont="1" applyBorder="1" applyAlignment="1">
      <alignment horizontal="center" vertical="center" wrapText="1"/>
    </xf>
    <xf numFmtId="0" fontId="33" fillId="0" borderId="114" xfId="0" applyFont="1" applyBorder="1" applyAlignment="1">
      <alignment horizontal="center" vertical="center" wrapText="1"/>
    </xf>
    <xf numFmtId="0" fontId="33" fillId="5" borderId="88" xfId="0" applyFont="1" applyFill="1" applyBorder="1" applyAlignment="1">
      <alignment horizontal="center" vertical="center" wrapText="1"/>
    </xf>
    <xf numFmtId="0" fontId="33" fillId="5" borderId="114" xfId="0" applyFont="1" applyFill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2" fontId="0" fillId="13" borderId="88" xfId="0" applyNumberFormat="1" applyFont="1" applyFill="1" applyBorder="1" applyAlignment="1">
      <alignment horizontal="center" vertical="center"/>
    </xf>
    <xf numFmtId="2" fontId="0" fillId="13" borderId="89" xfId="0" applyNumberFormat="1" applyFont="1" applyFill="1" applyBorder="1" applyAlignment="1">
      <alignment horizontal="center" vertical="center"/>
    </xf>
    <xf numFmtId="2" fontId="0" fillId="13" borderId="114" xfId="0" applyNumberFormat="1" applyFont="1" applyFill="1" applyBorder="1" applyAlignment="1">
      <alignment horizontal="center" vertical="center"/>
    </xf>
    <xf numFmtId="0" fontId="0" fillId="13" borderId="29" xfId="0" applyFont="1" applyFill="1" applyBorder="1" applyAlignment="1">
      <alignment horizontal="center" vertical="center"/>
    </xf>
    <xf numFmtId="0" fontId="32" fillId="0" borderId="29" xfId="0" applyFont="1" applyBorder="1" applyAlignment="1">
      <alignment horizontal="justify" vertical="center" wrapText="1"/>
    </xf>
    <xf numFmtId="0" fontId="31" fillId="0" borderId="22" xfId="0" applyFont="1" applyBorder="1" applyAlignment="1">
      <alignment horizontal="center" vertical="center"/>
    </xf>
    <xf numFmtId="0" fontId="31" fillId="0" borderId="25" xfId="0" applyFont="1" applyBorder="1" applyAlignment="1">
      <alignment horizontal="center" vertical="center"/>
    </xf>
    <xf numFmtId="0" fontId="31" fillId="0" borderId="23" xfId="0" applyFont="1" applyBorder="1" applyAlignment="1">
      <alignment horizontal="center" vertical="center"/>
    </xf>
    <xf numFmtId="4" fontId="32" fillId="0" borderId="29" xfId="0" applyNumberFormat="1" applyFont="1" applyBorder="1" applyAlignment="1">
      <alignment horizontal="center" vertical="center" wrapText="1"/>
    </xf>
    <xf numFmtId="0" fontId="29" fillId="0" borderId="129" xfId="0" applyFont="1" applyBorder="1" applyAlignment="1">
      <alignment horizontal="center"/>
    </xf>
    <xf numFmtId="0" fontId="29" fillId="0" borderId="128" xfId="0" applyFont="1" applyBorder="1" applyAlignment="1">
      <alignment horizontal="center"/>
    </xf>
    <xf numFmtId="0" fontId="29" fillId="0" borderId="138" xfId="0" applyFont="1" applyBorder="1" applyAlignment="1">
      <alignment horizontal="center"/>
    </xf>
    <xf numFmtId="0" fontId="29" fillId="0" borderId="139" xfId="0" applyFont="1" applyBorder="1" applyAlignment="1">
      <alignment horizontal="center"/>
    </xf>
    <xf numFmtId="0" fontId="29" fillId="0" borderId="115" xfId="0" applyFont="1" applyBorder="1" applyAlignment="1">
      <alignment horizontal="center"/>
    </xf>
    <xf numFmtId="0" fontId="29" fillId="0" borderId="140" xfId="0" applyFont="1" applyBorder="1" applyAlignment="1">
      <alignment horizontal="center"/>
    </xf>
    <xf numFmtId="2" fontId="0" fillId="10" borderId="29" xfId="0" applyNumberFormat="1" applyFont="1" applyFill="1" applyBorder="1" applyAlignment="1">
      <alignment horizontal="center" vertical="center"/>
    </xf>
    <xf numFmtId="170" fontId="0" fillId="13" borderId="29" xfId="0" applyNumberFormat="1" applyFont="1" applyFill="1" applyBorder="1" applyAlignment="1">
      <alignment horizontal="center" vertical="center"/>
    </xf>
    <xf numFmtId="4" fontId="0" fillId="13" borderId="29" xfId="0" applyNumberFormat="1" applyFont="1" applyFill="1" applyBorder="1" applyAlignment="1">
      <alignment horizontal="center" vertical="center"/>
    </xf>
    <xf numFmtId="2" fontId="0" fillId="13" borderId="29" xfId="0" applyNumberFormat="1" applyFont="1" applyFill="1" applyBorder="1" applyAlignment="1">
      <alignment horizontal="center" vertical="center"/>
    </xf>
    <xf numFmtId="0" fontId="0" fillId="13" borderId="89" xfId="0" applyFont="1" applyFill="1" applyBorder="1" applyAlignment="1">
      <alignment horizontal="center" vertical="center"/>
    </xf>
    <xf numFmtId="170" fontId="0" fillId="13" borderId="29" xfId="0" applyNumberFormat="1" applyFont="1" applyFill="1" applyBorder="1" applyAlignment="1">
      <alignment horizontal="center" vertical="center" wrapText="1"/>
    </xf>
    <xf numFmtId="0" fontId="0" fillId="13" borderId="29" xfId="0" applyFont="1" applyFill="1" applyBorder="1" applyAlignment="1">
      <alignment horizontal="center" vertical="center" wrapText="1"/>
    </xf>
    <xf numFmtId="0" fontId="0" fillId="0" borderId="129" xfId="0" applyBorder="1" applyAlignment="1">
      <alignment horizontal="center"/>
    </xf>
    <xf numFmtId="0" fontId="0" fillId="0" borderId="138" xfId="0" applyBorder="1" applyAlignment="1">
      <alignment horizontal="center"/>
    </xf>
    <xf numFmtId="0" fontId="0" fillId="0" borderId="136" xfId="0" applyBorder="1" applyAlignment="1">
      <alignment horizontal="center"/>
    </xf>
    <xf numFmtId="0" fontId="0" fillId="0" borderId="95" xfId="0" applyBorder="1" applyAlignment="1">
      <alignment horizontal="center"/>
    </xf>
    <xf numFmtId="0" fontId="0" fillId="0" borderId="113" xfId="0" applyBorder="1" applyAlignment="1">
      <alignment horizontal="center"/>
    </xf>
    <xf numFmtId="0" fontId="0" fillId="13" borderId="88" xfId="0" applyFont="1" applyFill="1" applyBorder="1" applyAlignment="1">
      <alignment horizontal="center" vertical="center" wrapText="1"/>
    </xf>
    <xf numFmtId="0" fontId="0" fillId="13" borderId="89" xfId="0" applyFont="1" applyFill="1" applyBorder="1" applyAlignment="1">
      <alignment horizontal="center" vertical="center" wrapText="1"/>
    </xf>
    <xf numFmtId="0" fontId="0" fillId="13" borderId="114" xfId="0" applyFont="1" applyFill="1" applyBorder="1" applyAlignment="1">
      <alignment horizontal="center" vertical="center" wrapText="1"/>
    </xf>
    <xf numFmtId="0" fontId="0" fillId="21" borderId="88" xfId="0" applyFont="1" applyFill="1" applyBorder="1" applyAlignment="1">
      <alignment horizontal="center" vertical="center" wrapText="1"/>
    </xf>
    <xf numFmtId="0" fontId="0" fillId="21" borderId="89" xfId="0" applyFont="1" applyFill="1" applyBorder="1" applyAlignment="1">
      <alignment horizontal="center" vertical="center" wrapText="1"/>
    </xf>
    <xf numFmtId="0" fontId="0" fillId="21" borderId="114" xfId="0" applyFont="1" applyFill="1" applyBorder="1" applyAlignment="1">
      <alignment horizontal="center" vertical="center" wrapText="1"/>
    </xf>
    <xf numFmtId="0" fontId="0" fillId="24" borderId="88" xfId="0" applyFont="1" applyFill="1" applyBorder="1" applyAlignment="1">
      <alignment horizontal="center" vertical="center"/>
    </xf>
    <xf numFmtId="0" fontId="0" fillId="24" borderId="114" xfId="0" applyFont="1" applyFill="1" applyBorder="1" applyAlignment="1">
      <alignment horizontal="center" vertical="center"/>
    </xf>
    <xf numFmtId="0" fontId="0" fillId="10" borderId="29" xfId="0" applyFont="1" applyFill="1" applyBorder="1" applyAlignment="1">
      <alignment horizontal="center" vertical="center" wrapText="1"/>
    </xf>
    <xf numFmtId="170" fontId="0" fillId="10" borderId="29" xfId="0" applyNumberFormat="1" applyFont="1" applyFill="1" applyBorder="1" applyAlignment="1">
      <alignment horizontal="center" vertical="center" wrapText="1"/>
    </xf>
    <xf numFmtId="4" fontId="0" fillId="10" borderId="29" xfId="0" applyNumberFormat="1" applyFont="1" applyFill="1" applyBorder="1" applyAlignment="1">
      <alignment horizontal="center" vertical="center"/>
    </xf>
    <xf numFmtId="4" fontId="0" fillId="10" borderId="88" xfId="0" applyNumberFormat="1" applyFill="1" applyBorder="1" applyAlignment="1">
      <alignment vertical="center"/>
    </xf>
    <xf numFmtId="4" fontId="0" fillId="10" borderId="89" xfId="0" applyNumberFormat="1" applyFill="1" applyBorder="1" applyAlignment="1">
      <alignment vertical="center"/>
    </xf>
    <xf numFmtId="4" fontId="0" fillId="10" borderId="114" xfId="0" applyNumberFormat="1" applyFill="1" applyBorder="1" applyAlignment="1">
      <alignment vertical="center"/>
    </xf>
    <xf numFmtId="2" fontId="0" fillId="13" borderId="29" xfId="0" applyNumberFormat="1" applyFont="1" applyFill="1" applyBorder="1" applyAlignment="1">
      <alignment vertical="center"/>
    </xf>
    <xf numFmtId="4" fontId="0" fillId="13" borderId="133" xfId="0" applyNumberFormat="1" applyFill="1" applyBorder="1" applyAlignment="1">
      <alignment horizontal="center" vertical="center"/>
    </xf>
    <xf numFmtId="4" fontId="0" fillId="13" borderId="89" xfId="0" applyNumberFormat="1" applyFill="1" applyBorder="1" applyAlignment="1">
      <alignment horizontal="center" vertical="center"/>
    </xf>
    <xf numFmtId="4" fontId="0" fillId="13" borderId="114" xfId="0" applyNumberFormat="1" applyFill="1" applyBorder="1" applyAlignment="1">
      <alignment horizontal="center" vertical="center"/>
    </xf>
    <xf numFmtId="2" fontId="0" fillId="22" borderId="130" xfId="0" applyNumberFormat="1" applyFill="1" applyBorder="1" applyAlignment="1">
      <alignment horizontal="right" vertical="center"/>
    </xf>
    <xf numFmtId="2" fontId="0" fillId="22" borderId="122" xfId="0" applyNumberFormat="1" applyFill="1" applyBorder="1" applyAlignment="1">
      <alignment horizontal="right" vertical="center"/>
    </xf>
    <xf numFmtId="2" fontId="0" fillId="10" borderId="29" xfId="0" applyNumberFormat="1" applyFont="1" applyFill="1" applyBorder="1" applyAlignment="1">
      <alignment horizontal="right" vertical="center"/>
    </xf>
    <xf numFmtId="4" fontId="0" fillId="10" borderId="88" xfId="0" applyNumberFormat="1" applyFill="1" applyBorder="1" applyAlignment="1">
      <alignment horizontal="center" vertical="center"/>
    </xf>
    <xf numFmtId="4" fontId="0" fillId="10" borderId="89" xfId="0" applyNumberFormat="1" applyFill="1" applyBorder="1" applyAlignment="1">
      <alignment horizontal="center" vertical="center"/>
    </xf>
    <xf numFmtId="4" fontId="0" fillId="10" borderId="114" xfId="0" applyNumberFormat="1" applyFill="1" applyBorder="1" applyAlignment="1">
      <alignment horizontal="center" vertical="center"/>
    </xf>
    <xf numFmtId="0" fontId="0" fillId="10" borderId="29" xfId="0" applyFill="1" applyBorder="1" applyAlignment="1">
      <alignment horizontal="right"/>
    </xf>
    <xf numFmtId="0" fontId="0" fillId="10" borderId="27" xfId="0" applyFill="1" applyBorder="1" applyAlignment="1">
      <alignment horizontal="right"/>
    </xf>
    <xf numFmtId="4" fontId="0" fillId="10" borderId="29" xfId="0" applyNumberFormat="1" applyFill="1" applyBorder="1" applyAlignment="1">
      <alignment vertical="center"/>
    </xf>
    <xf numFmtId="4" fontId="0" fillId="13" borderId="88" xfId="0" applyNumberFormat="1" applyFill="1" applyBorder="1" applyAlignment="1">
      <alignment horizontal="center" vertical="center"/>
    </xf>
    <xf numFmtId="0" fontId="19" fillId="0" borderId="26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110" xfId="0" applyFont="1" applyBorder="1" applyAlignment="1">
      <alignment horizontal="center" vertical="center" wrapText="1"/>
    </xf>
    <xf numFmtId="0" fontId="19" fillId="4" borderId="31" xfId="0" applyFont="1" applyFill="1" applyBorder="1" applyAlignment="1">
      <alignment horizontal="center" vertical="center" wrapText="1"/>
    </xf>
    <xf numFmtId="0" fontId="19" fillId="4" borderId="32" xfId="0" applyFont="1" applyFill="1" applyBorder="1" applyAlignment="1">
      <alignment horizontal="center" vertical="center" wrapText="1"/>
    </xf>
    <xf numFmtId="0" fontId="19" fillId="0" borderId="126" xfId="0" applyFont="1" applyBorder="1" applyAlignment="1">
      <alignment horizontal="center" vertical="center"/>
    </xf>
    <xf numFmtId="0" fontId="19" fillId="0" borderId="132" xfId="0" applyFont="1" applyBorder="1" applyAlignment="1">
      <alignment horizontal="center" vertical="center"/>
    </xf>
    <xf numFmtId="4" fontId="0" fillId="13" borderId="29" xfId="0" applyNumberFormat="1" applyFill="1" applyBorder="1" applyAlignment="1">
      <alignment vertical="center"/>
    </xf>
    <xf numFmtId="0" fontId="29" fillId="4" borderId="22" xfId="0" applyFont="1" applyFill="1" applyBorder="1" applyAlignment="1">
      <alignment horizontal="center" vertical="center"/>
    </xf>
    <xf numFmtId="0" fontId="29" fillId="4" borderId="25" xfId="0" applyFont="1" applyFill="1" applyBorder="1" applyAlignment="1">
      <alignment horizontal="center" vertical="center"/>
    </xf>
    <xf numFmtId="0" fontId="29" fillId="4" borderId="23" xfId="0" applyFont="1" applyFill="1" applyBorder="1" applyAlignment="1">
      <alignment horizontal="center" vertical="center"/>
    </xf>
    <xf numFmtId="43" fontId="0" fillId="22" borderId="29" xfId="2" applyFont="1" applyFill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/>
    </xf>
    <xf numFmtId="0" fontId="19" fillId="15" borderId="88" xfId="0" applyFont="1" applyFill="1" applyBorder="1" applyAlignment="1">
      <alignment horizontal="center" vertical="center"/>
    </xf>
    <xf numFmtId="0" fontId="0" fillId="10" borderId="29" xfId="0" applyFont="1" applyFill="1" applyBorder="1" applyAlignment="1">
      <alignment horizontal="left" vertical="center" wrapText="1"/>
    </xf>
    <xf numFmtId="0" fontId="0" fillId="13" borderId="29" xfId="0" applyFont="1" applyFill="1" applyBorder="1" applyAlignment="1">
      <alignment horizontal="left" vertical="center" wrapText="1"/>
    </xf>
    <xf numFmtId="0" fontId="0" fillId="0" borderId="92" xfId="0" applyFont="1" applyBorder="1" applyAlignment="1">
      <alignment horizontal="center" vertical="center"/>
    </xf>
    <xf numFmtId="0" fontId="0" fillId="0" borderId="94" xfId="0" applyFont="1" applyBorder="1" applyAlignment="1">
      <alignment horizontal="center" vertical="center"/>
    </xf>
    <xf numFmtId="0" fontId="0" fillId="0" borderId="96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10" borderId="29" xfId="0" applyFont="1" applyFill="1" applyBorder="1" applyAlignment="1">
      <alignment horizontal="center" vertical="center"/>
    </xf>
    <xf numFmtId="170" fontId="0" fillId="10" borderId="29" xfId="0" applyNumberFormat="1" applyFont="1" applyFill="1" applyBorder="1" applyAlignment="1">
      <alignment horizontal="center" vertical="center"/>
    </xf>
    <xf numFmtId="0" fontId="0" fillId="13" borderId="29" xfId="0" applyFont="1" applyFill="1" applyBorder="1" applyAlignment="1">
      <alignment horizontal="left" vertical="center"/>
    </xf>
    <xf numFmtId="0" fontId="0" fillId="0" borderId="94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5" borderId="94" xfId="0" applyFont="1" applyFill="1" applyBorder="1" applyAlignment="1">
      <alignment horizontal="center" vertical="center"/>
    </xf>
    <xf numFmtId="0" fontId="0" fillId="5" borderId="96" xfId="0" applyFont="1" applyFill="1" applyBorder="1" applyAlignment="1">
      <alignment horizontal="center" vertical="center"/>
    </xf>
    <xf numFmtId="0" fontId="0" fillId="13" borderId="29" xfId="0" applyFill="1" applyBorder="1" applyAlignment="1">
      <alignment horizontal="center" vertical="center"/>
    </xf>
  </cellXfs>
  <cellStyles count="5">
    <cellStyle name="Moeda" xfId="1" builtinId="4"/>
    <cellStyle name="Moeda 3" xfId="3" xr:uid="{00000000-0005-0000-0000-000001000000}"/>
    <cellStyle name="Normal" xfId="0" builtinId="0"/>
    <cellStyle name="Vírgula" xfId="2" builtinId="3"/>
    <cellStyle name="Vírgula 2" xfId="4" xr:uid="{00000000-0005-0000-0000-000004000000}"/>
  </cellStyles>
  <dxfs count="0"/>
  <tableStyles count="0" defaultTableStyle="TableStyleMedium2" defaultPivotStyle="PivotStyleLight16"/>
  <colors>
    <mruColors>
      <color rgb="FFFCFC9C"/>
      <color rgb="FF99FF66"/>
      <color rgb="FF99FF99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naldo.rodrigues\Desktop\LIMPEZA_&#193;REAS%20DO%20EDIF&#205;C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eas (m²)"/>
      <sheetName val="Esquadrias&amp;Janelas"/>
    </sheetNames>
    <sheetDataSet>
      <sheetData sheetId="0"/>
      <sheetData sheetId="1">
        <row r="34">
          <cell r="D34">
            <v>741.00000000000023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61"/>
  <sheetViews>
    <sheetView tabSelected="1" topLeftCell="A13" zoomScaleNormal="100" workbookViewId="0">
      <selection activeCell="D22" sqref="D22"/>
    </sheetView>
  </sheetViews>
  <sheetFormatPr defaultColWidth="8.7109375" defaultRowHeight="12.75" x14ac:dyDescent="0.2"/>
  <cols>
    <col min="1" max="1" width="9.140625" style="212" customWidth="1"/>
    <col min="2" max="2" width="89" style="255" customWidth="1"/>
    <col min="3" max="3" width="17.5703125" style="255" bestFit="1" customWidth="1"/>
    <col min="4" max="4" width="24.140625" style="255" bestFit="1" customWidth="1"/>
    <col min="5" max="16384" width="8.7109375" style="61"/>
  </cols>
  <sheetData>
    <row r="1" spans="1:4" x14ac:dyDescent="0.2">
      <c r="A1" s="754" t="s">
        <v>560</v>
      </c>
      <c r="B1" s="754"/>
      <c r="C1" s="754"/>
      <c r="D1" s="754"/>
    </row>
    <row r="2" spans="1:4" x14ac:dyDescent="0.2">
      <c r="A2" s="754" t="s">
        <v>9</v>
      </c>
      <c r="B2" s="754"/>
      <c r="C2" s="754"/>
      <c r="D2" s="754"/>
    </row>
    <row r="3" spans="1:4" x14ac:dyDescent="0.2">
      <c r="A3" s="754" t="s">
        <v>555</v>
      </c>
      <c r="B3" s="754"/>
      <c r="C3" s="754"/>
      <c r="D3" s="754"/>
    </row>
    <row r="4" spans="1:4" ht="13.5" thickBot="1" x14ac:dyDescent="0.25">
      <c r="B4" s="18" t="s">
        <v>0</v>
      </c>
      <c r="C4" s="19" t="s">
        <v>0</v>
      </c>
      <c r="D4" s="19" t="s">
        <v>0</v>
      </c>
    </row>
    <row r="5" spans="1:4" ht="13.5" thickTop="1" x14ac:dyDescent="0.2">
      <c r="A5" s="721" t="s">
        <v>16</v>
      </c>
      <c r="B5" s="722"/>
      <c r="C5" s="723"/>
      <c r="D5" s="204" t="s">
        <v>170</v>
      </c>
    </row>
    <row r="6" spans="1:4" x14ac:dyDescent="0.2">
      <c r="A6" s="724" t="s">
        <v>134</v>
      </c>
      <c r="B6" s="725"/>
      <c r="C6" s="726"/>
      <c r="D6" s="276"/>
    </row>
    <row r="7" spans="1:4" ht="13.5" thickBot="1" x14ac:dyDescent="0.25">
      <c r="A7" s="732" t="s">
        <v>18</v>
      </c>
      <c r="B7" s="733"/>
      <c r="C7" s="735"/>
      <c r="D7" s="277" t="s">
        <v>17</v>
      </c>
    </row>
    <row r="8" spans="1:4" ht="14.25" thickTop="1" thickBot="1" x14ac:dyDescent="0.25">
      <c r="B8" s="145"/>
      <c r="C8" s="20"/>
      <c r="D8" s="21"/>
    </row>
    <row r="9" spans="1:4" ht="14.25" thickTop="1" thickBot="1" x14ac:dyDescent="0.25">
      <c r="A9" s="738" t="s">
        <v>41</v>
      </c>
      <c r="B9" s="739"/>
      <c r="C9" s="739"/>
      <c r="D9" s="740"/>
    </row>
    <row r="10" spans="1:4" ht="13.5" thickTop="1" x14ac:dyDescent="0.2">
      <c r="A10" s="751" t="s">
        <v>43</v>
      </c>
      <c r="B10" s="752"/>
      <c r="C10" s="753"/>
      <c r="D10" s="278" t="s">
        <v>51</v>
      </c>
    </row>
    <row r="11" spans="1:4" x14ac:dyDescent="0.2">
      <c r="A11" s="724" t="s">
        <v>19</v>
      </c>
      <c r="B11" s="725"/>
      <c r="C11" s="726"/>
      <c r="D11" s="205" t="s">
        <v>50</v>
      </c>
    </row>
    <row r="12" spans="1:4" ht="25.5" x14ac:dyDescent="0.2">
      <c r="A12" s="724" t="s">
        <v>42</v>
      </c>
      <c r="B12" s="725"/>
      <c r="C12" s="726"/>
      <c r="D12" s="278" t="s">
        <v>172</v>
      </c>
    </row>
    <row r="13" spans="1:4" ht="13.5" thickBot="1" x14ac:dyDescent="0.25">
      <c r="A13" s="732" t="s">
        <v>20</v>
      </c>
      <c r="B13" s="733"/>
      <c r="C13" s="735"/>
      <c r="D13" s="206">
        <v>12</v>
      </c>
    </row>
    <row r="14" spans="1:4" ht="14.25" thickTop="1" thickBot="1" x14ac:dyDescent="0.25">
      <c r="B14" s="145"/>
      <c r="C14" s="20"/>
      <c r="D14" s="20"/>
    </row>
    <row r="15" spans="1:4" ht="14.25" thickTop="1" thickBot="1" x14ac:dyDescent="0.25">
      <c r="A15" s="746" t="s">
        <v>21</v>
      </c>
      <c r="B15" s="747"/>
      <c r="C15" s="747"/>
      <c r="D15" s="748"/>
    </row>
    <row r="16" spans="1:4" ht="15" customHeight="1" thickTop="1" thickBot="1" x14ac:dyDescent="0.25">
      <c r="A16" s="749" t="s">
        <v>22</v>
      </c>
      <c r="B16" s="749"/>
      <c r="C16" s="200" t="s">
        <v>23</v>
      </c>
      <c r="D16" s="22" t="s">
        <v>24</v>
      </c>
    </row>
    <row r="17" spans="1:4" ht="14.25" thickTop="1" thickBot="1" x14ac:dyDescent="0.25">
      <c r="A17" s="750" t="s">
        <v>386</v>
      </c>
      <c r="B17" s="750"/>
      <c r="C17" s="201" t="s">
        <v>135</v>
      </c>
      <c r="D17" s="354">
        <v>15</v>
      </c>
    </row>
    <row r="18" spans="1:4" ht="14.25" thickTop="1" thickBot="1" x14ac:dyDescent="0.25">
      <c r="A18" s="213"/>
      <c r="B18" s="146"/>
      <c r="C18" s="23"/>
      <c r="D18" s="23"/>
    </row>
    <row r="19" spans="1:4" ht="14.25" thickTop="1" thickBot="1" x14ac:dyDescent="0.25">
      <c r="A19" s="738" t="s">
        <v>45</v>
      </c>
      <c r="B19" s="739"/>
      <c r="C19" s="739"/>
      <c r="D19" s="740"/>
    </row>
    <row r="20" spans="1:4" ht="13.5" thickTop="1" x14ac:dyDescent="0.2">
      <c r="A20" s="721" t="s">
        <v>102</v>
      </c>
      <c r="B20" s="722"/>
      <c r="C20" s="723"/>
      <c r="D20" s="207" t="s">
        <v>173</v>
      </c>
    </row>
    <row r="21" spans="1:4" x14ac:dyDescent="0.2">
      <c r="A21" s="724" t="s">
        <v>47</v>
      </c>
      <c r="B21" s="725"/>
      <c r="C21" s="726"/>
      <c r="D21" s="208" t="s">
        <v>171</v>
      </c>
    </row>
    <row r="22" spans="1:4" x14ac:dyDescent="0.2">
      <c r="A22" s="724" t="s">
        <v>46</v>
      </c>
      <c r="B22" s="725"/>
      <c r="C22" s="726"/>
      <c r="D22" s="279">
        <v>1287.96</v>
      </c>
    </row>
    <row r="23" spans="1:4" ht="38.25" x14ac:dyDescent="0.2">
      <c r="A23" s="724" t="s">
        <v>48</v>
      </c>
      <c r="B23" s="725"/>
      <c r="C23" s="726"/>
      <c r="D23" s="208" t="s">
        <v>174</v>
      </c>
    </row>
    <row r="24" spans="1:4" ht="13.5" thickBot="1" x14ac:dyDescent="0.25">
      <c r="A24" s="732" t="s">
        <v>49</v>
      </c>
      <c r="B24" s="733"/>
      <c r="C24" s="735"/>
      <c r="D24" s="280">
        <v>44197</v>
      </c>
    </row>
    <row r="25" spans="1:4" ht="14.25" thickTop="1" thickBot="1" x14ac:dyDescent="0.25">
      <c r="B25" s="145"/>
      <c r="C25" s="20"/>
      <c r="D25" s="20"/>
    </row>
    <row r="26" spans="1:4" ht="14.25" thickTop="1" thickBot="1" x14ac:dyDescent="0.25">
      <c r="A26" s="738" t="s">
        <v>44</v>
      </c>
      <c r="B26" s="739"/>
      <c r="C26" s="739"/>
      <c r="D26" s="740"/>
    </row>
    <row r="27" spans="1:4" ht="13.5" thickTop="1" x14ac:dyDescent="0.2">
      <c r="A27" s="721" t="s">
        <v>12</v>
      </c>
      <c r="B27" s="722"/>
      <c r="C27" s="737"/>
      <c r="D27" s="281">
        <v>5.5</v>
      </c>
    </row>
    <row r="28" spans="1:4" x14ac:dyDescent="0.2">
      <c r="A28" s="724" t="s">
        <v>14</v>
      </c>
      <c r="B28" s="725"/>
      <c r="C28" s="736"/>
      <c r="D28" s="282">
        <v>35</v>
      </c>
    </row>
    <row r="29" spans="1:4" ht="14.45" customHeight="1" x14ac:dyDescent="0.2">
      <c r="A29" s="724" t="s">
        <v>13</v>
      </c>
      <c r="B29" s="725"/>
      <c r="C29" s="736"/>
      <c r="D29" s="282">
        <v>0</v>
      </c>
    </row>
    <row r="30" spans="1:4" x14ac:dyDescent="0.2">
      <c r="A30" s="724" t="s">
        <v>125</v>
      </c>
      <c r="B30" s="725"/>
      <c r="C30" s="736"/>
      <c r="D30" s="283">
        <v>0</v>
      </c>
    </row>
    <row r="31" spans="1:4" x14ac:dyDescent="0.2">
      <c r="A31" s="724" t="s">
        <v>26</v>
      </c>
      <c r="B31" s="725"/>
      <c r="C31" s="736"/>
      <c r="D31" s="282">
        <v>0</v>
      </c>
    </row>
    <row r="32" spans="1:4" x14ac:dyDescent="0.2">
      <c r="A32" s="724" t="s">
        <v>169</v>
      </c>
      <c r="B32" s="725"/>
      <c r="C32" s="736"/>
      <c r="D32" s="283">
        <v>2</v>
      </c>
    </row>
    <row r="33" spans="1:4" x14ac:dyDescent="0.2">
      <c r="A33" s="743" t="s">
        <v>167</v>
      </c>
      <c r="B33" s="744"/>
      <c r="C33" s="745"/>
      <c r="D33" s="283">
        <v>0</v>
      </c>
    </row>
    <row r="34" spans="1:4" ht="13.5" thickBot="1" x14ac:dyDescent="0.25">
      <c r="A34" s="732" t="s">
        <v>25</v>
      </c>
      <c r="B34" s="733"/>
      <c r="C34" s="734"/>
      <c r="D34" s="284">
        <v>21</v>
      </c>
    </row>
    <row r="35" spans="1:4" ht="14.25" thickTop="1" thickBot="1" x14ac:dyDescent="0.25">
      <c r="A35" s="20"/>
      <c r="B35" s="145"/>
      <c r="C35" s="20"/>
      <c r="D35" s="24"/>
    </row>
    <row r="36" spans="1:4" ht="13.5" thickBot="1" x14ac:dyDescent="0.25">
      <c r="A36" s="25" t="s">
        <v>109</v>
      </c>
      <c r="B36" s="729" t="s">
        <v>123</v>
      </c>
      <c r="C36" s="730"/>
      <c r="D36" s="731"/>
    </row>
    <row r="37" spans="1:4" ht="15.75" customHeight="1" thickBot="1" x14ac:dyDescent="0.25">
      <c r="B37" s="145"/>
      <c r="C37" s="20"/>
      <c r="D37" s="20"/>
    </row>
    <row r="38" spans="1:4" ht="39" thickBot="1" x14ac:dyDescent="0.25">
      <c r="A38" s="214"/>
      <c r="B38" s="256" t="s">
        <v>1</v>
      </c>
      <c r="C38" s="257" t="s">
        <v>2</v>
      </c>
      <c r="D38" s="257" t="s">
        <v>175</v>
      </c>
    </row>
    <row r="39" spans="1:4" ht="13.5" thickBot="1" x14ac:dyDescent="0.25">
      <c r="A39" s="741" t="s">
        <v>3</v>
      </c>
      <c r="B39" s="742"/>
      <c r="C39" s="727" t="s">
        <v>0</v>
      </c>
      <c r="D39" s="728"/>
    </row>
    <row r="40" spans="1:4" ht="13.5" thickBot="1" x14ac:dyDescent="0.25">
      <c r="A40" s="26">
        <v>1</v>
      </c>
      <c r="B40" s="147" t="s">
        <v>10</v>
      </c>
      <c r="C40" s="27" t="s">
        <v>0</v>
      </c>
      <c r="D40" s="28" t="s">
        <v>11</v>
      </c>
    </row>
    <row r="41" spans="1:4" x14ac:dyDescent="0.2">
      <c r="A41" s="215" t="s">
        <v>32</v>
      </c>
      <c r="B41" s="148" t="s">
        <v>64</v>
      </c>
      <c r="C41" s="29" t="s">
        <v>0</v>
      </c>
      <c r="D41" s="286">
        <f>D22</f>
        <v>1287.96</v>
      </c>
    </row>
    <row r="42" spans="1:4" x14ac:dyDescent="0.2">
      <c r="A42" s="215" t="s">
        <v>33</v>
      </c>
      <c r="B42" s="149" t="s">
        <v>104</v>
      </c>
      <c r="C42" s="31" t="s">
        <v>0</v>
      </c>
      <c r="D42" s="287">
        <v>0</v>
      </c>
    </row>
    <row r="43" spans="1:4" x14ac:dyDescent="0.2">
      <c r="A43" s="215" t="s">
        <v>34</v>
      </c>
      <c r="B43" s="149" t="s">
        <v>105</v>
      </c>
      <c r="C43" s="31" t="s">
        <v>0</v>
      </c>
      <c r="D43" s="287">
        <v>0</v>
      </c>
    </row>
    <row r="44" spans="1:4" x14ac:dyDescent="0.2">
      <c r="A44" s="215" t="s">
        <v>35</v>
      </c>
      <c r="B44" s="149" t="s">
        <v>106</v>
      </c>
      <c r="C44" s="33" t="s">
        <v>0</v>
      </c>
      <c r="D44" s="287">
        <v>0</v>
      </c>
    </row>
    <row r="45" spans="1:4" x14ac:dyDescent="0.2">
      <c r="A45" s="215" t="s">
        <v>36</v>
      </c>
      <c r="B45" s="149" t="s">
        <v>107</v>
      </c>
      <c r="C45" s="33" t="s">
        <v>0</v>
      </c>
      <c r="D45" s="287">
        <v>0</v>
      </c>
    </row>
    <row r="46" spans="1:4" ht="13.5" thickBot="1" x14ac:dyDescent="0.25">
      <c r="A46" s="216" t="s">
        <v>63</v>
      </c>
      <c r="B46" s="150" t="s">
        <v>65</v>
      </c>
      <c r="C46" s="34" t="s">
        <v>0</v>
      </c>
      <c r="D46" s="288">
        <v>0</v>
      </c>
    </row>
    <row r="47" spans="1:4" ht="15.75" customHeight="1" thickBot="1" x14ac:dyDescent="0.25">
      <c r="A47" s="765" t="s">
        <v>4</v>
      </c>
      <c r="B47" s="766"/>
      <c r="C47" s="767"/>
      <c r="D47" s="68">
        <f>SUM(D41:D46)</f>
        <v>1287.96</v>
      </c>
    </row>
    <row r="48" spans="1:4" ht="13.5" thickBot="1" x14ac:dyDescent="0.25">
      <c r="B48" s="151" t="s">
        <v>0</v>
      </c>
      <c r="C48" s="36" t="s">
        <v>0</v>
      </c>
      <c r="D48" s="37" t="s">
        <v>0</v>
      </c>
    </row>
    <row r="49" spans="1:4" ht="13.5" thickBot="1" x14ac:dyDescent="0.25">
      <c r="A49" s="770" t="s">
        <v>55</v>
      </c>
      <c r="B49" s="771"/>
      <c r="C49" s="258"/>
      <c r="D49" s="259"/>
    </row>
    <row r="50" spans="1:4" ht="13.5" thickBot="1" x14ac:dyDescent="0.25">
      <c r="A50" s="56" t="s">
        <v>57</v>
      </c>
      <c r="B50" s="772" t="s">
        <v>52</v>
      </c>
      <c r="C50" s="772"/>
      <c r="D50" s="773"/>
    </row>
    <row r="51" spans="1:4" ht="15.75" customHeight="1" x14ac:dyDescent="0.2">
      <c r="A51" s="217" t="s">
        <v>32</v>
      </c>
      <c r="B51" s="178" t="s">
        <v>152</v>
      </c>
      <c r="C51" s="135">
        <v>8.3333000000000004E-2</v>
      </c>
      <c r="D51" s="77">
        <f>C51*D47</f>
        <v>107.32957068</v>
      </c>
    </row>
    <row r="52" spans="1:4" ht="29.25" customHeight="1" thickBot="1" x14ac:dyDescent="0.25">
      <c r="A52" s="218" t="s">
        <v>33</v>
      </c>
      <c r="B52" s="179" t="s">
        <v>156</v>
      </c>
      <c r="C52" s="136">
        <v>0.121</v>
      </c>
      <c r="D52" s="79">
        <f>C52*D47</f>
        <v>155.84316000000001</v>
      </c>
    </row>
    <row r="53" spans="1:4" ht="13.5" thickBot="1" x14ac:dyDescent="0.25">
      <c r="A53" s="765" t="s">
        <v>130</v>
      </c>
      <c r="B53" s="767"/>
      <c r="C53" s="121">
        <f>SUM(C51:C52)</f>
        <v>0.20433299999999999</v>
      </c>
      <c r="D53" s="68">
        <f>SUM(D51:D52)</f>
        <v>263.17273068000003</v>
      </c>
    </row>
    <row r="54" spans="1:4" x14ac:dyDescent="0.2">
      <c r="A54" s="769" t="s">
        <v>160</v>
      </c>
      <c r="B54" s="769"/>
      <c r="C54" s="769"/>
      <c r="D54" s="769"/>
    </row>
    <row r="55" spans="1:4" ht="13.5" thickBot="1" x14ac:dyDescent="0.25">
      <c r="A55" s="213"/>
      <c r="B55" s="152"/>
      <c r="C55" s="40"/>
      <c r="D55" s="40"/>
    </row>
    <row r="56" spans="1:4" ht="13.5" thickBot="1" x14ac:dyDescent="0.25">
      <c r="A56" s="38" t="s">
        <v>58</v>
      </c>
      <c r="B56" s="153" t="s">
        <v>54</v>
      </c>
      <c r="C56" s="41"/>
      <c r="D56" s="28" t="s">
        <v>11</v>
      </c>
    </row>
    <row r="57" spans="1:4" x14ac:dyDescent="0.2">
      <c r="A57" s="219" t="s">
        <v>32</v>
      </c>
      <c r="B57" s="154" t="s">
        <v>67</v>
      </c>
      <c r="C57" s="42">
        <v>0.2</v>
      </c>
      <c r="D57" s="30">
        <f>$D$47*C57</f>
        <v>257.59200000000004</v>
      </c>
    </row>
    <row r="58" spans="1:4" x14ac:dyDescent="0.2">
      <c r="A58" s="127" t="s">
        <v>33</v>
      </c>
      <c r="B58" s="155" t="s">
        <v>68</v>
      </c>
      <c r="C58" s="43">
        <v>1.4999999999999999E-2</v>
      </c>
      <c r="D58" s="32">
        <f>($D$47*C58)</f>
        <v>19.319399999999998</v>
      </c>
    </row>
    <row r="59" spans="1:4" x14ac:dyDescent="0.2">
      <c r="A59" s="127" t="s">
        <v>34</v>
      </c>
      <c r="B59" s="155" t="s">
        <v>69</v>
      </c>
      <c r="C59" s="43">
        <v>0.01</v>
      </c>
      <c r="D59" s="32">
        <f t="shared" ref="D59:D61" si="0">($D$47*C59)</f>
        <v>12.8796</v>
      </c>
    </row>
    <row r="60" spans="1:4" s="142" customFormat="1" x14ac:dyDescent="0.2">
      <c r="A60" s="127" t="s">
        <v>35</v>
      </c>
      <c r="B60" s="155" t="s">
        <v>70</v>
      </c>
      <c r="C60" s="43">
        <v>2E-3</v>
      </c>
      <c r="D60" s="32">
        <f t="shared" si="0"/>
        <v>2.57592</v>
      </c>
    </row>
    <row r="61" spans="1:4" x14ac:dyDescent="0.2">
      <c r="A61" s="127" t="s">
        <v>36</v>
      </c>
      <c r="B61" s="155" t="s">
        <v>71</v>
      </c>
      <c r="C61" s="43">
        <v>2.5000000000000001E-2</v>
      </c>
      <c r="D61" s="32">
        <f t="shared" si="0"/>
        <v>32.199000000000005</v>
      </c>
    </row>
    <row r="62" spans="1:4" x14ac:dyDescent="0.2">
      <c r="A62" s="220" t="s">
        <v>61</v>
      </c>
      <c r="B62" s="156" t="s">
        <v>72</v>
      </c>
      <c r="C62" s="119">
        <v>0.08</v>
      </c>
      <c r="D62" s="120">
        <f>$D$47*C62</f>
        <v>103.0368</v>
      </c>
    </row>
    <row r="63" spans="1:4" x14ac:dyDescent="0.2">
      <c r="A63" s="289" t="s">
        <v>62</v>
      </c>
      <c r="B63" s="290" t="s">
        <v>73</v>
      </c>
      <c r="C63" s="291">
        <v>0.03</v>
      </c>
      <c r="D63" s="285">
        <f>($D$47*C63)</f>
        <v>38.638799999999996</v>
      </c>
    </row>
    <row r="64" spans="1:4" ht="13.5" thickBot="1" x14ac:dyDescent="0.25">
      <c r="A64" s="221" t="s">
        <v>63</v>
      </c>
      <c r="B64" s="157" t="s">
        <v>74</v>
      </c>
      <c r="C64" s="70">
        <v>6.0000000000000001E-3</v>
      </c>
      <c r="D64" s="32">
        <f>($D$47*C64)</f>
        <v>7.72776</v>
      </c>
    </row>
    <row r="65" spans="1:4" ht="13.5" thickBot="1" x14ac:dyDescent="0.25">
      <c r="A65" s="765" t="s">
        <v>130</v>
      </c>
      <c r="B65" s="767"/>
      <c r="C65" s="71">
        <f>SUM(C57:C64)</f>
        <v>0.3680000000000001</v>
      </c>
      <c r="D65" s="72">
        <f>SUM(D57:D64)</f>
        <v>473.96927999999997</v>
      </c>
    </row>
    <row r="66" spans="1:4" x14ac:dyDescent="0.2">
      <c r="A66" s="758" t="s">
        <v>158</v>
      </c>
      <c r="B66" s="758"/>
      <c r="C66" s="758"/>
      <c r="D66" s="758"/>
    </row>
    <row r="67" spans="1:4" x14ac:dyDescent="0.2">
      <c r="A67" s="759" t="s">
        <v>159</v>
      </c>
      <c r="B67" s="759"/>
      <c r="C67" s="759"/>
      <c r="D67" s="759"/>
    </row>
    <row r="68" spans="1:4" ht="13.5" thickBot="1" x14ac:dyDescent="0.25">
      <c r="B68" s="151"/>
      <c r="C68" s="36"/>
      <c r="D68" s="37"/>
    </row>
    <row r="69" spans="1:4" ht="13.5" thickBot="1" x14ac:dyDescent="0.25">
      <c r="A69" s="38" t="s">
        <v>59</v>
      </c>
      <c r="B69" s="202" t="s">
        <v>56</v>
      </c>
      <c r="C69" s="45" t="s">
        <v>0</v>
      </c>
      <c r="D69" s="46" t="s">
        <v>11</v>
      </c>
    </row>
    <row r="70" spans="1:4" x14ac:dyDescent="0.2">
      <c r="A70" s="222" t="s">
        <v>32</v>
      </c>
      <c r="B70" s="180" t="s">
        <v>150</v>
      </c>
      <c r="C70" s="29" t="s">
        <v>0</v>
      </c>
      <c r="D70" s="286">
        <f>IF(((D27*2*D34)-D47*0.06)&lt;0,0,(D27*2*D34)-D47*0.06)</f>
        <v>153.72239999999999</v>
      </c>
    </row>
    <row r="71" spans="1:4" x14ac:dyDescent="0.2">
      <c r="A71" s="223" t="s">
        <v>33</v>
      </c>
      <c r="B71" s="181" t="s">
        <v>389</v>
      </c>
      <c r="C71" s="47" t="s">
        <v>0</v>
      </c>
      <c r="D71" s="287">
        <f>(D28*D34)</f>
        <v>735</v>
      </c>
    </row>
    <row r="72" spans="1:4" x14ac:dyDescent="0.2">
      <c r="A72" s="223" t="s">
        <v>34</v>
      </c>
      <c r="B72" s="181" t="s">
        <v>148</v>
      </c>
      <c r="C72" s="47" t="s">
        <v>0</v>
      </c>
      <c r="D72" s="287">
        <f>D29</f>
        <v>0</v>
      </c>
    </row>
    <row r="73" spans="1:4" x14ac:dyDescent="0.2">
      <c r="A73" s="223" t="s">
        <v>35</v>
      </c>
      <c r="B73" s="181" t="s">
        <v>75</v>
      </c>
      <c r="C73" s="47" t="s">
        <v>0</v>
      </c>
      <c r="D73" s="287">
        <f>D30</f>
        <v>0</v>
      </c>
    </row>
    <row r="74" spans="1:4" x14ac:dyDescent="0.2">
      <c r="A74" s="223" t="s">
        <v>36</v>
      </c>
      <c r="B74" s="181" t="s">
        <v>149</v>
      </c>
      <c r="C74" s="47" t="s">
        <v>0</v>
      </c>
      <c r="D74" s="287">
        <f>D31</f>
        <v>0</v>
      </c>
    </row>
    <row r="75" spans="1:4" x14ac:dyDescent="0.2">
      <c r="A75" s="223" t="s">
        <v>62</v>
      </c>
      <c r="B75" s="181" t="s">
        <v>168</v>
      </c>
      <c r="C75" s="47" t="s">
        <v>0</v>
      </c>
      <c r="D75" s="287">
        <f>D32</f>
        <v>2</v>
      </c>
    </row>
    <row r="76" spans="1:4" ht="13.5" thickBot="1" x14ac:dyDescent="0.25">
      <c r="A76" s="224" t="s">
        <v>63</v>
      </c>
      <c r="B76" s="182" t="s">
        <v>65</v>
      </c>
      <c r="C76" s="48" t="s">
        <v>0</v>
      </c>
      <c r="D76" s="299">
        <f>D33</f>
        <v>0</v>
      </c>
    </row>
    <row r="77" spans="1:4" ht="15.75" customHeight="1" thickBot="1" x14ac:dyDescent="0.25">
      <c r="A77" s="765" t="s">
        <v>130</v>
      </c>
      <c r="B77" s="767"/>
      <c r="C77" s="73" t="s">
        <v>0</v>
      </c>
      <c r="D77" s="74">
        <f>SUM(D70:D76)</f>
        <v>890.72239999999999</v>
      </c>
    </row>
    <row r="78" spans="1:4" ht="13.5" thickBot="1" x14ac:dyDescent="0.25">
      <c r="A78" s="270"/>
      <c r="B78" s="271"/>
      <c r="C78" s="272"/>
      <c r="D78" s="273"/>
    </row>
    <row r="79" spans="1:4" ht="13.5" thickBot="1" x14ac:dyDescent="0.25">
      <c r="A79" s="741" t="s">
        <v>131</v>
      </c>
      <c r="B79" s="742"/>
      <c r="C79" s="742"/>
      <c r="D79" s="764"/>
    </row>
    <row r="80" spans="1:4" ht="13.5" thickBot="1" x14ac:dyDescent="0.25">
      <c r="A80" s="260">
        <v>2</v>
      </c>
      <c r="B80" s="158" t="s">
        <v>53</v>
      </c>
      <c r="C80" s="41" t="s">
        <v>0</v>
      </c>
      <c r="D80" s="28" t="s">
        <v>11</v>
      </c>
    </row>
    <row r="81" spans="1:4" x14ac:dyDescent="0.2">
      <c r="A81" s="225" t="s">
        <v>57</v>
      </c>
      <c r="B81" s="183" t="s">
        <v>76</v>
      </c>
      <c r="C81" s="63"/>
      <c r="D81" s="30">
        <f>D53</f>
        <v>263.17273068000003</v>
      </c>
    </row>
    <row r="82" spans="1:4" x14ac:dyDescent="0.2">
      <c r="A82" s="225" t="s">
        <v>58</v>
      </c>
      <c r="B82" s="184" t="s">
        <v>77</v>
      </c>
      <c r="C82" s="49"/>
      <c r="D82" s="32">
        <f>D65</f>
        <v>473.96927999999997</v>
      </c>
    </row>
    <row r="83" spans="1:4" ht="13.5" thickBot="1" x14ac:dyDescent="0.25">
      <c r="A83" s="226" t="s">
        <v>59</v>
      </c>
      <c r="B83" s="185" t="s">
        <v>110</v>
      </c>
      <c r="C83" s="62"/>
      <c r="D83" s="35">
        <f>D77</f>
        <v>890.72239999999999</v>
      </c>
    </row>
    <row r="84" spans="1:4" ht="15.75" customHeight="1" thickBot="1" x14ac:dyDescent="0.25">
      <c r="A84" s="227"/>
      <c r="B84" s="159" t="s">
        <v>5</v>
      </c>
      <c r="C84" s="76" t="s">
        <v>0</v>
      </c>
      <c r="D84" s="78">
        <f>SUM(D81:D83)</f>
        <v>1627.86441068</v>
      </c>
    </row>
    <row r="85" spans="1:4" ht="13.5" thickBot="1" x14ac:dyDescent="0.25">
      <c r="A85" s="213"/>
      <c r="B85" s="160"/>
      <c r="C85" s="50"/>
      <c r="D85" s="51"/>
    </row>
    <row r="86" spans="1:4" ht="13.5" thickBot="1" x14ac:dyDescent="0.25">
      <c r="A86" s="760" t="s">
        <v>155</v>
      </c>
      <c r="B86" s="761"/>
      <c r="C86" s="761"/>
      <c r="D86" s="762"/>
    </row>
    <row r="87" spans="1:4" s="142" customFormat="1" ht="13.5" thickBot="1" x14ac:dyDescent="0.25">
      <c r="A87" s="260">
        <v>3</v>
      </c>
      <c r="B87" s="774" t="s">
        <v>60</v>
      </c>
      <c r="C87" s="774"/>
      <c r="D87" s="775"/>
    </row>
    <row r="88" spans="1:4" ht="30" customHeight="1" x14ac:dyDescent="0.2">
      <c r="A88" s="127" t="s">
        <v>32</v>
      </c>
      <c r="B88" s="183" t="s">
        <v>390</v>
      </c>
      <c r="C88" s="292">
        <f>33/365*0.2</f>
        <v>1.8082191780821918E-2</v>
      </c>
      <c r="D88" s="30">
        <f>C88*D47</f>
        <v>23.2891397260274</v>
      </c>
    </row>
    <row r="89" spans="1:4" x14ac:dyDescent="0.2">
      <c r="A89" s="220" t="s">
        <v>33</v>
      </c>
      <c r="B89" s="186" t="s">
        <v>391</v>
      </c>
      <c r="C89" s="133">
        <f>C88*8%</f>
        <v>1.4465753424657535E-3</v>
      </c>
      <c r="D89" s="120">
        <f>C89*D47</f>
        <v>1.863131178082192</v>
      </c>
    </row>
    <row r="90" spans="1:4" ht="25.5" x14ac:dyDescent="0.2">
      <c r="A90" s="228" t="s">
        <v>34</v>
      </c>
      <c r="B90" s="177" t="s">
        <v>392</v>
      </c>
      <c r="C90" s="134">
        <v>4.0500000000000001E-2</v>
      </c>
      <c r="D90" s="39">
        <f>C90*D47</f>
        <v>52.162380000000006</v>
      </c>
    </row>
    <row r="91" spans="1:4" x14ac:dyDescent="0.2">
      <c r="A91" s="127" t="s">
        <v>35</v>
      </c>
      <c r="B91" s="187" t="s">
        <v>393</v>
      </c>
      <c r="C91" s="293">
        <v>1.944E-3</v>
      </c>
      <c r="D91" s="32">
        <f>C91*D47</f>
        <v>2.5037942399999999</v>
      </c>
    </row>
    <row r="92" spans="1:4" ht="25.5" x14ac:dyDescent="0.2">
      <c r="A92" s="229" t="s">
        <v>36</v>
      </c>
      <c r="B92" s="187" t="s">
        <v>154</v>
      </c>
      <c r="C92" s="117">
        <f>C91*C65</f>
        <v>7.1539200000000024E-4</v>
      </c>
      <c r="D92" s="67">
        <f>C92*D47</f>
        <v>0.92139628032000032</v>
      </c>
    </row>
    <row r="93" spans="1:4" ht="26.25" thickBot="1" x14ac:dyDescent="0.25">
      <c r="A93" s="230" t="s">
        <v>61</v>
      </c>
      <c r="B93" s="188" t="s">
        <v>394</v>
      </c>
      <c r="C93" s="118">
        <v>4.4999999999999997E-3</v>
      </c>
      <c r="D93" s="115">
        <f>C93*D47</f>
        <v>5.79582</v>
      </c>
    </row>
    <row r="94" spans="1:4" ht="13.5" thickBot="1" x14ac:dyDescent="0.25">
      <c r="A94" s="231"/>
      <c r="B94" s="161" t="s">
        <v>78</v>
      </c>
      <c r="C94" s="125">
        <f>SUM(C88:C93)</f>
        <v>6.7188159123287669E-2</v>
      </c>
      <c r="D94" s="126">
        <f>SUM(D88:D93)</f>
        <v>86.535661424429605</v>
      </c>
    </row>
    <row r="95" spans="1:4" x14ac:dyDescent="0.2">
      <c r="A95" s="758" t="s">
        <v>161</v>
      </c>
      <c r="B95" s="758"/>
      <c r="C95" s="758"/>
      <c r="D95" s="758"/>
    </row>
    <row r="96" spans="1:4" ht="15.75" customHeight="1" x14ac:dyDescent="0.2">
      <c r="A96" s="759" t="s">
        <v>162</v>
      </c>
      <c r="B96" s="759"/>
      <c r="C96" s="759"/>
      <c r="D96" s="759"/>
    </row>
    <row r="97" spans="1:4" ht="13.5" thickBot="1" x14ac:dyDescent="0.25">
      <c r="A97" s="232"/>
      <c r="B97" s="261"/>
      <c r="C97" s="262"/>
      <c r="D97" s="263"/>
    </row>
    <row r="98" spans="1:4" ht="13.5" thickBot="1" x14ac:dyDescent="0.25">
      <c r="A98" s="760" t="s">
        <v>103</v>
      </c>
      <c r="B98" s="761"/>
      <c r="C98" s="761"/>
      <c r="D98" s="762"/>
    </row>
    <row r="99" spans="1:4" ht="13.5" thickBot="1" x14ac:dyDescent="0.25">
      <c r="A99" s="52" t="s">
        <v>81</v>
      </c>
      <c r="B99" s="158" t="s">
        <v>116</v>
      </c>
      <c r="C99" s="264" t="s">
        <v>0</v>
      </c>
      <c r="D99" s="265" t="s">
        <v>11</v>
      </c>
    </row>
    <row r="100" spans="1:4" ht="25.5" x14ac:dyDescent="0.2">
      <c r="A100" s="127" t="s">
        <v>32</v>
      </c>
      <c r="B100" s="183" t="s">
        <v>395</v>
      </c>
      <c r="C100" s="294">
        <v>9.4999999999999998E-3</v>
      </c>
      <c r="D100" s="128">
        <f>C100*$D$47</f>
        <v>12.235620000000001</v>
      </c>
    </row>
    <row r="101" spans="1:4" x14ac:dyDescent="0.2">
      <c r="A101" s="127" t="s">
        <v>33</v>
      </c>
      <c r="B101" s="184" t="s">
        <v>396</v>
      </c>
      <c r="C101" s="293">
        <v>4.1700000000000001E-2</v>
      </c>
      <c r="D101" s="233">
        <f t="shared" ref="D101:D105" si="1">C101*$D$47</f>
        <v>53.707932</v>
      </c>
    </row>
    <row r="102" spans="1:4" ht="15.75" customHeight="1" x14ac:dyDescent="0.2">
      <c r="A102" s="127" t="s">
        <v>34</v>
      </c>
      <c r="B102" s="184" t="s">
        <v>397</v>
      </c>
      <c r="C102" s="295">
        <v>1E-3</v>
      </c>
      <c r="D102" s="233">
        <f t="shared" si="1"/>
        <v>1.28796</v>
      </c>
    </row>
    <row r="103" spans="1:4" x14ac:dyDescent="0.2">
      <c r="A103" s="127" t="s">
        <v>35</v>
      </c>
      <c r="B103" s="184" t="s">
        <v>398</v>
      </c>
      <c r="C103" s="295">
        <v>6.3E-3</v>
      </c>
      <c r="D103" s="233">
        <f t="shared" si="1"/>
        <v>8.1141480000000001</v>
      </c>
    </row>
    <row r="104" spans="1:4" x14ac:dyDescent="0.2">
      <c r="A104" s="127" t="s">
        <v>36</v>
      </c>
      <c r="B104" s="184" t="s">
        <v>399</v>
      </c>
      <c r="C104" s="295">
        <v>2.0000000000000001E-4</v>
      </c>
      <c r="D104" s="233">
        <f t="shared" si="1"/>
        <v>0.25759200000000004</v>
      </c>
    </row>
    <row r="105" spans="1:4" ht="13.5" thickBot="1" x14ac:dyDescent="0.25">
      <c r="A105" s="234" t="s">
        <v>61</v>
      </c>
      <c r="B105" s="184" t="s">
        <v>108</v>
      </c>
      <c r="C105" s="296">
        <v>0</v>
      </c>
      <c r="D105" s="233">
        <f t="shared" si="1"/>
        <v>0</v>
      </c>
    </row>
    <row r="106" spans="1:4" ht="13.5" thickBot="1" x14ac:dyDescent="0.25">
      <c r="A106" s="227"/>
      <c r="B106" s="189" t="s">
        <v>7</v>
      </c>
      <c r="C106" s="137">
        <f>SUM(C100:C105)</f>
        <v>5.8700000000000002E-2</v>
      </c>
      <c r="D106" s="69">
        <f>SUM(D100:D105)</f>
        <v>75.603251999999998</v>
      </c>
    </row>
    <row r="107" spans="1:4" ht="13.5" thickBot="1" x14ac:dyDescent="0.25">
      <c r="A107" s="235" t="s">
        <v>62</v>
      </c>
      <c r="B107" s="190" t="s">
        <v>132</v>
      </c>
      <c r="C107" s="138">
        <f>C106*C65</f>
        <v>2.1601600000000006E-2</v>
      </c>
      <c r="D107" s="65">
        <f>C107*D47</f>
        <v>27.821996736000006</v>
      </c>
    </row>
    <row r="108" spans="1:4" ht="26.25" thickBot="1" x14ac:dyDescent="0.25">
      <c r="A108" s="236" t="s">
        <v>63</v>
      </c>
      <c r="B108" s="191" t="s">
        <v>133</v>
      </c>
      <c r="C108" s="139">
        <f>C53*C65</f>
        <v>7.5194544000000016E-2</v>
      </c>
      <c r="D108" s="116">
        <f>C108*D47</f>
        <v>96.847564890240022</v>
      </c>
    </row>
    <row r="109" spans="1:4" ht="13.5" thickBot="1" x14ac:dyDescent="0.25">
      <c r="A109" s="237"/>
      <c r="B109" s="192" t="s">
        <v>8</v>
      </c>
      <c r="C109" s="124">
        <f>SUM(C106:C108)</f>
        <v>0.155496144</v>
      </c>
      <c r="D109" s="75">
        <f>SUM(D106:D108)</f>
        <v>200.27281362624001</v>
      </c>
    </row>
    <row r="110" spans="1:4" ht="15.75" customHeight="1" x14ac:dyDescent="0.2">
      <c r="A110" s="758" t="s">
        <v>163</v>
      </c>
      <c r="B110" s="758"/>
      <c r="C110" s="758"/>
      <c r="D110" s="758"/>
    </row>
    <row r="111" spans="1:4" ht="13.5" thickBot="1" x14ac:dyDescent="0.25">
      <c r="B111" s="212"/>
      <c r="C111" s="212"/>
      <c r="D111" s="212"/>
    </row>
    <row r="112" spans="1:4" ht="13.5" thickBot="1" x14ac:dyDescent="0.25">
      <c r="A112" s="741" t="s">
        <v>90</v>
      </c>
      <c r="B112" s="742"/>
      <c r="C112" s="742"/>
      <c r="D112" s="763"/>
    </row>
    <row r="113" spans="1:4" ht="13.5" thickBot="1" x14ac:dyDescent="0.25">
      <c r="A113" s="52">
        <v>5</v>
      </c>
      <c r="B113" s="153" t="s">
        <v>80</v>
      </c>
      <c r="C113" s="27" t="s">
        <v>0</v>
      </c>
      <c r="D113" s="28" t="s">
        <v>11</v>
      </c>
    </row>
    <row r="114" spans="1:4" x14ac:dyDescent="0.2">
      <c r="A114" s="127" t="s">
        <v>32</v>
      </c>
      <c r="B114" s="162" t="s">
        <v>82</v>
      </c>
      <c r="C114" s="29" t="s">
        <v>0</v>
      </c>
      <c r="D114" s="30">
        <f>Uniformes!P15</f>
        <v>33.61</v>
      </c>
    </row>
    <row r="115" spans="1:4" x14ac:dyDescent="0.2">
      <c r="A115" s="127" t="s">
        <v>33</v>
      </c>
      <c r="B115" s="163" t="s">
        <v>40</v>
      </c>
      <c r="C115" s="47" t="s">
        <v>0</v>
      </c>
      <c r="D115" s="32">
        <f>Materiais!O59</f>
        <v>350.69210846230158</v>
      </c>
    </row>
    <row r="116" spans="1:4" x14ac:dyDescent="0.2">
      <c r="A116" s="127" t="s">
        <v>34</v>
      </c>
      <c r="B116" s="163" t="s">
        <v>147</v>
      </c>
      <c r="C116" s="47" t="s">
        <v>0</v>
      </c>
      <c r="D116" s="32">
        <f>'EPI''s'!L12</f>
        <v>5.6436111111111122</v>
      </c>
    </row>
    <row r="117" spans="1:4" ht="13.5" thickBot="1" x14ac:dyDescent="0.25">
      <c r="A117" s="234" t="s">
        <v>35</v>
      </c>
      <c r="B117" s="164" t="s">
        <v>231</v>
      </c>
      <c r="C117" s="48" t="s">
        <v>0</v>
      </c>
      <c r="D117" s="44">
        <f>'EPI''s'!L27</f>
        <v>33.355833333333329</v>
      </c>
    </row>
    <row r="118" spans="1:4" ht="15.75" customHeight="1" thickBot="1" x14ac:dyDescent="0.25">
      <c r="A118" s="227"/>
      <c r="B118" s="165" t="s">
        <v>6</v>
      </c>
      <c r="C118" s="73" t="s">
        <v>0</v>
      </c>
      <c r="D118" s="74">
        <f>SUM(D114:D117)</f>
        <v>423.30155290674605</v>
      </c>
    </row>
    <row r="119" spans="1:4" ht="13.5" thickBot="1" x14ac:dyDescent="0.25">
      <c r="B119" s="151" t="s">
        <v>0</v>
      </c>
      <c r="C119" s="36" t="s">
        <v>0</v>
      </c>
      <c r="D119" s="37" t="s">
        <v>0</v>
      </c>
    </row>
    <row r="120" spans="1:4" ht="13.5" thickBot="1" x14ac:dyDescent="0.25">
      <c r="A120" s="741" t="s">
        <v>83</v>
      </c>
      <c r="B120" s="742"/>
      <c r="C120" s="742"/>
      <c r="D120" s="763"/>
    </row>
    <row r="121" spans="1:4" ht="13.5" thickBot="1" x14ac:dyDescent="0.25">
      <c r="A121" s="38">
        <v>6</v>
      </c>
      <c r="B121" s="53" t="s">
        <v>124</v>
      </c>
      <c r="C121" s="38" t="s">
        <v>0</v>
      </c>
      <c r="D121" s="38"/>
    </row>
    <row r="122" spans="1:4" x14ac:dyDescent="0.2">
      <c r="A122" s="238" t="s">
        <v>32</v>
      </c>
      <c r="B122" s="166" t="s">
        <v>84</v>
      </c>
      <c r="C122" s="297">
        <v>0.05</v>
      </c>
      <c r="D122" s="32">
        <f>D146*C122</f>
        <v>181.29672193187082</v>
      </c>
    </row>
    <row r="123" spans="1:4" x14ac:dyDescent="0.2">
      <c r="A123" s="239"/>
      <c r="B123" s="167" t="s">
        <v>115</v>
      </c>
      <c r="C123" s="122"/>
      <c r="D123" s="54">
        <f>D146+D122</f>
        <v>3807.2311605692867</v>
      </c>
    </row>
    <row r="124" spans="1:4" x14ac:dyDescent="0.2">
      <c r="A124" s="239" t="s">
        <v>33</v>
      </c>
      <c r="B124" s="168" t="s">
        <v>85</v>
      </c>
      <c r="C124" s="297">
        <v>0.06</v>
      </c>
      <c r="D124" s="32">
        <f>C124*D123</f>
        <v>228.43386963415719</v>
      </c>
    </row>
    <row r="125" spans="1:4" x14ac:dyDescent="0.2">
      <c r="A125" s="239"/>
      <c r="B125" s="168"/>
      <c r="C125" s="123"/>
      <c r="D125" s="54">
        <f>D123+D124</f>
        <v>4035.6650302034441</v>
      </c>
    </row>
    <row r="126" spans="1:4" x14ac:dyDescent="0.2">
      <c r="A126" s="239" t="s">
        <v>34</v>
      </c>
      <c r="B126" s="169" t="s">
        <v>37</v>
      </c>
      <c r="C126" s="132">
        <f>C134+C129+C128</f>
        <v>8.6500000000000007E-2</v>
      </c>
      <c r="D126" s="32">
        <f>D147-D122-D124</f>
        <v>382.14014790651174</v>
      </c>
    </row>
    <row r="127" spans="1:4" x14ac:dyDescent="0.2">
      <c r="A127" s="239" t="s">
        <v>98</v>
      </c>
      <c r="B127" s="168" t="s">
        <v>86</v>
      </c>
      <c r="C127" s="297">
        <f>C129+C128</f>
        <v>3.6499999999999998E-2</v>
      </c>
      <c r="D127" s="54">
        <f>D126/C126*C127</f>
        <v>161.2498890010136</v>
      </c>
    </row>
    <row r="128" spans="1:4" x14ac:dyDescent="0.2">
      <c r="A128" s="239"/>
      <c r="B128" s="168" t="s">
        <v>111</v>
      </c>
      <c r="C128" s="297">
        <v>6.4999999999999997E-3</v>
      </c>
      <c r="D128" s="32">
        <f>D126/C126*C128</f>
        <v>28.71573365771475</v>
      </c>
    </row>
    <row r="129" spans="1:4" x14ac:dyDescent="0.2">
      <c r="A129" s="239"/>
      <c r="B129" s="168" t="s">
        <v>112</v>
      </c>
      <c r="C129" s="297">
        <v>0.03</v>
      </c>
      <c r="D129" s="32">
        <f>D126/C126*C129</f>
        <v>132.53415534329886</v>
      </c>
    </row>
    <row r="130" spans="1:4" x14ac:dyDescent="0.2">
      <c r="A130" s="239" t="s">
        <v>99</v>
      </c>
      <c r="B130" s="169" t="s">
        <v>87</v>
      </c>
      <c r="C130" s="132">
        <f>C132+C131</f>
        <v>0</v>
      </c>
      <c r="D130" s="54">
        <v>0</v>
      </c>
    </row>
    <row r="131" spans="1:4" x14ac:dyDescent="0.2">
      <c r="A131" s="239"/>
      <c r="B131" s="168" t="s">
        <v>113</v>
      </c>
      <c r="C131" s="297">
        <v>0</v>
      </c>
      <c r="D131" s="32">
        <v>0</v>
      </c>
    </row>
    <row r="132" spans="1:4" x14ac:dyDescent="0.2">
      <c r="A132" s="239"/>
      <c r="B132" s="168" t="s">
        <v>113</v>
      </c>
      <c r="C132" s="297">
        <v>0</v>
      </c>
      <c r="D132" s="32">
        <v>0</v>
      </c>
    </row>
    <row r="133" spans="1:4" x14ac:dyDescent="0.2">
      <c r="A133" s="239" t="s">
        <v>100</v>
      </c>
      <c r="B133" s="169" t="s">
        <v>88</v>
      </c>
      <c r="C133" s="132">
        <f>C135+C134</f>
        <v>0.05</v>
      </c>
      <c r="D133" s="54">
        <f>D126/C126*C133</f>
        <v>220.89025890549811</v>
      </c>
    </row>
    <row r="134" spans="1:4" x14ac:dyDescent="0.2">
      <c r="A134" s="239"/>
      <c r="B134" s="168" t="s">
        <v>114</v>
      </c>
      <c r="C134" s="297">
        <v>0.05</v>
      </c>
      <c r="D134" s="32">
        <f>D126/C126*C133</f>
        <v>220.89025890549811</v>
      </c>
    </row>
    <row r="135" spans="1:4" ht="13.5" thickBot="1" x14ac:dyDescent="0.25">
      <c r="A135" s="240"/>
      <c r="B135" s="150" t="s">
        <v>113</v>
      </c>
      <c r="C135" s="297">
        <v>0</v>
      </c>
      <c r="D135" s="35">
        <v>0</v>
      </c>
    </row>
    <row r="136" spans="1:4" ht="13.5" thickBot="1" x14ac:dyDescent="0.25">
      <c r="A136" s="227"/>
      <c r="B136" s="159" t="s">
        <v>6</v>
      </c>
      <c r="C136" s="76" t="s">
        <v>0</v>
      </c>
      <c r="D136" s="68">
        <f>D122+D124+D126</f>
        <v>791.87073947253975</v>
      </c>
    </row>
    <row r="137" spans="1:4" ht="13.5" thickBot="1" x14ac:dyDescent="0.25">
      <c r="A137" s="270"/>
      <c r="B137" s="271"/>
      <c r="C137" s="272"/>
      <c r="D137" s="273"/>
    </row>
    <row r="138" spans="1:4" ht="13.5" thickBot="1" x14ac:dyDescent="0.25">
      <c r="A138" s="269" t="s">
        <v>117</v>
      </c>
      <c r="B138" s="266" t="s">
        <v>118</v>
      </c>
      <c r="C138" s="267" t="s">
        <v>0</v>
      </c>
      <c r="D138" s="268"/>
    </row>
    <row r="139" spans="1:4" ht="13.5" thickBot="1" x14ac:dyDescent="0.25">
      <c r="A139" s="270"/>
      <c r="B139" s="271"/>
      <c r="C139" s="272"/>
      <c r="D139" s="273"/>
    </row>
    <row r="140" spans="1:4" ht="13.5" thickBot="1" x14ac:dyDescent="0.25">
      <c r="A140" s="38">
        <v>1</v>
      </c>
      <c r="B140" s="158" t="s">
        <v>96</v>
      </c>
      <c r="C140" s="41" t="s">
        <v>0</v>
      </c>
      <c r="D140" s="28" t="s">
        <v>11</v>
      </c>
    </row>
    <row r="141" spans="1:4" x14ac:dyDescent="0.2">
      <c r="A141" s="241" t="s">
        <v>32</v>
      </c>
      <c r="B141" s="155" t="s">
        <v>94</v>
      </c>
      <c r="C141" s="168"/>
      <c r="D141" s="242">
        <f>D47</f>
        <v>1287.96</v>
      </c>
    </row>
    <row r="142" spans="1:4" x14ac:dyDescent="0.2">
      <c r="A142" s="127" t="s">
        <v>33</v>
      </c>
      <c r="B142" s="155" t="s">
        <v>93</v>
      </c>
      <c r="C142" s="168"/>
      <c r="D142" s="242">
        <f>D84</f>
        <v>1627.86441068</v>
      </c>
    </row>
    <row r="143" spans="1:4" x14ac:dyDescent="0.2">
      <c r="A143" s="127" t="s">
        <v>34</v>
      </c>
      <c r="B143" s="155" t="s">
        <v>92</v>
      </c>
      <c r="C143" s="168"/>
      <c r="D143" s="242">
        <f>D94</f>
        <v>86.535661424429605</v>
      </c>
    </row>
    <row r="144" spans="1:4" x14ac:dyDescent="0.2">
      <c r="A144" s="127" t="s">
        <v>35</v>
      </c>
      <c r="B144" s="155" t="s">
        <v>91</v>
      </c>
      <c r="C144" s="168"/>
      <c r="D144" s="242">
        <f>D109</f>
        <v>200.27281362624001</v>
      </c>
    </row>
    <row r="145" spans="1:4" ht="13.5" thickBot="1" x14ac:dyDescent="0.25">
      <c r="A145" s="221" t="s">
        <v>36</v>
      </c>
      <c r="B145" s="157" t="s">
        <v>89</v>
      </c>
      <c r="C145" s="150"/>
      <c r="D145" s="243">
        <f>D118</f>
        <v>423.30155290674605</v>
      </c>
    </row>
    <row r="146" spans="1:4" ht="16.5" thickBot="1" x14ac:dyDescent="0.25">
      <c r="A146" s="244"/>
      <c r="B146" s="170" t="s">
        <v>129</v>
      </c>
      <c r="C146" s="245"/>
      <c r="D146" s="246">
        <f>SUM(D141:D145)</f>
        <v>3625.934438637416</v>
      </c>
    </row>
    <row r="147" spans="1:4" ht="13.5" thickBot="1" x14ac:dyDescent="0.25">
      <c r="A147" s="247" t="s">
        <v>61</v>
      </c>
      <c r="B147" s="171" t="s">
        <v>97</v>
      </c>
      <c r="C147" s="248"/>
      <c r="D147" s="249">
        <f>D148-D146</f>
        <v>791.87073947253975</v>
      </c>
    </row>
    <row r="148" spans="1:4" ht="16.5" thickBot="1" x14ac:dyDescent="0.25">
      <c r="A148" s="765" t="s">
        <v>122</v>
      </c>
      <c r="B148" s="766"/>
      <c r="C148" s="767"/>
      <c r="D148" s="250">
        <f>D125/(100%-C126)</f>
        <v>4417.8051781099557</v>
      </c>
    </row>
    <row r="149" spans="1:4" ht="13.5" thickBot="1" x14ac:dyDescent="0.25">
      <c r="B149" s="172"/>
      <c r="C149" s="172"/>
      <c r="D149" s="172"/>
    </row>
    <row r="150" spans="1:4" ht="13.5" thickBot="1" x14ac:dyDescent="0.25">
      <c r="A150" s="274" t="s">
        <v>119</v>
      </c>
      <c r="B150" s="275" t="s">
        <v>101</v>
      </c>
      <c r="C150" s="66" t="s">
        <v>0</v>
      </c>
      <c r="D150" s="55"/>
    </row>
    <row r="151" spans="1:4" ht="13.5" thickBot="1" x14ac:dyDescent="0.25">
      <c r="A151" s="270"/>
      <c r="B151" s="271"/>
      <c r="C151" s="272"/>
      <c r="D151" s="273"/>
    </row>
    <row r="152" spans="1:4" ht="13.5" thickBot="1" x14ac:dyDescent="0.25">
      <c r="A152" s="56" t="s">
        <v>120</v>
      </c>
      <c r="B152" s="173" t="s">
        <v>121</v>
      </c>
      <c r="C152" s="57" t="s">
        <v>0</v>
      </c>
      <c r="D152" s="58" t="s">
        <v>11</v>
      </c>
    </row>
    <row r="153" spans="1:4" x14ac:dyDescent="0.2">
      <c r="A153" s="251" t="s">
        <v>32</v>
      </c>
      <c r="B153" s="174" t="s">
        <v>66</v>
      </c>
      <c r="C153" s="140">
        <f>C51</f>
        <v>8.3333000000000004E-2</v>
      </c>
      <c r="D153" s="59">
        <f>D51</f>
        <v>107.32957068</v>
      </c>
    </row>
    <row r="154" spans="1:4" x14ac:dyDescent="0.2">
      <c r="A154" s="252" t="s">
        <v>33</v>
      </c>
      <c r="B154" s="175" t="s">
        <v>153</v>
      </c>
      <c r="C154" s="143">
        <f>C52</f>
        <v>0.121</v>
      </c>
      <c r="D154" s="144">
        <f>C154*D148</f>
        <v>534.55442655130457</v>
      </c>
    </row>
    <row r="155" spans="1:4" x14ac:dyDescent="0.2">
      <c r="A155" s="253" t="s">
        <v>34</v>
      </c>
      <c r="B155" s="209" t="s">
        <v>79</v>
      </c>
      <c r="C155" s="210">
        <f>C90</f>
        <v>4.0500000000000001E-2</v>
      </c>
      <c r="D155" s="211">
        <f>D92</f>
        <v>0.92139628032000032</v>
      </c>
    </row>
    <row r="156" spans="1:4" ht="13.5" thickBot="1" x14ac:dyDescent="0.25">
      <c r="A156" s="254" t="s">
        <v>35</v>
      </c>
      <c r="B156" s="176" t="s">
        <v>151</v>
      </c>
      <c r="C156" s="141">
        <f>C108</f>
        <v>7.5194544000000016E-2</v>
      </c>
      <c r="D156" s="60">
        <f>D93</f>
        <v>5.79582</v>
      </c>
    </row>
    <row r="157" spans="1:4" ht="16.5" thickBot="1" x14ac:dyDescent="0.25">
      <c r="A157" s="756" t="s">
        <v>15</v>
      </c>
      <c r="B157" s="757"/>
      <c r="C157" s="114">
        <f>SUM(C153:C156)</f>
        <v>0.320027544</v>
      </c>
      <c r="D157" s="64">
        <f>SUM(D153:D156)</f>
        <v>648.60121351162456</v>
      </c>
    </row>
    <row r="158" spans="1:4" x14ac:dyDescent="0.2">
      <c r="A158" s="768" t="s">
        <v>400</v>
      </c>
      <c r="B158" s="768"/>
      <c r="C158" s="768"/>
      <c r="D158" s="768"/>
    </row>
    <row r="160" spans="1:4" x14ac:dyDescent="0.2">
      <c r="A160" s="755" t="s">
        <v>177</v>
      </c>
      <c r="B160" s="755"/>
      <c r="C160" s="755"/>
      <c r="D160" s="755"/>
    </row>
    <row r="161" spans="1:4" x14ac:dyDescent="0.2">
      <c r="A161" s="755" t="s">
        <v>164</v>
      </c>
      <c r="B161" s="755"/>
      <c r="C161" s="755"/>
      <c r="D161" s="755"/>
    </row>
  </sheetData>
  <mergeCells count="56">
    <mergeCell ref="A30:C30"/>
    <mergeCell ref="A158:D158"/>
    <mergeCell ref="A47:C47"/>
    <mergeCell ref="A65:B65"/>
    <mergeCell ref="A53:B53"/>
    <mergeCell ref="A54:D54"/>
    <mergeCell ref="A49:B49"/>
    <mergeCell ref="B50:D50"/>
    <mergeCell ref="B87:D87"/>
    <mergeCell ref="A160:D160"/>
    <mergeCell ref="A161:D161"/>
    <mergeCell ref="A157:B157"/>
    <mergeCell ref="A66:D66"/>
    <mergeCell ref="A67:D67"/>
    <mergeCell ref="A86:D86"/>
    <mergeCell ref="A98:D98"/>
    <mergeCell ref="A112:D112"/>
    <mergeCell ref="A120:D120"/>
    <mergeCell ref="A79:B79"/>
    <mergeCell ref="C79:D79"/>
    <mergeCell ref="A148:C148"/>
    <mergeCell ref="A77:B77"/>
    <mergeCell ref="A95:D95"/>
    <mergeCell ref="A96:D96"/>
    <mergeCell ref="A110:D110"/>
    <mergeCell ref="A1:D1"/>
    <mergeCell ref="A2:D2"/>
    <mergeCell ref="A3:D3"/>
    <mergeCell ref="A5:C5"/>
    <mergeCell ref="A6:C6"/>
    <mergeCell ref="A7:C7"/>
    <mergeCell ref="A9:D9"/>
    <mergeCell ref="A10:C10"/>
    <mergeCell ref="A11:C11"/>
    <mergeCell ref="A12:C12"/>
    <mergeCell ref="A13:C13"/>
    <mergeCell ref="A15:D15"/>
    <mergeCell ref="A16:B16"/>
    <mergeCell ref="A17:B17"/>
    <mergeCell ref="A19:D19"/>
    <mergeCell ref="A20:C20"/>
    <mergeCell ref="A21:C21"/>
    <mergeCell ref="A22:C22"/>
    <mergeCell ref="A23:C23"/>
    <mergeCell ref="C39:D39"/>
    <mergeCell ref="B36:D36"/>
    <mergeCell ref="A34:C34"/>
    <mergeCell ref="A24:C24"/>
    <mergeCell ref="A31:C31"/>
    <mergeCell ref="A29:C29"/>
    <mergeCell ref="A27:C27"/>
    <mergeCell ref="A26:D26"/>
    <mergeCell ref="A39:B39"/>
    <mergeCell ref="A33:C33"/>
    <mergeCell ref="A32:C32"/>
    <mergeCell ref="A28:C28"/>
  </mergeCells>
  <phoneticPr fontId="5" type="noConversion"/>
  <pageMargins left="0.70866141732283472" right="0.51181102362204722" top="0.59055118110236227" bottom="0.59055118110236227" header="0.31496062992125984" footer="0.31496062992125984"/>
  <pageSetup paperSize="9" scale="65" fitToHeight="2" orientation="portrait" horizontalDpi="4294967293" verticalDpi="4294967293" r:id="rId1"/>
  <headerFooter>
    <oddFooter>&amp;L&amp;F&amp;C&amp;A&amp;R&amp;P de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23"/>
  <sheetViews>
    <sheetView zoomScale="60" zoomScaleNormal="60" workbookViewId="0">
      <selection activeCell="C4" sqref="C4"/>
    </sheetView>
  </sheetViews>
  <sheetFormatPr defaultRowHeight="15" x14ac:dyDescent="0.25"/>
  <cols>
    <col min="1" max="1" width="11.5703125" style="341" bestFit="1" customWidth="1"/>
    <col min="2" max="2" width="22.5703125" style="341" bestFit="1" customWidth="1"/>
    <col min="3" max="3" width="79.5703125" style="355" customWidth="1"/>
    <col min="4" max="4" width="19.140625" style="355" customWidth="1"/>
    <col min="5" max="5" width="19.85546875" style="355" bestFit="1" customWidth="1"/>
    <col min="6" max="6" width="20.28515625" style="355" customWidth="1"/>
    <col min="7" max="7" width="19.85546875" style="355" customWidth="1"/>
    <col min="8" max="8" width="23.28515625" style="355" bestFit="1" customWidth="1"/>
    <col min="9" max="9" width="19" style="355" customWidth="1"/>
    <col min="10" max="10" width="18.85546875" style="341" customWidth="1"/>
    <col min="11" max="11" width="20.140625" style="341" bestFit="1" customWidth="1"/>
    <col min="12" max="12" width="18.42578125" style="399" bestFit="1" customWidth="1"/>
    <col min="13" max="13" width="20.140625" style="341" customWidth="1"/>
    <col min="14" max="14" width="26" style="341" customWidth="1"/>
    <col min="15" max="15" width="12.42578125" style="341" customWidth="1"/>
    <col min="16" max="16" width="22.28515625" style="341" bestFit="1" customWidth="1"/>
    <col min="17" max="17" width="21.85546875" style="341" customWidth="1"/>
    <col min="18" max="18" width="16.5703125" style="356" bestFit="1" customWidth="1"/>
    <col min="19" max="248" width="9.140625" style="356"/>
    <col min="249" max="249" width="7.28515625" style="356" customWidth="1"/>
    <col min="250" max="250" width="17.28515625" style="356" customWidth="1"/>
    <col min="251" max="251" width="67.42578125" style="356" customWidth="1"/>
    <col min="252" max="252" width="14.5703125" style="356" customWidth="1"/>
    <col min="253" max="253" width="17.7109375" style="356" customWidth="1"/>
    <col min="254" max="254" width="7.28515625" style="356" customWidth="1"/>
    <col min="255" max="255" width="11.140625" style="356" customWidth="1"/>
    <col min="256" max="256" width="18.85546875" style="356" customWidth="1"/>
    <col min="257" max="257" width="13.85546875" style="356" customWidth="1"/>
    <col min="258" max="258" width="15.5703125" style="356" customWidth="1"/>
    <col min="259" max="259" width="18.85546875" style="356" customWidth="1"/>
    <col min="260" max="260" width="18.42578125" style="356" bestFit="1" customWidth="1"/>
    <col min="261" max="261" width="14.7109375" style="356" bestFit="1" customWidth="1"/>
    <col min="262" max="262" width="20.140625" style="356" bestFit="1" customWidth="1"/>
    <col min="263" max="263" width="13.85546875" style="356" customWidth="1"/>
    <col min="264" max="264" width="18.42578125" style="356" bestFit="1" customWidth="1"/>
    <col min="265" max="265" width="16.5703125" style="356" customWidth="1"/>
    <col min="266" max="266" width="14.28515625" style="356" customWidth="1"/>
    <col min="267" max="267" width="19" style="356" customWidth="1"/>
    <col min="268" max="268" width="30.7109375" style="356" bestFit="1" customWidth="1"/>
    <col min="269" max="269" width="12.42578125" style="356" customWidth="1"/>
    <col min="270" max="504" width="9.140625" style="356"/>
    <col min="505" max="505" width="7.28515625" style="356" customWidth="1"/>
    <col min="506" max="506" width="17.28515625" style="356" customWidth="1"/>
    <col min="507" max="507" width="67.42578125" style="356" customWidth="1"/>
    <col min="508" max="508" width="14.5703125" style="356" customWidth="1"/>
    <col min="509" max="509" width="17.7109375" style="356" customWidth="1"/>
    <col min="510" max="510" width="7.28515625" style="356" customWidth="1"/>
    <col min="511" max="511" width="11.140625" style="356" customWidth="1"/>
    <col min="512" max="512" width="18.85546875" style="356" customWidth="1"/>
    <col min="513" max="513" width="13.85546875" style="356" customWidth="1"/>
    <col min="514" max="514" width="15.5703125" style="356" customWidth="1"/>
    <col min="515" max="515" width="18.85546875" style="356" customWidth="1"/>
    <col min="516" max="516" width="18.42578125" style="356" bestFit="1" customWidth="1"/>
    <col min="517" max="517" width="14.7109375" style="356" bestFit="1" customWidth="1"/>
    <col min="518" max="518" width="20.140625" style="356" bestFit="1" customWidth="1"/>
    <col min="519" max="519" width="13.85546875" style="356" customWidth="1"/>
    <col min="520" max="520" width="18.42578125" style="356" bestFit="1" customWidth="1"/>
    <col min="521" max="521" width="16.5703125" style="356" customWidth="1"/>
    <col min="522" max="522" width="14.28515625" style="356" customWidth="1"/>
    <col min="523" max="523" width="19" style="356" customWidth="1"/>
    <col min="524" max="524" width="30.7109375" style="356" bestFit="1" customWidth="1"/>
    <col min="525" max="525" width="12.42578125" style="356" customWidth="1"/>
    <col min="526" max="760" width="9.140625" style="356"/>
    <col min="761" max="761" width="7.28515625" style="356" customWidth="1"/>
    <col min="762" max="762" width="17.28515625" style="356" customWidth="1"/>
    <col min="763" max="763" width="67.42578125" style="356" customWidth="1"/>
    <col min="764" max="764" width="14.5703125" style="356" customWidth="1"/>
    <col min="765" max="765" width="17.7109375" style="356" customWidth="1"/>
    <col min="766" max="766" width="7.28515625" style="356" customWidth="1"/>
    <col min="767" max="767" width="11.140625" style="356" customWidth="1"/>
    <col min="768" max="768" width="18.85546875" style="356" customWidth="1"/>
    <col min="769" max="769" width="13.85546875" style="356" customWidth="1"/>
    <col min="770" max="770" width="15.5703125" style="356" customWidth="1"/>
    <col min="771" max="771" width="18.85546875" style="356" customWidth="1"/>
    <col min="772" max="772" width="18.42578125" style="356" bestFit="1" customWidth="1"/>
    <col min="773" max="773" width="14.7109375" style="356" bestFit="1" customWidth="1"/>
    <col min="774" max="774" width="20.140625" style="356" bestFit="1" customWidth="1"/>
    <col min="775" max="775" width="13.85546875" style="356" customWidth="1"/>
    <col min="776" max="776" width="18.42578125" style="356" bestFit="1" customWidth="1"/>
    <col min="777" max="777" width="16.5703125" style="356" customWidth="1"/>
    <col min="778" max="778" width="14.28515625" style="356" customWidth="1"/>
    <col min="779" max="779" width="19" style="356" customWidth="1"/>
    <col min="780" max="780" width="30.7109375" style="356" bestFit="1" customWidth="1"/>
    <col min="781" max="781" width="12.42578125" style="356" customWidth="1"/>
    <col min="782" max="1016" width="9.140625" style="356"/>
    <col min="1017" max="1017" width="7.28515625" style="356" customWidth="1"/>
    <col min="1018" max="1018" width="17.28515625" style="356" customWidth="1"/>
    <col min="1019" max="1019" width="67.42578125" style="356" customWidth="1"/>
    <col min="1020" max="1020" width="14.5703125" style="356" customWidth="1"/>
    <col min="1021" max="1021" width="17.7109375" style="356" customWidth="1"/>
    <col min="1022" max="1022" width="7.28515625" style="356" customWidth="1"/>
    <col min="1023" max="1023" width="11.140625" style="356" customWidth="1"/>
    <col min="1024" max="1024" width="18.85546875" style="356" customWidth="1"/>
    <col min="1025" max="1025" width="13.85546875" style="356" customWidth="1"/>
    <col min="1026" max="1026" width="15.5703125" style="356" customWidth="1"/>
    <col min="1027" max="1027" width="18.85546875" style="356" customWidth="1"/>
    <col min="1028" max="1028" width="18.42578125" style="356" bestFit="1" customWidth="1"/>
    <col min="1029" max="1029" width="14.7109375" style="356" bestFit="1" customWidth="1"/>
    <col min="1030" max="1030" width="20.140625" style="356" bestFit="1" customWidth="1"/>
    <col min="1031" max="1031" width="13.85546875" style="356" customWidth="1"/>
    <col min="1032" max="1032" width="18.42578125" style="356" bestFit="1" customWidth="1"/>
    <col min="1033" max="1033" width="16.5703125" style="356" customWidth="1"/>
    <col min="1034" max="1034" width="14.28515625" style="356" customWidth="1"/>
    <col min="1035" max="1035" width="19" style="356" customWidth="1"/>
    <col min="1036" max="1036" width="30.7109375" style="356" bestFit="1" customWidth="1"/>
    <col min="1037" max="1037" width="12.42578125" style="356" customWidth="1"/>
    <col min="1038" max="1272" width="9.140625" style="356"/>
    <col min="1273" max="1273" width="7.28515625" style="356" customWidth="1"/>
    <col min="1274" max="1274" width="17.28515625" style="356" customWidth="1"/>
    <col min="1275" max="1275" width="67.42578125" style="356" customWidth="1"/>
    <col min="1276" max="1276" width="14.5703125" style="356" customWidth="1"/>
    <col min="1277" max="1277" width="17.7109375" style="356" customWidth="1"/>
    <col min="1278" max="1278" width="7.28515625" style="356" customWidth="1"/>
    <col min="1279" max="1279" width="11.140625" style="356" customWidth="1"/>
    <col min="1280" max="1280" width="18.85546875" style="356" customWidth="1"/>
    <col min="1281" max="1281" width="13.85546875" style="356" customWidth="1"/>
    <col min="1282" max="1282" width="15.5703125" style="356" customWidth="1"/>
    <col min="1283" max="1283" width="18.85546875" style="356" customWidth="1"/>
    <col min="1284" max="1284" width="18.42578125" style="356" bestFit="1" customWidth="1"/>
    <col min="1285" max="1285" width="14.7109375" style="356" bestFit="1" customWidth="1"/>
    <col min="1286" max="1286" width="20.140625" style="356" bestFit="1" customWidth="1"/>
    <col min="1287" max="1287" width="13.85546875" style="356" customWidth="1"/>
    <col min="1288" max="1288" width="18.42578125" style="356" bestFit="1" customWidth="1"/>
    <col min="1289" max="1289" width="16.5703125" style="356" customWidth="1"/>
    <col min="1290" max="1290" width="14.28515625" style="356" customWidth="1"/>
    <col min="1291" max="1291" width="19" style="356" customWidth="1"/>
    <col min="1292" max="1292" width="30.7109375" style="356" bestFit="1" customWidth="1"/>
    <col min="1293" max="1293" width="12.42578125" style="356" customWidth="1"/>
    <col min="1294" max="1528" width="9.140625" style="356"/>
    <col min="1529" max="1529" width="7.28515625" style="356" customWidth="1"/>
    <col min="1530" max="1530" width="17.28515625" style="356" customWidth="1"/>
    <col min="1531" max="1531" width="67.42578125" style="356" customWidth="1"/>
    <col min="1532" max="1532" width="14.5703125" style="356" customWidth="1"/>
    <col min="1533" max="1533" width="17.7109375" style="356" customWidth="1"/>
    <col min="1534" max="1534" width="7.28515625" style="356" customWidth="1"/>
    <col min="1535" max="1535" width="11.140625" style="356" customWidth="1"/>
    <col min="1536" max="1536" width="18.85546875" style="356" customWidth="1"/>
    <col min="1537" max="1537" width="13.85546875" style="356" customWidth="1"/>
    <col min="1538" max="1538" width="15.5703125" style="356" customWidth="1"/>
    <col min="1539" max="1539" width="18.85546875" style="356" customWidth="1"/>
    <col min="1540" max="1540" width="18.42578125" style="356" bestFit="1" customWidth="1"/>
    <col min="1541" max="1541" width="14.7109375" style="356" bestFit="1" customWidth="1"/>
    <col min="1542" max="1542" width="20.140625" style="356" bestFit="1" customWidth="1"/>
    <col min="1543" max="1543" width="13.85546875" style="356" customWidth="1"/>
    <col min="1544" max="1544" width="18.42578125" style="356" bestFit="1" customWidth="1"/>
    <col min="1545" max="1545" width="16.5703125" style="356" customWidth="1"/>
    <col min="1546" max="1546" width="14.28515625" style="356" customWidth="1"/>
    <col min="1547" max="1547" width="19" style="356" customWidth="1"/>
    <col min="1548" max="1548" width="30.7109375" style="356" bestFit="1" customWidth="1"/>
    <col min="1549" max="1549" width="12.42578125" style="356" customWidth="1"/>
    <col min="1550" max="1784" width="9.140625" style="356"/>
    <col min="1785" max="1785" width="7.28515625" style="356" customWidth="1"/>
    <col min="1786" max="1786" width="17.28515625" style="356" customWidth="1"/>
    <col min="1787" max="1787" width="67.42578125" style="356" customWidth="1"/>
    <col min="1788" max="1788" width="14.5703125" style="356" customWidth="1"/>
    <col min="1789" max="1789" width="17.7109375" style="356" customWidth="1"/>
    <col min="1790" max="1790" width="7.28515625" style="356" customWidth="1"/>
    <col min="1791" max="1791" width="11.140625" style="356" customWidth="1"/>
    <col min="1792" max="1792" width="18.85546875" style="356" customWidth="1"/>
    <col min="1793" max="1793" width="13.85546875" style="356" customWidth="1"/>
    <col min="1794" max="1794" width="15.5703125" style="356" customWidth="1"/>
    <col min="1795" max="1795" width="18.85546875" style="356" customWidth="1"/>
    <col min="1796" max="1796" width="18.42578125" style="356" bestFit="1" customWidth="1"/>
    <col min="1797" max="1797" width="14.7109375" style="356" bestFit="1" customWidth="1"/>
    <col min="1798" max="1798" width="20.140625" style="356" bestFit="1" customWidth="1"/>
    <col min="1799" max="1799" width="13.85546875" style="356" customWidth="1"/>
    <col min="1800" max="1800" width="18.42578125" style="356" bestFit="1" customWidth="1"/>
    <col min="1801" max="1801" width="16.5703125" style="356" customWidth="1"/>
    <col min="1802" max="1802" width="14.28515625" style="356" customWidth="1"/>
    <col min="1803" max="1803" width="19" style="356" customWidth="1"/>
    <col min="1804" max="1804" width="30.7109375" style="356" bestFit="1" customWidth="1"/>
    <col min="1805" max="1805" width="12.42578125" style="356" customWidth="1"/>
    <col min="1806" max="2040" width="9.140625" style="356"/>
    <col min="2041" max="2041" width="7.28515625" style="356" customWidth="1"/>
    <col min="2042" max="2042" width="17.28515625" style="356" customWidth="1"/>
    <col min="2043" max="2043" width="67.42578125" style="356" customWidth="1"/>
    <col min="2044" max="2044" width="14.5703125" style="356" customWidth="1"/>
    <col min="2045" max="2045" width="17.7109375" style="356" customWidth="1"/>
    <col min="2046" max="2046" width="7.28515625" style="356" customWidth="1"/>
    <col min="2047" max="2047" width="11.140625" style="356" customWidth="1"/>
    <col min="2048" max="2048" width="18.85546875" style="356" customWidth="1"/>
    <col min="2049" max="2049" width="13.85546875" style="356" customWidth="1"/>
    <col min="2050" max="2050" width="15.5703125" style="356" customWidth="1"/>
    <col min="2051" max="2051" width="18.85546875" style="356" customWidth="1"/>
    <col min="2052" max="2052" width="18.42578125" style="356" bestFit="1" customWidth="1"/>
    <col min="2053" max="2053" width="14.7109375" style="356" bestFit="1" customWidth="1"/>
    <col min="2054" max="2054" width="20.140625" style="356" bestFit="1" customWidth="1"/>
    <col min="2055" max="2055" width="13.85546875" style="356" customWidth="1"/>
    <col min="2056" max="2056" width="18.42578125" style="356" bestFit="1" customWidth="1"/>
    <col min="2057" max="2057" width="16.5703125" style="356" customWidth="1"/>
    <col min="2058" max="2058" width="14.28515625" style="356" customWidth="1"/>
    <col min="2059" max="2059" width="19" style="356" customWidth="1"/>
    <col min="2060" max="2060" width="30.7109375" style="356" bestFit="1" customWidth="1"/>
    <col min="2061" max="2061" width="12.42578125" style="356" customWidth="1"/>
    <col min="2062" max="2296" width="9.140625" style="356"/>
    <col min="2297" max="2297" width="7.28515625" style="356" customWidth="1"/>
    <col min="2298" max="2298" width="17.28515625" style="356" customWidth="1"/>
    <col min="2299" max="2299" width="67.42578125" style="356" customWidth="1"/>
    <col min="2300" max="2300" width="14.5703125" style="356" customWidth="1"/>
    <col min="2301" max="2301" width="17.7109375" style="356" customWidth="1"/>
    <col min="2302" max="2302" width="7.28515625" style="356" customWidth="1"/>
    <col min="2303" max="2303" width="11.140625" style="356" customWidth="1"/>
    <col min="2304" max="2304" width="18.85546875" style="356" customWidth="1"/>
    <col min="2305" max="2305" width="13.85546875" style="356" customWidth="1"/>
    <col min="2306" max="2306" width="15.5703125" style="356" customWidth="1"/>
    <col min="2307" max="2307" width="18.85546875" style="356" customWidth="1"/>
    <col min="2308" max="2308" width="18.42578125" style="356" bestFit="1" customWidth="1"/>
    <col min="2309" max="2309" width="14.7109375" style="356" bestFit="1" customWidth="1"/>
    <col min="2310" max="2310" width="20.140625" style="356" bestFit="1" customWidth="1"/>
    <col min="2311" max="2311" width="13.85546875" style="356" customWidth="1"/>
    <col min="2312" max="2312" width="18.42578125" style="356" bestFit="1" customWidth="1"/>
    <col min="2313" max="2313" width="16.5703125" style="356" customWidth="1"/>
    <col min="2314" max="2314" width="14.28515625" style="356" customWidth="1"/>
    <col min="2315" max="2315" width="19" style="356" customWidth="1"/>
    <col min="2316" max="2316" width="30.7109375" style="356" bestFit="1" customWidth="1"/>
    <col min="2317" max="2317" width="12.42578125" style="356" customWidth="1"/>
    <col min="2318" max="2552" width="9.140625" style="356"/>
    <col min="2553" max="2553" width="7.28515625" style="356" customWidth="1"/>
    <col min="2554" max="2554" width="17.28515625" style="356" customWidth="1"/>
    <col min="2555" max="2555" width="67.42578125" style="356" customWidth="1"/>
    <col min="2556" max="2556" width="14.5703125" style="356" customWidth="1"/>
    <col min="2557" max="2557" width="17.7109375" style="356" customWidth="1"/>
    <col min="2558" max="2558" width="7.28515625" style="356" customWidth="1"/>
    <col min="2559" max="2559" width="11.140625" style="356" customWidth="1"/>
    <col min="2560" max="2560" width="18.85546875" style="356" customWidth="1"/>
    <col min="2561" max="2561" width="13.85546875" style="356" customWidth="1"/>
    <col min="2562" max="2562" width="15.5703125" style="356" customWidth="1"/>
    <col min="2563" max="2563" width="18.85546875" style="356" customWidth="1"/>
    <col min="2564" max="2564" width="18.42578125" style="356" bestFit="1" customWidth="1"/>
    <col min="2565" max="2565" width="14.7109375" style="356" bestFit="1" customWidth="1"/>
    <col min="2566" max="2566" width="20.140625" style="356" bestFit="1" customWidth="1"/>
    <col min="2567" max="2567" width="13.85546875" style="356" customWidth="1"/>
    <col min="2568" max="2568" width="18.42578125" style="356" bestFit="1" customWidth="1"/>
    <col min="2569" max="2569" width="16.5703125" style="356" customWidth="1"/>
    <col min="2570" max="2570" width="14.28515625" style="356" customWidth="1"/>
    <col min="2571" max="2571" width="19" style="356" customWidth="1"/>
    <col min="2572" max="2572" width="30.7109375" style="356" bestFit="1" customWidth="1"/>
    <col min="2573" max="2573" width="12.42578125" style="356" customWidth="1"/>
    <col min="2574" max="2808" width="9.140625" style="356"/>
    <col min="2809" max="2809" width="7.28515625" style="356" customWidth="1"/>
    <col min="2810" max="2810" width="17.28515625" style="356" customWidth="1"/>
    <col min="2811" max="2811" width="67.42578125" style="356" customWidth="1"/>
    <col min="2812" max="2812" width="14.5703125" style="356" customWidth="1"/>
    <col min="2813" max="2813" width="17.7109375" style="356" customWidth="1"/>
    <col min="2814" max="2814" width="7.28515625" style="356" customWidth="1"/>
    <col min="2815" max="2815" width="11.140625" style="356" customWidth="1"/>
    <col min="2816" max="2816" width="18.85546875" style="356" customWidth="1"/>
    <col min="2817" max="2817" width="13.85546875" style="356" customWidth="1"/>
    <col min="2818" max="2818" width="15.5703125" style="356" customWidth="1"/>
    <col min="2819" max="2819" width="18.85546875" style="356" customWidth="1"/>
    <col min="2820" max="2820" width="18.42578125" style="356" bestFit="1" customWidth="1"/>
    <col min="2821" max="2821" width="14.7109375" style="356" bestFit="1" customWidth="1"/>
    <col min="2822" max="2822" width="20.140625" style="356" bestFit="1" customWidth="1"/>
    <col min="2823" max="2823" width="13.85546875" style="356" customWidth="1"/>
    <col min="2824" max="2824" width="18.42578125" style="356" bestFit="1" customWidth="1"/>
    <col min="2825" max="2825" width="16.5703125" style="356" customWidth="1"/>
    <col min="2826" max="2826" width="14.28515625" style="356" customWidth="1"/>
    <col min="2827" max="2827" width="19" style="356" customWidth="1"/>
    <col min="2828" max="2828" width="30.7109375" style="356" bestFit="1" customWidth="1"/>
    <col min="2829" max="2829" width="12.42578125" style="356" customWidth="1"/>
    <col min="2830" max="3064" width="9.140625" style="356"/>
    <col min="3065" max="3065" width="7.28515625" style="356" customWidth="1"/>
    <col min="3066" max="3066" width="17.28515625" style="356" customWidth="1"/>
    <col min="3067" max="3067" width="67.42578125" style="356" customWidth="1"/>
    <col min="3068" max="3068" width="14.5703125" style="356" customWidth="1"/>
    <col min="3069" max="3069" width="17.7109375" style="356" customWidth="1"/>
    <col min="3070" max="3070" width="7.28515625" style="356" customWidth="1"/>
    <col min="3071" max="3071" width="11.140625" style="356" customWidth="1"/>
    <col min="3072" max="3072" width="18.85546875" style="356" customWidth="1"/>
    <col min="3073" max="3073" width="13.85546875" style="356" customWidth="1"/>
    <col min="3074" max="3074" width="15.5703125" style="356" customWidth="1"/>
    <col min="3075" max="3075" width="18.85546875" style="356" customWidth="1"/>
    <col min="3076" max="3076" width="18.42578125" style="356" bestFit="1" customWidth="1"/>
    <col min="3077" max="3077" width="14.7109375" style="356" bestFit="1" customWidth="1"/>
    <col min="3078" max="3078" width="20.140625" style="356" bestFit="1" customWidth="1"/>
    <col min="3079" max="3079" width="13.85546875" style="356" customWidth="1"/>
    <col min="3080" max="3080" width="18.42578125" style="356" bestFit="1" customWidth="1"/>
    <col min="3081" max="3081" width="16.5703125" style="356" customWidth="1"/>
    <col min="3082" max="3082" width="14.28515625" style="356" customWidth="1"/>
    <col min="3083" max="3083" width="19" style="356" customWidth="1"/>
    <col min="3084" max="3084" width="30.7109375" style="356" bestFit="1" customWidth="1"/>
    <col min="3085" max="3085" width="12.42578125" style="356" customWidth="1"/>
    <col min="3086" max="3320" width="9.140625" style="356"/>
    <col min="3321" max="3321" width="7.28515625" style="356" customWidth="1"/>
    <col min="3322" max="3322" width="17.28515625" style="356" customWidth="1"/>
    <col min="3323" max="3323" width="67.42578125" style="356" customWidth="1"/>
    <col min="3324" max="3324" width="14.5703125" style="356" customWidth="1"/>
    <col min="3325" max="3325" width="17.7109375" style="356" customWidth="1"/>
    <col min="3326" max="3326" width="7.28515625" style="356" customWidth="1"/>
    <col min="3327" max="3327" width="11.140625" style="356" customWidth="1"/>
    <col min="3328" max="3328" width="18.85546875" style="356" customWidth="1"/>
    <col min="3329" max="3329" width="13.85546875" style="356" customWidth="1"/>
    <col min="3330" max="3330" width="15.5703125" style="356" customWidth="1"/>
    <col min="3331" max="3331" width="18.85546875" style="356" customWidth="1"/>
    <col min="3332" max="3332" width="18.42578125" style="356" bestFit="1" customWidth="1"/>
    <col min="3333" max="3333" width="14.7109375" style="356" bestFit="1" customWidth="1"/>
    <col min="3334" max="3334" width="20.140625" style="356" bestFit="1" customWidth="1"/>
    <col min="3335" max="3335" width="13.85546875" style="356" customWidth="1"/>
    <col min="3336" max="3336" width="18.42578125" style="356" bestFit="1" customWidth="1"/>
    <col min="3337" max="3337" width="16.5703125" style="356" customWidth="1"/>
    <col min="3338" max="3338" width="14.28515625" style="356" customWidth="1"/>
    <col min="3339" max="3339" width="19" style="356" customWidth="1"/>
    <col min="3340" max="3340" width="30.7109375" style="356" bestFit="1" customWidth="1"/>
    <col min="3341" max="3341" width="12.42578125" style="356" customWidth="1"/>
    <col min="3342" max="3576" width="9.140625" style="356"/>
    <col min="3577" max="3577" width="7.28515625" style="356" customWidth="1"/>
    <col min="3578" max="3578" width="17.28515625" style="356" customWidth="1"/>
    <col min="3579" max="3579" width="67.42578125" style="356" customWidth="1"/>
    <col min="3580" max="3580" width="14.5703125" style="356" customWidth="1"/>
    <col min="3581" max="3581" width="17.7109375" style="356" customWidth="1"/>
    <col min="3582" max="3582" width="7.28515625" style="356" customWidth="1"/>
    <col min="3583" max="3583" width="11.140625" style="356" customWidth="1"/>
    <col min="3584" max="3584" width="18.85546875" style="356" customWidth="1"/>
    <col min="3585" max="3585" width="13.85546875" style="356" customWidth="1"/>
    <col min="3586" max="3586" width="15.5703125" style="356" customWidth="1"/>
    <col min="3587" max="3587" width="18.85546875" style="356" customWidth="1"/>
    <col min="3588" max="3588" width="18.42578125" style="356" bestFit="1" customWidth="1"/>
    <col min="3589" max="3589" width="14.7109375" style="356" bestFit="1" customWidth="1"/>
    <col min="3590" max="3590" width="20.140625" style="356" bestFit="1" customWidth="1"/>
    <col min="3591" max="3591" width="13.85546875" style="356" customWidth="1"/>
    <col min="3592" max="3592" width="18.42578125" style="356" bestFit="1" customWidth="1"/>
    <col min="3593" max="3593" width="16.5703125" style="356" customWidth="1"/>
    <col min="3594" max="3594" width="14.28515625" style="356" customWidth="1"/>
    <col min="3595" max="3595" width="19" style="356" customWidth="1"/>
    <col min="3596" max="3596" width="30.7109375" style="356" bestFit="1" customWidth="1"/>
    <col min="3597" max="3597" width="12.42578125" style="356" customWidth="1"/>
    <col min="3598" max="3832" width="9.140625" style="356"/>
    <col min="3833" max="3833" width="7.28515625" style="356" customWidth="1"/>
    <col min="3834" max="3834" width="17.28515625" style="356" customWidth="1"/>
    <col min="3835" max="3835" width="67.42578125" style="356" customWidth="1"/>
    <col min="3836" max="3836" width="14.5703125" style="356" customWidth="1"/>
    <col min="3837" max="3837" width="17.7109375" style="356" customWidth="1"/>
    <col min="3838" max="3838" width="7.28515625" style="356" customWidth="1"/>
    <col min="3839" max="3839" width="11.140625" style="356" customWidth="1"/>
    <col min="3840" max="3840" width="18.85546875" style="356" customWidth="1"/>
    <col min="3841" max="3841" width="13.85546875" style="356" customWidth="1"/>
    <col min="3842" max="3842" width="15.5703125" style="356" customWidth="1"/>
    <col min="3843" max="3843" width="18.85546875" style="356" customWidth="1"/>
    <col min="3844" max="3844" width="18.42578125" style="356" bestFit="1" customWidth="1"/>
    <col min="3845" max="3845" width="14.7109375" style="356" bestFit="1" customWidth="1"/>
    <col min="3846" max="3846" width="20.140625" style="356" bestFit="1" customWidth="1"/>
    <col min="3847" max="3847" width="13.85546875" style="356" customWidth="1"/>
    <col min="3848" max="3848" width="18.42578125" style="356" bestFit="1" customWidth="1"/>
    <col min="3849" max="3849" width="16.5703125" style="356" customWidth="1"/>
    <col min="3850" max="3850" width="14.28515625" style="356" customWidth="1"/>
    <col min="3851" max="3851" width="19" style="356" customWidth="1"/>
    <col min="3852" max="3852" width="30.7109375" style="356" bestFit="1" customWidth="1"/>
    <col min="3853" max="3853" width="12.42578125" style="356" customWidth="1"/>
    <col min="3854" max="4088" width="9.140625" style="356"/>
    <col min="4089" max="4089" width="7.28515625" style="356" customWidth="1"/>
    <col min="4090" max="4090" width="17.28515625" style="356" customWidth="1"/>
    <col min="4091" max="4091" width="67.42578125" style="356" customWidth="1"/>
    <col min="4092" max="4092" width="14.5703125" style="356" customWidth="1"/>
    <col min="4093" max="4093" width="17.7109375" style="356" customWidth="1"/>
    <col min="4094" max="4094" width="7.28515625" style="356" customWidth="1"/>
    <col min="4095" max="4095" width="11.140625" style="356" customWidth="1"/>
    <col min="4096" max="4096" width="18.85546875" style="356" customWidth="1"/>
    <col min="4097" max="4097" width="13.85546875" style="356" customWidth="1"/>
    <col min="4098" max="4098" width="15.5703125" style="356" customWidth="1"/>
    <col min="4099" max="4099" width="18.85546875" style="356" customWidth="1"/>
    <col min="4100" max="4100" width="18.42578125" style="356" bestFit="1" customWidth="1"/>
    <col min="4101" max="4101" width="14.7109375" style="356" bestFit="1" customWidth="1"/>
    <col min="4102" max="4102" width="20.140625" style="356" bestFit="1" customWidth="1"/>
    <col min="4103" max="4103" width="13.85546875" style="356" customWidth="1"/>
    <col min="4104" max="4104" width="18.42578125" style="356" bestFit="1" customWidth="1"/>
    <col min="4105" max="4105" width="16.5703125" style="356" customWidth="1"/>
    <col min="4106" max="4106" width="14.28515625" style="356" customWidth="1"/>
    <col min="4107" max="4107" width="19" style="356" customWidth="1"/>
    <col min="4108" max="4108" width="30.7109375" style="356" bestFit="1" customWidth="1"/>
    <col min="4109" max="4109" width="12.42578125" style="356" customWidth="1"/>
    <col min="4110" max="4344" width="9.140625" style="356"/>
    <col min="4345" max="4345" width="7.28515625" style="356" customWidth="1"/>
    <col min="4346" max="4346" width="17.28515625" style="356" customWidth="1"/>
    <col min="4347" max="4347" width="67.42578125" style="356" customWidth="1"/>
    <col min="4348" max="4348" width="14.5703125" style="356" customWidth="1"/>
    <col min="4349" max="4349" width="17.7109375" style="356" customWidth="1"/>
    <col min="4350" max="4350" width="7.28515625" style="356" customWidth="1"/>
    <col min="4351" max="4351" width="11.140625" style="356" customWidth="1"/>
    <col min="4352" max="4352" width="18.85546875" style="356" customWidth="1"/>
    <col min="4353" max="4353" width="13.85546875" style="356" customWidth="1"/>
    <col min="4354" max="4354" width="15.5703125" style="356" customWidth="1"/>
    <col min="4355" max="4355" width="18.85546875" style="356" customWidth="1"/>
    <col min="4356" max="4356" width="18.42578125" style="356" bestFit="1" customWidth="1"/>
    <col min="4357" max="4357" width="14.7109375" style="356" bestFit="1" customWidth="1"/>
    <col min="4358" max="4358" width="20.140625" style="356" bestFit="1" customWidth="1"/>
    <col min="4359" max="4359" width="13.85546875" style="356" customWidth="1"/>
    <col min="4360" max="4360" width="18.42578125" style="356" bestFit="1" customWidth="1"/>
    <col min="4361" max="4361" width="16.5703125" style="356" customWidth="1"/>
    <col min="4362" max="4362" width="14.28515625" style="356" customWidth="1"/>
    <col min="4363" max="4363" width="19" style="356" customWidth="1"/>
    <col min="4364" max="4364" width="30.7109375" style="356" bestFit="1" customWidth="1"/>
    <col min="4365" max="4365" width="12.42578125" style="356" customWidth="1"/>
    <col min="4366" max="4600" width="9.140625" style="356"/>
    <col min="4601" max="4601" width="7.28515625" style="356" customWidth="1"/>
    <col min="4602" max="4602" width="17.28515625" style="356" customWidth="1"/>
    <col min="4603" max="4603" width="67.42578125" style="356" customWidth="1"/>
    <col min="4604" max="4604" width="14.5703125" style="356" customWidth="1"/>
    <col min="4605" max="4605" width="17.7109375" style="356" customWidth="1"/>
    <col min="4606" max="4606" width="7.28515625" style="356" customWidth="1"/>
    <col min="4607" max="4607" width="11.140625" style="356" customWidth="1"/>
    <col min="4608" max="4608" width="18.85546875" style="356" customWidth="1"/>
    <col min="4609" max="4609" width="13.85546875" style="356" customWidth="1"/>
    <col min="4610" max="4610" width="15.5703125" style="356" customWidth="1"/>
    <col min="4611" max="4611" width="18.85546875" style="356" customWidth="1"/>
    <col min="4612" max="4612" width="18.42578125" style="356" bestFit="1" customWidth="1"/>
    <col min="4613" max="4613" width="14.7109375" style="356" bestFit="1" customWidth="1"/>
    <col min="4614" max="4614" width="20.140625" style="356" bestFit="1" customWidth="1"/>
    <col min="4615" max="4615" width="13.85546875" style="356" customWidth="1"/>
    <col min="4616" max="4616" width="18.42578125" style="356" bestFit="1" customWidth="1"/>
    <col min="4617" max="4617" width="16.5703125" style="356" customWidth="1"/>
    <col min="4618" max="4618" width="14.28515625" style="356" customWidth="1"/>
    <col min="4619" max="4619" width="19" style="356" customWidth="1"/>
    <col min="4620" max="4620" width="30.7109375" style="356" bestFit="1" customWidth="1"/>
    <col min="4621" max="4621" width="12.42578125" style="356" customWidth="1"/>
    <col min="4622" max="4856" width="9.140625" style="356"/>
    <col min="4857" max="4857" width="7.28515625" style="356" customWidth="1"/>
    <col min="4858" max="4858" width="17.28515625" style="356" customWidth="1"/>
    <col min="4859" max="4859" width="67.42578125" style="356" customWidth="1"/>
    <col min="4860" max="4860" width="14.5703125" style="356" customWidth="1"/>
    <col min="4861" max="4861" width="17.7109375" style="356" customWidth="1"/>
    <col min="4862" max="4862" width="7.28515625" style="356" customWidth="1"/>
    <col min="4863" max="4863" width="11.140625" style="356" customWidth="1"/>
    <col min="4864" max="4864" width="18.85546875" style="356" customWidth="1"/>
    <col min="4865" max="4865" width="13.85546875" style="356" customWidth="1"/>
    <col min="4866" max="4866" width="15.5703125" style="356" customWidth="1"/>
    <col min="4867" max="4867" width="18.85546875" style="356" customWidth="1"/>
    <col min="4868" max="4868" width="18.42578125" style="356" bestFit="1" customWidth="1"/>
    <col min="4869" max="4869" width="14.7109375" style="356" bestFit="1" customWidth="1"/>
    <col min="4870" max="4870" width="20.140625" style="356" bestFit="1" customWidth="1"/>
    <col min="4871" max="4871" width="13.85546875" style="356" customWidth="1"/>
    <col min="4872" max="4872" width="18.42578125" style="356" bestFit="1" customWidth="1"/>
    <col min="4873" max="4873" width="16.5703125" style="356" customWidth="1"/>
    <col min="4874" max="4874" width="14.28515625" style="356" customWidth="1"/>
    <col min="4875" max="4875" width="19" style="356" customWidth="1"/>
    <col min="4876" max="4876" width="30.7109375" style="356" bestFit="1" customWidth="1"/>
    <col min="4877" max="4877" width="12.42578125" style="356" customWidth="1"/>
    <col min="4878" max="5112" width="9.140625" style="356"/>
    <col min="5113" max="5113" width="7.28515625" style="356" customWidth="1"/>
    <col min="5114" max="5114" width="17.28515625" style="356" customWidth="1"/>
    <col min="5115" max="5115" width="67.42578125" style="356" customWidth="1"/>
    <col min="5116" max="5116" width="14.5703125" style="356" customWidth="1"/>
    <col min="5117" max="5117" width="17.7109375" style="356" customWidth="1"/>
    <col min="5118" max="5118" width="7.28515625" style="356" customWidth="1"/>
    <col min="5119" max="5119" width="11.140625" style="356" customWidth="1"/>
    <col min="5120" max="5120" width="18.85546875" style="356" customWidth="1"/>
    <col min="5121" max="5121" width="13.85546875" style="356" customWidth="1"/>
    <col min="5122" max="5122" width="15.5703125" style="356" customWidth="1"/>
    <col min="5123" max="5123" width="18.85546875" style="356" customWidth="1"/>
    <col min="5124" max="5124" width="18.42578125" style="356" bestFit="1" customWidth="1"/>
    <col min="5125" max="5125" width="14.7109375" style="356" bestFit="1" customWidth="1"/>
    <col min="5126" max="5126" width="20.140625" style="356" bestFit="1" customWidth="1"/>
    <col min="5127" max="5127" width="13.85546875" style="356" customWidth="1"/>
    <col min="5128" max="5128" width="18.42578125" style="356" bestFit="1" customWidth="1"/>
    <col min="5129" max="5129" width="16.5703125" style="356" customWidth="1"/>
    <col min="5130" max="5130" width="14.28515625" style="356" customWidth="1"/>
    <col min="5131" max="5131" width="19" style="356" customWidth="1"/>
    <col min="5132" max="5132" width="30.7109375" style="356" bestFit="1" customWidth="1"/>
    <col min="5133" max="5133" width="12.42578125" style="356" customWidth="1"/>
    <col min="5134" max="5368" width="9.140625" style="356"/>
    <col min="5369" max="5369" width="7.28515625" style="356" customWidth="1"/>
    <col min="5370" max="5370" width="17.28515625" style="356" customWidth="1"/>
    <col min="5371" max="5371" width="67.42578125" style="356" customWidth="1"/>
    <col min="5372" max="5372" width="14.5703125" style="356" customWidth="1"/>
    <col min="5373" max="5373" width="17.7109375" style="356" customWidth="1"/>
    <col min="5374" max="5374" width="7.28515625" style="356" customWidth="1"/>
    <col min="5375" max="5375" width="11.140625" style="356" customWidth="1"/>
    <col min="5376" max="5376" width="18.85546875" style="356" customWidth="1"/>
    <col min="5377" max="5377" width="13.85546875" style="356" customWidth="1"/>
    <col min="5378" max="5378" width="15.5703125" style="356" customWidth="1"/>
    <col min="5379" max="5379" width="18.85546875" style="356" customWidth="1"/>
    <col min="5380" max="5380" width="18.42578125" style="356" bestFit="1" customWidth="1"/>
    <col min="5381" max="5381" width="14.7109375" style="356" bestFit="1" customWidth="1"/>
    <col min="5382" max="5382" width="20.140625" style="356" bestFit="1" customWidth="1"/>
    <col min="5383" max="5383" width="13.85546875" style="356" customWidth="1"/>
    <col min="5384" max="5384" width="18.42578125" style="356" bestFit="1" customWidth="1"/>
    <col min="5385" max="5385" width="16.5703125" style="356" customWidth="1"/>
    <col min="5386" max="5386" width="14.28515625" style="356" customWidth="1"/>
    <col min="5387" max="5387" width="19" style="356" customWidth="1"/>
    <col min="5388" max="5388" width="30.7109375" style="356" bestFit="1" customWidth="1"/>
    <col min="5389" max="5389" width="12.42578125" style="356" customWidth="1"/>
    <col min="5390" max="5624" width="9.140625" style="356"/>
    <col min="5625" max="5625" width="7.28515625" style="356" customWidth="1"/>
    <col min="5626" max="5626" width="17.28515625" style="356" customWidth="1"/>
    <col min="5627" max="5627" width="67.42578125" style="356" customWidth="1"/>
    <col min="5628" max="5628" width="14.5703125" style="356" customWidth="1"/>
    <col min="5629" max="5629" width="17.7109375" style="356" customWidth="1"/>
    <col min="5630" max="5630" width="7.28515625" style="356" customWidth="1"/>
    <col min="5631" max="5631" width="11.140625" style="356" customWidth="1"/>
    <col min="5632" max="5632" width="18.85546875" style="356" customWidth="1"/>
    <col min="5633" max="5633" width="13.85546875" style="356" customWidth="1"/>
    <col min="5634" max="5634" width="15.5703125" style="356" customWidth="1"/>
    <col min="5635" max="5635" width="18.85546875" style="356" customWidth="1"/>
    <col min="5636" max="5636" width="18.42578125" style="356" bestFit="1" customWidth="1"/>
    <col min="5637" max="5637" width="14.7109375" style="356" bestFit="1" customWidth="1"/>
    <col min="5638" max="5638" width="20.140625" style="356" bestFit="1" customWidth="1"/>
    <col min="5639" max="5639" width="13.85546875" style="356" customWidth="1"/>
    <col min="5640" max="5640" width="18.42578125" style="356" bestFit="1" customWidth="1"/>
    <col min="5641" max="5641" width="16.5703125" style="356" customWidth="1"/>
    <col min="5642" max="5642" width="14.28515625" style="356" customWidth="1"/>
    <col min="5643" max="5643" width="19" style="356" customWidth="1"/>
    <col min="5644" max="5644" width="30.7109375" style="356" bestFit="1" customWidth="1"/>
    <col min="5645" max="5645" width="12.42578125" style="356" customWidth="1"/>
    <col min="5646" max="5880" width="9.140625" style="356"/>
    <col min="5881" max="5881" width="7.28515625" style="356" customWidth="1"/>
    <col min="5882" max="5882" width="17.28515625" style="356" customWidth="1"/>
    <col min="5883" max="5883" width="67.42578125" style="356" customWidth="1"/>
    <col min="5884" max="5884" width="14.5703125" style="356" customWidth="1"/>
    <col min="5885" max="5885" width="17.7109375" style="356" customWidth="1"/>
    <col min="5886" max="5886" width="7.28515625" style="356" customWidth="1"/>
    <col min="5887" max="5887" width="11.140625" style="356" customWidth="1"/>
    <col min="5888" max="5888" width="18.85546875" style="356" customWidth="1"/>
    <col min="5889" max="5889" width="13.85546875" style="356" customWidth="1"/>
    <col min="5890" max="5890" width="15.5703125" style="356" customWidth="1"/>
    <col min="5891" max="5891" width="18.85546875" style="356" customWidth="1"/>
    <col min="5892" max="5892" width="18.42578125" style="356" bestFit="1" customWidth="1"/>
    <col min="5893" max="5893" width="14.7109375" style="356" bestFit="1" customWidth="1"/>
    <col min="5894" max="5894" width="20.140625" style="356" bestFit="1" customWidth="1"/>
    <col min="5895" max="5895" width="13.85546875" style="356" customWidth="1"/>
    <col min="5896" max="5896" width="18.42578125" style="356" bestFit="1" customWidth="1"/>
    <col min="5897" max="5897" width="16.5703125" style="356" customWidth="1"/>
    <col min="5898" max="5898" width="14.28515625" style="356" customWidth="1"/>
    <col min="5899" max="5899" width="19" style="356" customWidth="1"/>
    <col min="5900" max="5900" width="30.7109375" style="356" bestFit="1" customWidth="1"/>
    <col min="5901" max="5901" width="12.42578125" style="356" customWidth="1"/>
    <col min="5902" max="6136" width="9.140625" style="356"/>
    <col min="6137" max="6137" width="7.28515625" style="356" customWidth="1"/>
    <col min="6138" max="6138" width="17.28515625" style="356" customWidth="1"/>
    <col min="6139" max="6139" width="67.42578125" style="356" customWidth="1"/>
    <col min="6140" max="6140" width="14.5703125" style="356" customWidth="1"/>
    <col min="6141" max="6141" width="17.7109375" style="356" customWidth="1"/>
    <col min="6142" max="6142" width="7.28515625" style="356" customWidth="1"/>
    <col min="6143" max="6143" width="11.140625" style="356" customWidth="1"/>
    <col min="6144" max="6144" width="18.85546875" style="356" customWidth="1"/>
    <col min="6145" max="6145" width="13.85546875" style="356" customWidth="1"/>
    <col min="6146" max="6146" width="15.5703125" style="356" customWidth="1"/>
    <col min="6147" max="6147" width="18.85546875" style="356" customWidth="1"/>
    <col min="6148" max="6148" width="18.42578125" style="356" bestFit="1" customWidth="1"/>
    <col min="6149" max="6149" width="14.7109375" style="356" bestFit="1" customWidth="1"/>
    <col min="6150" max="6150" width="20.140625" style="356" bestFit="1" customWidth="1"/>
    <col min="6151" max="6151" width="13.85546875" style="356" customWidth="1"/>
    <col min="6152" max="6152" width="18.42578125" style="356" bestFit="1" customWidth="1"/>
    <col min="6153" max="6153" width="16.5703125" style="356" customWidth="1"/>
    <col min="6154" max="6154" width="14.28515625" style="356" customWidth="1"/>
    <col min="6155" max="6155" width="19" style="356" customWidth="1"/>
    <col min="6156" max="6156" width="30.7109375" style="356" bestFit="1" customWidth="1"/>
    <col min="6157" max="6157" width="12.42578125" style="356" customWidth="1"/>
    <col min="6158" max="6392" width="9.140625" style="356"/>
    <col min="6393" max="6393" width="7.28515625" style="356" customWidth="1"/>
    <col min="6394" max="6394" width="17.28515625" style="356" customWidth="1"/>
    <col min="6395" max="6395" width="67.42578125" style="356" customWidth="1"/>
    <col min="6396" max="6396" width="14.5703125" style="356" customWidth="1"/>
    <col min="6397" max="6397" width="17.7109375" style="356" customWidth="1"/>
    <col min="6398" max="6398" width="7.28515625" style="356" customWidth="1"/>
    <col min="6399" max="6399" width="11.140625" style="356" customWidth="1"/>
    <col min="6400" max="6400" width="18.85546875" style="356" customWidth="1"/>
    <col min="6401" max="6401" width="13.85546875" style="356" customWidth="1"/>
    <col min="6402" max="6402" width="15.5703125" style="356" customWidth="1"/>
    <col min="6403" max="6403" width="18.85546875" style="356" customWidth="1"/>
    <col min="6404" max="6404" width="18.42578125" style="356" bestFit="1" customWidth="1"/>
    <col min="6405" max="6405" width="14.7109375" style="356" bestFit="1" customWidth="1"/>
    <col min="6406" max="6406" width="20.140625" style="356" bestFit="1" customWidth="1"/>
    <col min="6407" max="6407" width="13.85546875" style="356" customWidth="1"/>
    <col min="6408" max="6408" width="18.42578125" style="356" bestFit="1" customWidth="1"/>
    <col min="6409" max="6409" width="16.5703125" style="356" customWidth="1"/>
    <col min="6410" max="6410" width="14.28515625" style="356" customWidth="1"/>
    <col min="6411" max="6411" width="19" style="356" customWidth="1"/>
    <col min="6412" max="6412" width="30.7109375" style="356" bestFit="1" customWidth="1"/>
    <col min="6413" max="6413" width="12.42578125" style="356" customWidth="1"/>
    <col min="6414" max="6648" width="9.140625" style="356"/>
    <col min="6649" max="6649" width="7.28515625" style="356" customWidth="1"/>
    <col min="6650" max="6650" width="17.28515625" style="356" customWidth="1"/>
    <col min="6651" max="6651" width="67.42578125" style="356" customWidth="1"/>
    <col min="6652" max="6652" width="14.5703125" style="356" customWidth="1"/>
    <col min="6653" max="6653" width="17.7109375" style="356" customWidth="1"/>
    <col min="6654" max="6654" width="7.28515625" style="356" customWidth="1"/>
    <col min="6655" max="6655" width="11.140625" style="356" customWidth="1"/>
    <col min="6656" max="6656" width="18.85546875" style="356" customWidth="1"/>
    <col min="6657" max="6657" width="13.85546875" style="356" customWidth="1"/>
    <col min="6658" max="6658" width="15.5703125" style="356" customWidth="1"/>
    <col min="6659" max="6659" width="18.85546875" style="356" customWidth="1"/>
    <col min="6660" max="6660" width="18.42578125" style="356" bestFit="1" customWidth="1"/>
    <col min="6661" max="6661" width="14.7109375" style="356" bestFit="1" customWidth="1"/>
    <col min="6662" max="6662" width="20.140625" style="356" bestFit="1" customWidth="1"/>
    <col min="6663" max="6663" width="13.85546875" style="356" customWidth="1"/>
    <col min="6664" max="6664" width="18.42578125" style="356" bestFit="1" customWidth="1"/>
    <col min="6665" max="6665" width="16.5703125" style="356" customWidth="1"/>
    <col min="6666" max="6666" width="14.28515625" style="356" customWidth="1"/>
    <col min="6667" max="6667" width="19" style="356" customWidth="1"/>
    <col min="6668" max="6668" width="30.7109375" style="356" bestFit="1" customWidth="1"/>
    <col min="6669" max="6669" width="12.42578125" style="356" customWidth="1"/>
    <col min="6670" max="6904" width="9.140625" style="356"/>
    <col min="6905" max="6905" width="7.28515625" style="356" customWidth="1"/>
    <col min="6906" max="6906" width="17.28515625" style="356" customWidth="1"/>
    <col min="6907" max="6907" width="67.42578125" style="356" customWidth="1"/>
    <col min="6908" max="6908" width="14.5703125" style="356" customWidth="1"/>
    <col min="6909" max="6909" width="17.7109375" style="356" customWidth="1"/>
    <col min="6910" max="6910" width="7.28515625" style="356" customWidth="1"/>
    <col min="6911" max="6911" width="11.140625" style="356" customWidth="1"/>
    <col min="6912" max="6912" width="18.85546875" style="356" customWidth="1"/>
    <col min="6913" max="6913" width="13.85546875" style="356" customWidth="1"/>
    <col min="6914" max="6914" width="15.5703125" style="356" customWidth="1"/>
    <col min="6915" max="6915" width="18.85546875" style="356" customWidth="1"/>
    <col min="6916" max="6916" width="18.42578125" style="356" bestFit="1" customWidth="1"/>
    <col min="6917" max="6917" width="14.7109375" style="356" bestFit="1" customWidth="1"/>
    <col min="6918" max="6918" width="20.140625" style="356" bestFit="1" customWidth="1"/>
    <col min="6919" max="6919" width="13.85546875" style="356" customWidth="1"/>
    <col min="6920" max="6920" width="18.42578125" style="356" bestFit="1" customWidth="1"/>
    <col min="6921" max="6921" width="16.5703125" style="356" customWidth="1"/>
    <col min="6922" max="6922" width="14.28515625" style="356" customWidth="1"/>
    <col min="6923" max="6923" width="19" style="356" customWidth="1"/>
    <col min="6924" max="6924" width="30.7109375" style="356" bestFit="1" customWidth="1"/>
    <col min="6925" max="6925" width="12.42578125" style="356" customWidth="1"/>
    <col min="6926" max="7160" width="9.140625" style="356"/>
    <col min="7161" max="7161" width="7.28515625" style="356" customWidth="1"/>
    <col min="7162" max="7162" width="17.28515625" style="356" customWidth="1"/>
    <col min="7163" max="7163" width="67.42578125" style="356" customWidth="1"/>
    <col min="7164" max="7164" width="14.5703125" style="356" customWidth="1"/>
    <col min="7165" max="7165" width="17.7109375" style="356" customWidth="1"/>
    <col min="7166" max="7166" width="7.28515625" style="356" customWidth="1"/>
    <col min="7167" max="7167" width="11.140625" style="356" customWidth="1"/>
    <col min="7168" max="7168" width="18.85546875" style="356" customWidth="1"/>
    <col min="7169" max="7169" width="13.85546875" style="356" customWidth="1"/>
    <col min="7170" max="7170" width="15.5703125" style="356" customWidth="1"/>
    <col min="7171" max="7171" width="18.85546875" style="356" customWidth="1"/>
    <col min="7172" max="7172" width="18.42578125" style="356" bestFit="1" customWidth="1"/>
    <col min="7173" max="7173" width="14.7109375" style="356" bestFit="1" customWidth="1"/>
    <col min="7174" max="7174" width="20.140625" style="356" bestFit="1" customWidth="1"/>
    <col min="7175" max="7175" width="13.85546875" style="356" customWidth="1"/>
    <col min="7176" max="7176" width="18.42578125" style="356" bestFit="1" customWidth="1"/>
    <col min="7177" max="7177" width="16.5703125" style="356" customWidth="1"/>
    <col min="7178" max="7178" width="14.28515625" style="356" customWidth="1"/>
    <col min="7179" max="7179" width="19" style="356" customWidth="1"/>
    <col min="7180" max="7180" width="30.7109375" style="356" bestFit="1" customWidth="1"/>
    <col min="7181" max="7181" width="12.42578125" style="356" customWidth="1"/>
    <col min="7182" max="7416" width="9.140625" style="356"/>
    <col min="7417" max="7417" width="7.28515625" style="356" customWidth="1"/>
    <col min="7418" max="7418" width="17.28515625" style="356" customWidth="1"/>
    <col min="7419" max="7419" width="67.42578125" style="356" customWidth="1"/>
    <col min="7420" max="7420" width="14.5703125" style="356" customWidth="1"/>
    <col min="7421" max="7421" width="17.7109375" style="356" customWidth="1"/>
    <col min="7422" max="7422" width="7.28515625" style="356" customWidth="1"/>
    <col min="7423" max="7423" width="11.140625" style="356" customWidth="1"/>
    <col min="7424" max="7424" width="18.85546875" style="356" customWidth="1"/>
    <col min="7425" max="7425" width="13.85546875" style="356" customWidth="1"/>
    <col min="7426" max="7426" width="15.5703125" style="356" customWidth="1"/>
    <col min="7427" max="7427" width="18.85546875" style="356" customWidth="1"/>
    <col min="7428" max="7428" width="18.42578125" style="356" bestFit="1" customWidth="1"/>
    <col min="7429" max="7429" width="14.7109375" style="356" bestFit="1" customWidth="1"/>
    <col min="7430" max="7430" width="20.140625" style="356" bestFit="1" customWidth="1"/>
    <col min="7431" max="7431" width="13.85546875" style="356" customWidth="1"/>
    <col min="7432" max="7432" width="18.42578125" style="356" bestFit="1" customWidth="1"/>
    <col min="7433" max="7433" width="16.5703125" style="356" customWidth="1"/>
    <col min="7434" max="7434" width="14.28515625" style="356" customWidth="1"/>
    <col min="7435" max="7435" width="19" style="356" customWidth="1"/>
    <col min="7436" max="7436" width="30.7109375" style="356" bestFit="1" customWidth="1"/>
    <col min="7437" max="7437" width="12.42578125" style="356" customWidth="1"/>
    <col min="7438" max="7672" width="9.140625" style="356"/>
    <col min="7673" max="7673" width="7.28515625" style="356" customWidth="1"/>
    <col min="7674" max="7674" width="17.28515625" style="356" customWidth="1"/>
    <col min="7675" max="7675" width="67.42578125" style="356" customWidth="1"/>
    <col min="7676" max="7676" width="14.5703125" style="356" customWidth="1"/>
    <col min="7677" max="7677" width="17.7109375" style="356" customWidth="1"/>
    <col min="7678" max="7678" width="7.28515625" style="356" customWidth="1"/>
    <col min="7679" max="7679" width="11.140625" style="356" customWidth="1"/>
    <col min="7680" max="7680" width="18.85546875" style="356" customWidth="1"/>
    <col min="7681" max="7681" width="13.85546875" style="356" customWidth="1"/>
    <col min="7682" max="7682" width="15.5703125" style="356" customWidth="1"/>
    <col min="7683" max="7683" width="18.85546875" style="356" customWidth="1"/>
    <col min="7684" max="7684" width="18.42578125" style="356" bestFit="1" customWidth="1"/>
    <col min="7685" max="7685" width="14.7109375" style="356" bestFit="1" customWidth="1"/>
    <col min="7686" max="7686" width="20.140625" style="356" bestFit="1" customWidth="1"/>
    <col min="7687" max="7687" width="13.85546875" style="356" customWidth="1"/>
    <col min="7688" max="7688" width="18.42578125" style="356" bestFit="1" customWidth="1"/>
    <col min="7689" max="7689" width="16.5703125" style="356" customWidth="1"/>
    <col min="7690" max="7690" width="14.28515625" style="356" customWidth="1"/>
    <col min="7691" max="7691" width="19" style="356" customWidth="1"/>
    <col min="7692" max="7692" width="30.7109375" style="356" bestFit="1" customWidth="1"/>
    <col min="7693" max="7693" width="12.42578125" style="356" customWidth="1"/>
    <col min="7694" max="7928" width="9.140625" style="356"/>
    <col min="7929" max="7929" width="7.28515625" style="356" customWidth="1"/>
    <col min="7930" max="7930" width="17.28515625" style="356" customWidth="1"/>
    <col min="7931" max="7931" width="67.42578125" style="356" customWidth="1"/>
    <col min="7932" max="7932" width="14.5703125" style="356" customWidth="1"/>
    <col min="7933" max="7933" width="17.7109375" style="356" customWidth="1"/>
    <col min="7934" max="7934" width="7.28515625" style="356" customWidth="1"/>
    <col min="7935" max="7935" width="11.140625" style="356" customWidth="1"/>
    <col min="7936" max="7936" width="18.85546875" style="356" customWidth="1"/>
    <col min="7937" max="7937" width="13.85546875" style="356" customWidth="1"/>
    <col min="7938" max="7938" width="15.5703125" style="356" customWidth="1"/>
    <col min="7939" max="7939" width="18.85546875" style="356" customWidth="1"/>
    <col min="7940" max="7940" width="18.42578125" style="356" bestFit="1" customWidth="1"/>
    <col min="7941" max="7941" width="14.7109375" style="356" bestFit="1" customWidth="1"/>
    <col min="7942" max="7942" width="20.140625" style="356" bestFit="1" customWidth="1"/>
    <col min="7943" max="7943" width="13.85546875" style="356" customWidth="1"/>
    <col min="7944" max="7944" width="18.42578125" style="356" bestFit="1" customWidth="1"/>
    <col min="7945" max="7945" width="16.5703125" style="356" customWidth="1"/>
    <col min="7946" max="7946" width="14.28515625" style="356" customWidth="1"/>
    <col min="7947" max="7947" width="19" style="356" customWidth="1"/>
    <col min="7948" max="7948" width="30.7109375" style="356" bestFit="1" customWidth="1"/>
    <col min="7949" max="7949" width="12.42578125" style="356" customWidth="1"/>
    <col min="7950" max="8184" width="9.140625" style="356"/>
    <col min="8185" max="8185" width="7.28515625" style="356" customWidth="1"/>
    <col min="8186" max="8186" width="17.28515625" style="356" customWidth="1"/>
    <col min="8187" max="8187" width="67.42578125" style="356" customWidth="1"/>
    <col min="8188" max="8188" width="14.5703125" style="356" customWidth="1"/>
    <col min="8189" max="8189" width="17.7109375" style="356" customWidth="1"/>
    <col min="8190" max="8190" width="7.28515625" style="356" customWidth="1"/>
    <col min="8191" max="8191" width="11.140625" style="356" customWidth="1"/>
    <col min="8192" max="8192" width="18.85546875" style="356" customWidth="1"/>
    <col min="8193" max="8193" width="13.85546875" style="356" customWidth="1"/>
    <col min="8194" max="8194" width="15.5703125" style="356" customWidth="1"/>
    <col min="8195" max="8195" width="18.85546875" style="356" customWidth="1"/>
    <col min="8196" max="8196" width="18.42578125" style="356" bestFit="1" customWidth="1"/>
    <col min="8197" max="8197" width="14.7109375" style="356" bestFit="1" customWidth="1"/>
    <col min="8198" max="8198" width="20.140625" style="356" bestFit="1" customWidth="1"/>
    <col min="8199" max="8199" width="13.85546875" style="356" customWidth="1"/>
    <col min="8200" max="8200" width="18.42578125" style="356" bestFit="1" customWidth="1"/>
    <col min="8201" max="8201" width="16.5703125" style="356" customWidth="1"/>
    <col min="8202" max="8202" width="14.28515625" style="356" customWidth="1"/>
    <col min="8203" max="8203" width="19" style="356" customWidth="1"/>
    <col min="8204" max="8204" width="30.7109375" style="356" bestFit="1" customWidth="1"/>
    <col min="8205" max="8205" width="12.42578125" style="356" customWidth="1"/>
    <col min="8206" max="8440" width="9.140625" style="356"/>
    <col min="8441" max="8441" width="7.28515625" style="356" customWidth="1"/>
    <col min="8442" max="8442" width="17.28515625" style="356" customWidth="1"/>
    <col min="8443" max="8443" width="67.42578125" style="356" customWidth="1"/>
    <col min="8444" max="8444" width="14.5703125" style="356" customWidth="1"/>
    <col min="8445" max="8445" width="17.7109375" style="356" customWidth="1"/>
    <col min="8446" max="8446" width="7.28515625" style="356" customWidth="1"/>
    <col min="8447" max="8447" width="11.140625" style="356" customWidth="1"/>
    <col min="8448" max="8448" width="18.85546875" style="356" customWidth="1"/>
    <col min="8449" max="8449" width="13.85546875" style="356" customWidth="1"/>
    <col min="8450" max="8450" width="15.5703125" style="356" customWidth="1"/>
    <col min="8451" max="8451" width="18.85546875" style="356" customWidth="1"/>
    <col min="8452" max="8452" width="18.42578125" style="356" bestFit="1" customWidth="1"/>
    <col min="8453" max="8453" width="14.7109375" style="356" bestFit="1" customWidth="1"/>
    <col min="8454" max="8454" width="20.140625" style="356" bestFit="1" customWidth="1"/>
    <col min="8455" max="8455" width="13.85546875" style="356" customWidth="1"/>
    <col min="8456" max="8456" width="18.42578125" style="356" bestFit="1" customWidth="1"/>
    <col min="8457" max="8457" width="16.5703125" style="356" customWidth="1"/>
    <col min="8458" max="8458" width="14.28515625" style="356" customWidth="1"/>
    <col min="8459" max="8459" width="19" style="356" customWidth="1"/>
    <col min="8460" max="8460" width="30.7109375" style="356" bestFit="1" customWidth="1"/>
    <col min="8461" max="8461" width="12.42578125" style="356" customWidth="1"/>
    <col min="8462" max="8696" width="9.140625" style="356"/>
    <col min="8697" max="8697" width="7.28515625" style="356" customWidth="1"/>
    <col min="8698" max="8698" width="17.28515625" style="356" customWidth="1"/>
    <col min="8699" max="8699" width="67.42578125" style="356" customWidth="1"/>
    <col min="8700" max="8700" width="14.5703125" style="356" customWidth="1"/>
    <col min="8701" max="8701" width="17.7109375" style="356" customWidth="1"/>
    <col min="8702" max="8702" width="7.28515625" style="356" customWidth="1"/>
    <col min="8703" max="8703" width="11.140625" style="356" customWidth="1"/>
    <col min="8704" max="8704" width="18.85546875" style="356" customWidth="1"/>
    <col min="8705" max="8705" width="13.85546875" style="356" customWidth="1"/>
    <col min="8706" max="8706" width="15.5703125" style="356" customWidth="1"/>
    <col min="8707" max="8707" width="18.85546875" style="356" customWidth="1"/>
    <col min="8708" max="8708" width="18.42578125" style="356" bestFit="1" customWidth="1"/>
    <col min="8709" max="8709" width="14.7109375" style="356" bestFit="1" customWidth="1"/>
    <col min="8710" max="8710" width="20.140625" style="356" bestFit="1" customWidth="1"/>
    <col min="8711" max="8711" width="13.85546875" style="356" customWidth="1"/>
    <col min="8712" max="8712" width="18.42578125" style="356" bestFit="1" customWidth="1"/>
    <col min="8713" max="8713" width="16.5703125" style="356" customWidth="1"/>
    <col min="8714" max="8714" width="14.28515625" style="356" customWidth="1"/>
    <col min="8715" max="8715" width="19" style="356" customWidth="1"/>
    <col min="8716" max="8716" width="30.7109375" style="356" bestFit="1" customWidth="1"/>
    <col min="8717" max="8717" width="12.42578125" style="356" customWidth="1"/>
    <col min="8718" max="8952" width="9.140625" style="356"/>
    <col min="8953" max="8953" width="7.28515625" style="356" customWidth="1"/>
    <col min="8954" max="8954" width="17.28515625" style="356" customWidth="1"/>
    <col min="8955" max="8955" width="67.42578125" style="356" customWidth="1"/>
    <col min="8956" max="8956" width="14.5703125" style="356" customWidth="1"/>
    <col min="8957" max="8957" width="17.7109375" style="356" customWidth="1"/>
    <col min="8958" max="8958" width="7.28515625" style="356" customWidth="1"/>
    <col min="8959" max="8959" width="11.140625" style="356" customWidth="1"/>
    <col min="8960" max="8960" width="18.85546875" style="356" customWidth="1"/>
    <col min="8961" max="8961" width="13.85546875" style="356" customWidth="1"/>
    <col min="8962" max="8962" width="15.5703125" style="356" customWidth="1"/>
    <col min="8963" max="8963" width="18.85546875" style="356" customWidth="1"/>
    <col min="8964" max="8964" width="18.42578125" style="356" bestFit="1" customWidth="1"/>
    <col min="8965" max="8965" width="14.7109375" style="356" bestFit="1" customWidth="1"/>
    <col min="8966" max="8966" width="20.140625" style="356" bestFit="1" customWidth="1"/>
    <col min="8967" max="8967" width="13.85546875" style="356" customWidth="1"/>
    <col min="8968" max="8968" width="18.42578125" style="356" bestFit="1" customWidth="1"/>
    <col min="8969" max="8969" width="16.5703125" style="356" customWidth="1"/>
    <col min="8970" max="8970" width="14.28515625" style="356" customWidth="1"/>
    <col min="8971" max="8971" width="19" style="356" customWidth="1"/>
    <col min="8972" max="8972" width="30.7109375" style="356" bestFit="1" customWidth="1"/>
    <col min="8973" max="8973" width="12.42578125" style="356" customWidth="1"/>
    <col min="8974" max="9208" width="9.140625" style="356"/>
    <col min="9209" max="9209" width="7.28515625" style="356" customWidth="1"/>
    <col min="9210" max="9210" width="17.28515625" style="356" customWidth="1"/>
    <col min="9211" max="9211" width="67.42578125" style="356" customWidth="1"/>
    <col min="9212" max="9212" width="14.5703125" style="356" customWidth="1"/>
    <col min="9213" max="9213" width="17.7109375" style="356" customWidth="1"/>
    <col min="9214" max="9214" width="7.28515625" style="356" customWidth="1"/>
    <col min="9215" max="9215" width="11.140625" style="356" customWidth="1"/>
    <col min="9216" max="9216" width="18.85546875" style="356" customWidth="1"/>
    <col min="9217" max="9217" width="13.85546875" style="356" customWidth="1"/>
    <col min="9218" max="9218" width="15.5703125" style="356" customWidth="1"/>
    <col min="9219" max="9219" width="18.85546875" style="356" customWidth="1"/>
    <col min="9220" max="9220" width="18.42578125" style="356" bestFit="1" customWidth="1"/>
    <col min="9221" max="9221" width="14.7109375" style="356" bestFit="1" customWidth="1"/>
    <col min="9222" max="9222" width="20.140625" style="356" bestFit="1" customWidth="1"/>
    <col min="9223" max="9223" width="13.85546875" style="356" customWidth="1"/>
    <col min="9224" max="9224" width="18.42578125" style="356" bestFit="1" customWidth="1"/>
    <col min="9225" max="9225" width="16.5703125" style="356" customWidth="1"/>
    <col min="9226" max="9226" width="14.28515625" style="356" customWidth="1"/>
    <col min="9227" max="9227" width="19" style="356" customWidth="1"/>
    <col min="9228" max="9228" width="30.7109375" style="356" bestFit="1" customWidth="1"/>
    <col min="9229" max="9229" width="12.42578125" style="356" customWidth="1"/>
    <col min="9230" max="9464" width="9.140625" style="356"/>
    <col min="9465" max="9465" width="7.28515625" style="356" customWidth="1"/>
    <col min="9466" max="9466" width="17.28515625" style="356" customWidth="1"/>
    <col min="9467" max="9467" width="67.42578125" style="356" customWidth="1"/>
    <col min="9468" max="9468" width="14.5703125" style="356" customWidth="1"/>
    <col min="9469" max="9469" width="17.7109375" style="356" customWidth="1"/>
    <col min="9470" max="9470" width="7.28515625" style="356" customWidth="1"/>
    <col min="9471" max="9471" width="11.140625" style="356" customWidth="1"/>
    <col min="9472" max="9472" width="18.85546875" style="356" customWidth="1"/>
    <col min="9473" max="9473" width="13.85546875" style="356" customWidth="1"/>
    <col min="9474" max="9474" width="15.5703125" style="356" customWidth="1"/>
    <col min="9475" max="9475" width="18.85546875" style="356" customWidth="1"/>
    <col min="9476" max="9476" width="18.42578125" style="356" bestFit="1" customWidth="1"/>
    <col min="9477" max="9477" width="14.7109375" style="356" bestFit="1" customWidth="1"/>
    <col min="9478" max="9478" width="20.140625" style="356" bestFit="1" customWidth="1"/>
    <col min="9479" max="9479" width="13.85546875" style="356" customWidth="1"/>
    <col min="9480" max="9480" width="18.42578125" style="356" bestFit="1" customWidth="1"/>
    <col min="9481" max="9481" width="16.5703125" style="356" customWidth="1"/>
    <col min="9482" max="9482" width="14.28515625" style="356" customWidth="1"/>
    <col min="9483" max="9483" width="19" style="356" customWidth="1"/>
    <col min="9484" max="9484" width="30.7109375" style="356" bestFit="1" customWidth="1"/>
    <col min="9485" max="9485" width="12.42578125" style="356" customWidth="1"/>
    <col min="9486" max="9720" width="9.140625" style="356"/>
    <col min="9721" max="9721" width="7.28515625" style="356" customWidth="1"/>
    <col min="9722" max="9722" width="17.28515625" style="356" customWidth="1"/>
    <col min="9723" max="9723" width="67.42578125" style="356" customWidth="1"/>
    <col min="9724" max="9724" width="14.5703125" style="356" customWidth="1"/>
    <col min="9725" max="9725" width="17.7109375" style="356" customWidth="1"/>
    <col min="9726" max="9726" width="7.28515625" style="356" customWidth="1"/>
    <col min="9727" max="9727" width="11.140625" style="356" customWidth="1"/>
    <col min="9728" max="9728" width="18.85546875" style="356" customWidth="1"/>
    <col min="9729" max="9729" width="13.85546875" style="356" customWidth="1"/>
    <col min="9730" max="9730" width="15.5703125" style="356" customWidth="1"/>
    <col min="9731" max="9731" width="18.85546875" style="356" customWidth="1"/>
    <col min="9732" max="9732" width="18.42578125" style="356" bestFit="1" customWidth="1"/>
    <col min="9733" max="9733" width="14.7109375" style="356" bestFit="1" customWidth="1"/>
    <col min="9734" max="9734" width="20.140625" style="356" bestFit="1" customWidth="1"/>
    <col min="9735" max="9735" width="13.85546875" style="356" customWidth="1"/>
    <col min="9736" max="9736" width="18.42578125" style="356" bestFit="1" customWidth="1"/>
    <col min="9737" max="9737" width="16.5703125" style="356" customWidth="1"/>
    <col min="9738" max="9738" width="14.28515625" style="356" customWidth="1"/>
    <col min="9739" max="9739" width="19" style="356" customWidth="1"/>
    <col min="9740" max="9740" width="30.7109375" style="356" bestFit="1" customWidth="1"/>
    <col min="9741" max="9741" width="12.42578125" style="356" customWidth="1"/>
    <col min="9742" max="9976" width="9.140625" style="356"/>
    <col min="9977" max="9977" width="7.28515625" style="356" customWidth="1"/>
    <col min="9978" max="9978" width="17.28515625" style="356" customWidth="1"/>
    <col min="9979" max="9979" width="67.42578125" style="356" customWidth="1"/>
    <col min="9980" max="9980" width="14.5703125" style="356" customWidth="1"/>
    <col min="9981" max="9981" width="17.7109375" style="356" customWidth="1"/>
    <col min="9982" max="9982" width="7.28515625" style="356" customWidth="1"/>
    <col min="9983" max="9983" width="11.140625" style="356" customWidth="1"/>
    <col min="9984" max="9984" width="18.85546875" style="356" customWidth="1"/>
    <col min="9985" max="9985" width="13.85546875" style="356" customWidth="1"/>
    <col min="9986" max="9986" width="15.5703125" style="356" customWidth="1"/>
    <col min="9987" max="9987" width="18.85546875" style="356" customWidth="1"/>
    <col min="9988" max="9988" width="18.42578125" style="356" bestFit="1" customWidth="1"/>
    <col min="9989" max="9989" width="14.7109375" style="356" bestFit="1" customWidth="1"/>
    <col min="9990" max="9990" width="20.140625" style="356" bestFit="1" customWidth="1"/>
    <col min="9991" max="9991" width="13.85546875" style="356" customWidth="1"/>
    <col min="9992" max="9992" width="18.42578125" style="356" bestFit="1" customWidth="1"/>
    <col min="9993" max="9993" width="16.5703125" style="356" customWidth="1"/>
    <col min="9994" max="9994" width="14.28515625" style="356" customWidth="1"/>
    <col min="9995" max="9995" width="19" style="356" customWidth="1"/>
    <col min="9996" max="9996" width="30.7109375" style="356" bestFit="1" customWidth="1"/>
    <col min="9997" max="9997" width="12.42578125" style="356" customWidth="1"/>
    <col min="9998" max="10232" width="9.140625" style="356"/>
    <col min="10233" max="10233" width="7.28515625" style="356" customWidth="1"/>
    <col min="10234" max="10234" width="17.28515625" style="356" customWidth="1"/>
    <col min="10235" max="10235" width="67.42578125" style="356" customWidth="1"/>
    <col min="10236" max="10236" width="14.5703125" style="356" customWidth="1"/>
    <col min="10237" max="10237" width="17.7109375" style="356" customWidth="1"/>
    <col min="10238" max="10238" width="7.28515625" style="356" customWidth="1"/>
    <col min="10239" max="10239" width="11.140625" style="356" customWidth="1"/>
    <col min="10240" max="10240" width="18.85546875" style="356" customWidth="1"/>
    <col min="10241" max="10241" width="13.85546875" style="356" customWidth="1"/>
    <col min="10242" max="10242" width="15.5703125" style="356" customWidth="1"/>
    <col min="10243" max="10243" width="18.85546875" style="356" customWidth="1"/>
    <col min="10244" max="10244" width="18.42578125" style="356" bestFit="1" customWidth="1"/>
    <col min="10245" max="10245" width="14.7109375" style="356" bestFit="1" customWidth="1"/>
    <col min="10246" max="10246" width="20.140625" style="356" bestFit="1" customWidth="1"/>
    <col min="10247" max="10247" width="13.85546875" style="356" customWidth="1"/>
    <col min="10248" max="10248" width="18.42578125" style="356" bestFit="1" customWidth="1"/>
    <col min="10249" max="10249" width="16.5703125" style="356" customWidth="1"/>
    <col min="10250" max="10250" width="14.28515625" style="356" customWidth="1"/>
    <col min="10251" max="10251" width="19" style="356" customWidth="1"/>
    <col min="10252" max="10252" width="30.7109375" style="356" bestFit="1" customWidth="1"/>
    <col min="10253" max="10253" width="12.42578125" style="356" customWidth="1"/>
    <col min="10254" max="10488" width="9.140625" style="356"/>
    <col min="10489" max="10489" width="7.28515625" style="356" customWidth="1"/>
    <col min="10490" max="10490" width="17.28515625" style="356" customWidth="1"/>
    <col min="10491" max="10491" width="67.42578125" style="356" customWidth="1"/>
    <col min="10492" max="10492" width="14.5703125" style="356" customWidth="1"/>
    <col min="10493" max="10493" width="17.7109375" style="356" customWidth="1"/>
    <col min="10494" max="10494" width="7.28515625" style="356" customWidth="1"/>
    <col min="10495" max="10495" width="11.140625" style="356" customWidth="1"/>
    <col min="10496" max="10496" width="18.85546875" style="356" customWidth="1"/>
    <col min="10497" max="10497" width="13.85546875" style="356" customWidth="1"/>
    <col min="10498" max="10498" width="15.5703125" style="356" customWidth="1"/>
    <col min="10499" max="10499" width="18.85546875" style="356" customWidth="1"/>
    <col min="10500" max="10500" width="18.42578125" style="356" bestFit="1" customWidth="1"/>
    <col min="10501" max="10501" width="14.7109375" style="356" bestFit="1" customWidth="1"/>
    <col min="10502" max="10502" width="20.140625" style="356" bestFit="1" customWidth="1"/>
    <col min="10503" max="10503" width="13.85546875" style="356" customWidth="1"/>
    <col min="10504" max="10504" width="18.42578125" style="356" bestFit="1" customWidth="1"/>
    <col min="10505" max="10505" width="16.5703125" style="356" customWidth="1"/>
    <col min="10506" max="10506" width="14.28515625" style="356" customWidth="1"/>
    <col min="10507" max="10507" width="19" style="356" customWidth="1"/>
    <col min="10508" max="10508" width="30.7109375" style="356" bestFit="1" customWidth="1"/>
    <col min="10509" max="10509" width="12.42578125" style="356" customWidth="1"/>
    <col min="10510" max="10744" width="9.140625" style="356"/>
    <col min="10745" max="10745" width="7.28515625" style="356" customWidth="1"/>
    <col min="10746" max="10746" width="17.28515625" style="356" customWidth="1"/>
    <col min="10747" max="10747" width="67.42578125" style="356" customWidth="1"/>
    <col min="10748" max="10748" width="14.5703125" style="356" customWidth="1"/>
    <col min="10749" max="10749" width="17.7109375" style="356" customWidth="1"/>
    <col min="10750" max="10750" width="7.28515625" style="356" customWidth="1"/>
    <col min="10751" max="10751" width="11.140625" style="356" customWidth="1"/>
    <col min="10752" max="10752" width="18.85546875" style="356" customWidth="1"/>
    <col min="10753" max="10753" width="13.85546875" style="356" customWidth="1"/>
    <col min="10754" max="10754" width="15.5703125" style="356" customWidth="1"/>
    <col min="10755" max="10755" width="18.85546875" style="356" customWidth="1"/>
    <col min="10756" max="10756" width="18.42578125" style="356" bestFit="1" customWidth="1"/>
    <col min="10757" max="10757" width="14.7109375" style="356" bestFit="1" customWidth="1"/>
    <col min="10758" max="10758" width="20.140625" style="356" bestFit="1" customWidth="1"/>
    <col min="10759" max="10759" width="13.85546875" style="356" customWidth="1"/>
    <col min="10760" max="10760" width="18.42578125" style="356" bestFit="1" customWidth="1"/>
    <col min="10761" max="10761" width="16.5703125" style="356" customWidth="1"/>
    <col min="10762" max="10762" width="14.28515625" style="356" customWidth="1"/>
    <col min="10763" max="10763" width="19" style="356" customWidth="1"/>
    <col min="10764" max="10764" width="30.7109375" style="356" bestFit="1" customWidth="1"/>
    <col min="10765" max="10765" width="12.42578125" style="356" customWidth="1"/>
    <col min="10766" max="11000" width="9.140625" style="356"/>
    <col min="11001" max="11001" width="7.28515625" style="356" customWidth="1"/>
    <col min="11002" max="11002" width="17.28515625" style="356" customWidth="1"/>
    <col min="11003" max="11003" width="67.42578125" style="356" customWidth="1"/>
    <col min="11004" max="11004" width="14.5703125" style="356" customWidth="1"/>
    <col min="11005" max="11005" width="17.7109375" style="356" customWidth="1"/>
    <col min="11006" max="11006" width="7.28515625" style="356" customWidth="1"/>
    <col min="11007" max="11007" width="11.140625" style="356" customWidth="1"/>
    <col min="11008" max="11008" width="18.85546875" style="356" customWidth="1"/>
    <col min="11009" max="11009" width="13.85546875" style="356" customWidth="1"/>
    <col min="11010" max="11010" width="15.5703125" style="356" customWidth="1"/>
    <col min="11011" max="11011" width="18.85546875" style="356" customWidth="1"/>
    <col min="11012" max="11012" width="18.42578125" style="356" bestFit="1" customWidth="1"/>
    <col min="11013" max="11013" width="14.7109375" style="356" bestFit="1" customWidth="1"/>
    <col min="11014" max="11014" width="20.140625" style="356" bestFit="1" customWidth="1"/>
    <col min="11015" max="11015" width="13.85546875" style="356" customWidth="1"/>
    <col min="11016" max="11016" width="18.42578125" style="356" bestFit="1" customWidth="1"/>
    <col min="11017" max="11017" width="16.5703125" style="356" customWidth="1"/>
    <col min="11018" max="11018" width="14.28515625" style="356" customWidth="1"/>
    <col min="11019" max="11019" width="19" style="356" customWidth="1"/>
    <col min="11020" max="11020" width="30.7109375" style="356" bestFit="1" customWidth="1"/>
    <col min="11021" max="11021" width="12.42578125" style="356" customWidth="1"/>
    <col min="11022" max="11256" width="9.140625" style="356"/>
    <col min="11257" max="11257" width="7.28515625" style="356" customWidth="1"/>
    <col min="11258" max="11258" width="17.28515625" style="356" customWidth="1"/>
    <col min="11259" max="11259" width="67.42578125" style="356" customWidth="1"/>
    <col min="11260" max="11260" width="14.5703125" style="356" customWidth="1"/>
    <col min="11261" max="11261" width="17.7109375" style="356" customWidth="1"/>
    <col min="11262" max="11262" width="7.28515625" style="356" customWidth="1"/>
    <col min="11263" max="11263" width="11.140625" style="356" customWidth="1"/>
    <col min="11264" max="11264" width="18.85546875" style="356" customWidth="1"/>
    <col min="11265" max="11265" width="13.85546875" style="356" customWidth="1"/>
    <col min="11266" max="11266" width="15.5703125" style="356" customWidth="1"/>
    <col min="11267" max="11267" width="18.85546875" style="356" customWidth="1"/>
    <col min="11268" max="11268" width="18.42578125" style="356" bestFit="1" customWidth="1"/>
    <col min="11269" max="11269" width="14.7109375" style="356" bestFit="1" customWidth="1"/>
    <col min="11270" max="11270" width="20.140625" style="356" bestFit="1" customWidth="1"/>
    <col min="11271" max="11271" width="13.85546875" style="356" customWidth="1"/>
    <col min="11272" max="11272" width="18.42578125" style="356" bestFit="1" customWidth="1"/>
    <col min="11273" max="11273" width="16.5703125" style="356" customWidth="1"/>
    <col min="11274" max="11274" width="14.28515625" style="356" customWidth="1"/>
    <col min="11275" max="11275" width="19" style="356" customWidth="1"/>
    <col min="11276" max="11276" width="30.7109375" style="356" bestFit="1" customWidth="1"/>
    <col min="11277" max="11277" width="12.42578125" style="356" customWidth="1"/>
    <col min="11278" max="11512" width="9.140625" style="356"/>
    <col min="11513" max="11513" width="7.28515625" style="356" customWidth="1"/>
    <col min="11514" max="11514" width="17.28515625" style="356" customWidth="1"/>
    <col min="11515" max="11515" width="67.42578125" style="356" customWidth="1"/>
    <col min="11516" max="11516" width="14.5703125" style="356" customWidth="1"/>
    <col min="11517" max="11517" width="17.7109375" style="356" customWidth="1"/>
    <col min="11518" max="11518" width="7.28515625" style="356" customWidth="1"/>
    <col min="11519" max="11519" width="11.140625" style="356" customWidth="1"/>
    <col min="11520" max="11520" width="18.85546875" style="356" customWidth="1"/>
    <col min="11521" max="11521" width="13.85546875" style="356" customWidth="1"/>
    <col min="11522" max="11522" width="15.5703125" style="356" customWidth="1"/>
    <col min="11523" max="11523" width="18.85546875" style="356" customWidth="1"/>
    <col min="11524" max="11524" width="18.42578125" style="356" bestFit="1" customWidth="1"/>
    <col min="11525" max="11525" width="14.7109375" style="356" bestFit="1" customWidth="1"/>
    <col min="11526" max="11526" width="20.140625" style="356" bestFit="1" customWidth="1"/>
    <col min="11527" max="11527" width="13.85546875" style="356" customWidth="1"/>
    <col min="11528" max="11528" width="18.42578125" style="356" bestFit="1" customWidth="1"/>
    <col min="11529" max="11529" width="16.5703125" style="356" customWidth="1"/>
    <col min="11530" max="11530" width="14.28515625" style="356" customWidth="1"/>
    <col min="11531" max="11531" width="19" style="356" customWidth="1"/>
    <col min="11532" max="11532" width="30.7109375" style="356" bestFit="1" customWidth="1"/>
    <col min="11533" max="11533" width="12.42578125" style="356" customWidth="1"/>
    <col min="11534" max="11768" width="9.140625" style="356"/>
    <col min="11769" max="11769" width="7.28515625" style="356" customWidth="1"/>
    <col min="11770" max="11770" width="17.28515625" style="356" customWidth="1"/>
    <col min="11771" max="11771" width="67.42578125" style="356" customWidth="1"/>
    <col min="11772" max="11772" width="14.5703125" style="356" customWidth="1"/>
    <col min="11773" max="11773" width="17.7109375" style="356" customWidth="1"/>
    <col min="11774" max="11774" width="7.28515625" style="356" customWidth="1"/>
    <col min="11775" max="11775" width="11.140625" style="356" customWidth="1"/>
    <col min="11776" max="11776" width="18.85546875" style="356" customWidth="1"/>
    <col min="11777" max="11777" width="13.85546875" style="356" customWidth="1"/>
    <col min="11778" max="11778" width="15.5703125" style="356" customWidth="1"/>
    <col min="11779" max="11779" width="18.85546875" style="356" customWidth="1"/>
    <col min="11780" max="11780" width="18.42578125" style="356" bestFit="1" customWidth="1"/>
    <col min="11781" max="11781" width="14.7109375" style="356" bestFit="1" customWidth="1"/>
    <col min="11782" max="11782" width="20.140625" style="356" bestFit="1" customWidth="1"/>
    <col min="11783" max="11783" width="13.85546875" style="356" customWidth="1"/>
    <col min="11784" max="11784" width="18.42578125" style="356" bestFit="1" customWidth="1"/>
    <col min="11785" max="11785" width="16.5703125" style="356" customWidth="1"/>
    <col min="11786" max="11786" width="14.28515625" style="356" customWidth="1"/>
    <col min="11787" max="11787" width="19" style="356" customWidth="1"/>
    <col min="11788" max="11788" width="30.7109375" style="356" bestFit="1" customWidth="1"/>
    <col min="11789" max="11789" width="12.42578125" style="356" customWidth="1"/>
    <col min="11790" max="12024" width="9.140625" style="356"/>
    <col min="12025" max="12025" width="7.28515625" style="356" customWidth="1"/>
    <col min="12026" max="12026" width="17.28515625" style="356" customWidth="1"/>
    <col min="12027" max="12027" width="67.42578125" style="356" customWidth="1"/>
    <col min="12028" max="12028" width="14.5703125" style="356" customWidth="1"/>
    <col min="12029" max="12029" width="17.7109375" style="356" customWidth="1"/>
    <col min="12030" max="12030" width="7.28515625" style="356" customWidth="1"/>
    <col min="12031" max="12031" width="11.140625" style="356" customWidth="1"/>
    <col min="12032" max="12032" width="18.85546875" style="356" customWidth="1"/>
    <col min="12033" max="12033" width="13.85546875" style="356" customWidth="1"/>
    <col min="12034" max="12034" width="15.5703125" style="356" customWidth="1"/>
    <col min="12035" max="12035" width="18.85546875" style="356" customWidth="1"/>
    <col min="12036" max="12036" width="18.42578125" style="356" bestFit="1" customWidth="1"/>
    <col min="12037" max="12037" width="14.7109375" style="356" bestFit="1" customWidth="1"/>
    <col min="12038" max="12038" width="20.140625" style="356" bestFit="1" customWidth="1"/>
    <col min="12039" max="12039" width="13.85546875" style="356" customWidth="1"/>
    <col min="12040" max="12040" width="18.42578125" style="356" bestFit="1" customWidth="1"/>
    <col min="12041" max="12041" width="16.5703125" style="356" customWidth="1"/>
    <col min="12042" max="12042" width="14.28515625" style="356" customWidth="1"/>
    <col min="12043" max="12043" width="19" style="356" customWidth="1"/>
    <col min="12044" max="12044" width="30.7109375" style="356" bestFit="1" customWidth="1"/>
    <col min="12045" max="12045" width="12.42578125" style="356" customWidth="1"/>
    <col min="12046" max="12280" width="9.140625" style="356"/>
    <col min="12281" max="12281" width="7.28515625" style="356" customWidth="1"/>
    <col min="12282" max="12282" width="17.28515625" style="356" customWidth="1"/>
    <col min="12283" max="12283" width="67.42578125" style="356" customWidth="1"/>
    <col min="12284" max="12284" width="14.5703125" style="356" customWidth="1"/>
    <col min="12285" max="12285" width="17.7109375" style="356" customWidth="1"/>
    <col min="12286" max="12286" width="7.28515625" style="356" customWidth="1"/>
    <col min="12287" max="12287" width="11.140625" style="356" customWidth="1"/>
    <col min="12288" max="12288" width="18.85546875" style="356" customWidth="1"/>
    <col min="12289" max="12289" width="13.85546875" style="356" customWidth="1"/>
    <col min="12290" max="12290" width="15.5703125" style="356" customWidth="1"/>
    <col min="12291" max="12291" width="18.85546875" style="356" customWidth="1"/>
    <col min="12292" max="12292" width="18.42578125" style="356" bestFit="1" customWidth="1"/>
    <col min="12293" max="12293" width="14.7109375" style="356" bestFit="1" customWidth="1"/>
    <col min="12294" max="12294" width="20.140625" style="356" bestFit="1" customWidth="1"/>
    <col min="12295" max="12295" width="13.85546875" style="356" customWidth="1"/>
    <col min="12296" max="12296" width="18.42578125" style="356" bestFit="1" customWidth="1"/>
    <col min="12297" max="12297" width="16.5703125" style="356" customWidth="1"/>
    <col min="12298" max="12298" width="14.28515625" style="356" customWidth="1"/>
    <col min="12299" max="12299" width="19" style="356" customWidth="1"/>
    <col min="12300" max="12300" width="30.7109375" style="356" bestFit="1" customWidth="1"/>
    <col min="12301" max="12301" width="12.42578125" style="356" customWidth="1"/>
    <col min="12302" max="12536" width="9.140625" style="356"/>
    <col min="12537" max="12537" width="7.28515625" style="356" customWidth="1"/>
    <col min="12538" max="12538" width="17.28515625" style="356" customWidth="1"/>
    <col min="12539" max="12539" width="67.42578125" style="356" customWidth="1"/>
    <col min="12540" max="12540" width="14.5703125" style="356" customWidth="1"/>
    <col min="12541" max="12541" width="17.7109375" style="356" customWidth="1"/>
    <col min="12542" max="12542" width="7.28515625" style="356" customWidth="1"/>
    <col min="12543" max="12543" width="11.140625" style="356" customWidth="1"/>
    <col min="12544" max="12544" width="18.85546875" style="356" customWidth="1"/>
    <col min="12545" max="12545" width="13.85546875" style="356" customWidth="1"/>
    <col min="12546" max="12546" width="15.5703125" style="356" customWidth="1"/>
    <col min="12547" max="12547" width="18.85546875" style="356" customWidth="1"/>
    <col min="12548" max="12548" width="18.42578125" style="356" bestFit="1" customWidth="1"/>
    <col min="12549" max="12549" width="14.7109375" style="356" bestFit="1" customWidth="1"/>
    <col min="12550" max="12550" width="20.140625" style="356" bestFit="1" customWidth="1"/>
    <col min="12551" max="12551" width="13.85546875" style="356" customWidth="1"/>
    <col min="12552" max="12552" width="18.42578125" style="356" bestFit="1" customWidth="1"/>
    <col min="12553" max="12553" width="16.5703125" style="356" customWidth="1"/>
    <col min="12554" max="12554" width="14.28515625" style="356" customWidth="1"/>
    <col min="12555" max="12555" width="19" style="356" customWidth="1"/>
    <col min="12556" max="12556" width="30.7109375" style="356" bestFit="1" customWidth="1"/>
    <col min="12557" max="12557" width="12.42578125" style="356" customWidth="1"/>
    <col min="12558" max="12792" width="9.140625" style="356"/>
    <col min="12793" max="12793" width="7.28515625" style="356" customWidth="1"/>
    <col min="12794" max="12794" width="17.28515625" style="356" customWidth="1"/>
    <col min="12795" max="12795" width="67.42578125" style="356" customWidth="1"/>
    <col min="12796" max="12796" width="14.5703125" style="356" customWidth="1"/>
    <col min="12797" max="12797" width="17.7109375" style="356" customWidth="1"/>
    <col min="12798" max="12798" width="7.28515625" style="356" customWidth="1"/>
    <col min="12799" max="12799" width="11.140625" style="356" customWidth="1"/>
    <col min="12800" max="12800" width="18.85546875" style="356" customWidth="1"/>
    <col min="12801" max="12801" width="13.85546875" style="356" customWidth="1"/>
    <col min="12802" max="12802" width="15.5703125" style="356" customWidth="1"/>
    <col min="12803" max="12803" width="18.85546875" style="356" customWidth="1"/>
    <col min="12804" max="12804" width="18.42578125" style="356" bestFit="1" customWidth="1"/>
    <col min="12805" max="12805" width="14.7109375" style="356" bestFit="1" customWidth="1"/>
    <col min="12806" max="12806" width="20.140625" style="356" bestFit="1" customWidth="1"/>
    <col min="12807" max="12807" width="13.85546875" style="356" customWidth="1"/>
    <col min="12808" max="12808" width="18.42578125" style="356" bestFit="1" customWidth="1"/>
    <col min="12809" max="12809" width="16.5703125" style="356" customWidth="1"/>
    <col min="12810" max="12810" width="14.28515625" style="356" customWidth="1"/>
    <col min="12811" max="12811" width="19" style="356" customWidth="1"/>
    <col min="12812" max="12812" width="30.7109375" style="356" bestFit="1" customWidth="1"/>
    <col min="12813" max="12813" width="12.42578125" style="356" customWidth="1"/>
    <col min="12814" max="13048" width="9.140625" style="356"/>
    <col min="13049" max="13049" width="7.28515625" style="356" customWidth="1"/>
    <col min="13050" max="13050" width="17.28515625" style="356" customWidth="1"/>
    <col min="13051" max="13051" width="67.42578125" style="356" customWidth="1"/>
    <col min="13052" max="13052" width="14.5703125" style="356" customWidth="1"/>
    <col min="13053" max="13053" width="17.7109375" style="356" customWidth="1"/>
    <col min="13054" max="13054" width="7.28515625" style="356" customWidth="1"/>
    <col min="13055" max="13055" width="11.140625" style="356" customWidth="1"/>
    <col min="13056" max="13056" width="18.85546875" style="356" customWidth="1"/>
    <col min="13057" max="13057" width="13.85546875" style="356" customWidth="1"/>
    <col min="13058" max="13058" width="15.5703125" style="356" customWidth="1"/>
    <col min="13059" max="13059" width="18.85546875" style="356" customWidth="1"/>
    <col min="13060" max="13060" width="18.42578125" style="356" bestFit="1" customWidth="1"/>
    <col min="13061" max="13061" width="14.7109375" style="356" bestFit="1" customWidth="1"/>
    <col min="13062" max="13062" width="20.140625" style="356" bestFit="1" customWidth="1"/>
    <col min="13063" max="13063" width="13.85546875" style="356" customWidth="1"/>
    <col min="13064" max="13064" width="18.42578125" style="356" bestFit="1" customWidth="1"/>
    <col min="13065" max="13065" width="16.5703125" style="356" customWidth="1"/>
    <col min="13066" max="13066" width="14.28515625" style="356" customWidth="1"/>
    <col min="13067" max="13067" width="19" style="356" customWidth="1"/>
    <col min="13068" max="13068" width="30.7109375" style="356" bestFit="1" customWidth="1"/>
    <col min="13069" max="13069" width="12.42578125" style="356" customWidth="1"/>
    <col min="13070" max="13304" width="9.140625" style="356"/>
    <col min="13305" max="13305" width="7.28515625" style="356" customWidth="1"/>
    <col min="13306" max="13306" width="17.28515625" style="356" customWidth="1"/>
    <col min="13307" max="13307" width="67.42578125" style="356" customWidth="1"/>
    <col min="13308" max="13308" width="14.5703125" style="356" customWidth="1"/>
    <col min="13309" max="13309" width="17.7109375" style="356" customWidth="1"/>
    <col min="13310" max="13310" width="7.28515625" style="356" customWidth="1"/>
    <col min="13311" max="13311" width="11.140625" style="356" customWidth="1"/>
    <col min="13312" max="13312" width="18.85546875" style="356" customWidth="1"/>
    <col min="13313" max="13313" width="13.85546875" style="356" customWidth="1"/>
    <col min="13314" max="13314" width="15.5703125" style="356" customWidth="1"/>
    <col min="13315" max="13315" width="18.85546875" style="356" customWidth="1"/>
    <col min="13316" max="13316" width="18.42578125" style="356" bestFit="1" customWidth="1"/>
    <col min="13317" max="13317" width="14.7109375" style="356" bestFit="1" customWidth="1"/>
    <col min="13318" max="13318" width="20.140625" style="356" bestFit="1" customWidth="1"/>
    <col min="13319" max="13319" width="13.85546875" style="356" customWidth="1"/>
    <col min="13320" max="13320" width="18.42578125" style="356" bestFit="1" customWidth="1"/>
    <col min="13321" max="13321" width="16.5703125" style="356" customWidth="1"/>
    <col min="13322" max="13322" width="14.28515625" style="356" customWidth="1"/>
    <col min="13323" max="13323" width="19" style="356" customWidth="1"/>
    <col min="13324" max="13324" width="30.7109375" style="356" bestFit="1" customWidth="1"/>
    <col min="13325" max="13325" width="12.42578125" style="356" customWidth="1"/>
    <col min="13326" max="13560" width="9.140625" style="356"/>
    <col min="13561" max="13561" width="7.28515625" style="356" customWidth="1"/>
    <col min="13562" max="13562" width="17.28515625" style="356" customWidth="1"/>
    <col min="13563" max="13563" width="67.42578125" style="356" customWidth="1"/>
    <col min="13564" max="13564" width="14.5703125" style="356" customWidth="1"/>
    <col min="13565" max="13565" width="17.7109375" style="356" customWidth="1"/>
    <col min="13566" max="13566" width="7.28515625" style="356" customWidth="1"/>
    <col min="13567" max="13567" width="11.140625" style="356" customWidth="1"/>
    <col min="13568" max="13568" width="18.85546875" style="356" customWidth="1"/>
    <col min="13569" max="13569" width="13.85546875" style="356" customWidth="1"/>
    <col min="13570" max="13570" width="15.5703125" style="356" customWidth="1"/>
    <col min="13571" max="13571" width="18.85546875" style="356" customWidth="1"/>
    <col min="13572" max="13572" width="18.42578125" style="356" bestFit="1" customWidth="1"/>
    <col min="13573" max="13573" width="14.7109375" style="356" bestFit="1" customWidth="1"/>
    <col min="13574" max="13574" width="20.140625" style="356" bestFit="1" customWidth="1"/>
    <col min="13575" max="13575" width="13.85546875" style="356" customWidth="1"/>
    <col min="13576" max="13576" width="18.42578125" style="356" bestFit="1" customWidth="1"/>
    <col min="13577" max="13577" width="16.5703125" style="356" customWidth="1"/>
    <col min="13578" max="13578" width="14.28515625" style="356" customWidth="1"/>
    <col min="13579" max="13579" width="19" style="356" customWidth="1"/>
    <col min="13580" max="13580" width="30.7109375" style="356" bestFit="1" customWidth="1"/>
    <col min="13581" max="13581" width="12.42578125" style="356" customWidth="1"/>
    <col min="13582" max="13816" width="9.140625" style="356"/>
    <col min="13817" max="13817" width="7.28515625" style="356" customWidth="1"/>
    <col min="13818" max="13818" width="17.28515625" style="356" customWidth="1"/>
    <col min="13819" max="13819" width="67.42578125" style="356" customWidth="1"/>
    <col min="13820" max="13820" width="14.5703125" style="356" customWidth="1"/>
    <col min="13821" max="13821" width="17.7109375" style="356" customWidth="1"/>
    <col min="13822" max="13822" width="7.28515625" style="356" customWidth="1"/>
    <col min="13823" max="13823" width="11.140625" style="356" customWidth="1"/>
    <col min="13824" max="13824" width="18.85546875" style="356" customWidth="1"/>
    <col min="13825" max="13825" width="13.85546875" style="356" customWidth="1"/>
    <col min="13826" max="13826" width="15.5703125" style="356" customWidth="1"/>
    <col min="13827" max="13827" width="18.85546875" style="356" customWidth="1"/>
    <col min="13828" max="13828" width="18.42578125" style="356" bestFit="1" customWidth="1"/>
    <col min="13829" max="13829" width="14.7109375" style="356" bestFit="1" customWidth="1"/>
    <col min="13830" max="13830" width="20.140625" style="356" bestFit="1" customWidth="1"/>
    <col min="13831" max="13831" width="13.85546875" style="356" customWidth="1"/>
    <col min="13832" max="13832" width="18.42578125" style="356" bestFit="1" customWidth="1"/>
    <col min="13833" max="13833" width="16.5703125" style="356" customWidth="1"/>
    <col min="13834" max="13834" width="14.28515625" style="356" customWidth="1"/>
    <col min="13835" max="13835" width="19" style="356" customWidth="1"/>
    <col min="13836" max="13836" width="30.7109375" style="356" bestFit="1" customWidth="1"/>
    <col min="13837" max="13837" width="12.42578125" style="356" customWidth="1"/>
    <col min="13838" max="14072" width="9.140625" style="356"/>
    <col min="14073" max="14073" width="7.28515625" style="356" customWidth="1"/>
    <col min="14074" max="14074" width="17.28515625" style="356" customWidth="1"/>
    <col min="14075" max="14075" width="67.42578125" style="356" customWidth="1"/>
    <col min="14076" max="14076" width="14.5703125" style="356" customWidth="1"/>
    <col min="14077" max="14077" width="17.7109375" style="356" customWidth="1"/>
    <col min="14078" max="14078" width="7.28515625" style="356" customWidth="1"/>
    <col min="14079" max="14079" width="11.140625" style="356" customWidth="1"/>
    <col min="14080" max="14080" width="18.85546875" style="356" customWidth="1"/>
    <col min="14081" max="14081" width="13.85546875" style="356" customWidth="1"/>
    <col min="14082" max="14082" width="15.5703125" style="356" customWidth="1"/>
    <col min="14083" max="14083" width="18.85546875" style="356" customWidth="1"/>
    <col min="14084" max="14084" width="18.42578125" style="356" bestFit="1" customWidth="1"/>
    <col min="14085" max="14085" width="14.7109375" style="356" bestFit="1" customWidth="1"/>
    <col min="14086" max="14086" width="20.140625" style="356" bestFit="1" customWidth="1"/>
    <col min="14087" max="14087" width="13.85546875" style="356" customWidth="1"/>
    <col min="14088" max="14088" width="18.42578125" style="356" bestFit="1" customWidth="1"/>
    <col min="14089" max="14089" width="16.5703125" style="356" customWidth="1"/>
    <col min="14090" max="14090" width="14.28515625" style="356" customWidth="1"/>
    <col min="14091" max="14091" width="19" style="356" customWidth="1"/>
    <col min="14092" max="14092" width="30.7109375" style="356" bestFit="1" customWidth="1"/>
    <col min="14093" max="14093" width="12.42578125" style="356" customWidth="1"/>
    <col min="14094" max="14328" width="9.140625" style="356"/>
    <col min="14329" max="14329" width="7.28515625" style="356" customWidth="1"/>
    <col min="14330" max="14330" width="17.28515625" style="356" customWidth="1"/>
    <col min="14331" max="14331" width="67.42578125" style="356" customWidth="1"/>
    <col min="14332" max="14332" width="14.5703125" style="356" customWidth="1"/>
    <col min="14333" max="14333" width="17.7109375" style="356" customWidth="1"/>
    <col min="14334" max="14334" width="7.28515625" style="356" customWidth="1"/>
    <col min="14335" max="14335" width="11.140625" style="356" customWidth="1"/>
    <col min="14336" max="14336" width="18.85546875" style="356" customWidth="1"/>
    <col min="14337" max="14337" width="13.85546875" style="356" customWidth="1"/>
    <col min="14338" max="14338" width="15.5703125" style="356" customWidth="1"/>
    <col min="14339" max="14339" width="18.85546875" style="356" customWidth="1"/>
    <col min="14340" max="14340" width="18.42578125" style="356" bestFit="1" customWidth="1"/>
    <col min="14341" max="14341" width="14.7109375" style="356" bestFit="1" customWidth="1"/>
    <col min="14342" max="14342" width="20.140625" style="356" bestFit="1" customWidth="1"/>
    <col min="14343" max="14343" width="13.85546875" style="356" customWidth="1"/>
    <col min="14344" max="14344" width="18.42578125" style="356" bestFit="1" customWidth="1"/>
    <col min="14345" max="14345" width="16.5703125" style="356" customWidth="1"/>
    <col min="14346" max="14346" width="14.28515625" style="356" customWidth="1"/>
    <col min="14347" max="14347" width="19" style="356" customWidth="1"/>
    <col min="14348" max="14348" width="30.7109375" style="356" bestFit="1" customWidth="1"/>
    <col min="14349" max="14349" width="12.42578125" style="356" customWidth="1"/>
    <col min="14350" max="14584" width="9.140625" style="356"/>
    <col min="14585" max="14585" width="7.28515625" style="356" customWidth="1"/>
    <col min="14586" max="14586" width="17.28515625" style="356" customWidth="1"/>
    <col min="14587" max="14587" width="67.42578125" style="356" customWidth="1"/>
    <col min="14588" max="14588" width="14.5703125" style="356" customWidth="1"/>
    <col min="14589" max="14589" width="17.7109375" style="356" customWidth="1"/>
    <col min="14590" max="14590" width="7.28515625" style="356" customWidth="1"/>
    <col min="14591" max="14591" width="11.140625" style="356" customWidth="1"/>
    <col min="14592" max="14592" width="18.85546875" style="356" customWidth="1"/>
    <col min="14593" max="14593" width="13.85546875" style="356" customWidth="1"/>
    <col min="14594" max="14594" width="15.5703125" style="356" customWidth="1"/>
    <col min="14595" max="14595" width="18.85546875" style="356" customWidth="1"/>
    <col min="14596" max="14596" width="18.42578125" style="356" bestFit="1" customWidth="1"/>
    <col min="14597" max="14597" width="14.7109375" style="356" bestFit="1" customWidth="1"/>
    <col min="14598" max="14598" width="20.140625" style="356" bestFit="1" customWidth="1"/>
    <col min="14599" max="14599" width="13.85546875" style="356" customWidth="1"/>
    <col min="14600" max="14600" width="18.42578125" style="356" bestFit="1" customWidth="1"/>
    <col min="14601" max="14601" width="16.5703125" style="356" customWidth="1"/>
    <col min="14602" max="14602" width="14.28515625" style="356" customWidth="1"/>
    <col min="14603" max="14603" width="19" style="356" customWidth="1"/>
    <col min="14604" max="14604" width="30.7109375" style="356" bestFit="1" customWidth="1"/>
    <col min="14605" max="14605" width="12.42578125" style="356" customWidth="1"/>
    <col min="14606" max="14840" width="9.140625" style="356"/>
    <col min="14841" max="14841" width="7.28515625" style="356" customWidth="1"/>
    <col min="14842" max="14842" width="17.28515625" style="356" customWidth="1"/>
    <col min="14843" max="14843" width="67.42578125" style="356" customWidth="1"/>
    <col min="14844" max="14844" width="14.5703125" style="356" customWidth="1"/>
    <col min="14845" max="14845" width="17.7109375" style="356" customWidth="1"/>
    <col min="14846" max="14846" width="7.28515625" style="356" customWidth="1"/>
    <col min="14847" max="14847" width="11.140625" style="356" customWidth="1"/>
    <col min="14848" max="14848" width="18.85546875" style="356" customWidth="1"/>
    <col min="14849" max="14849" width="13.85546875" style="356" customWidth="1"/>
    <col min="14850" max="14850" width="15.5703125" style="356" customWidth="1"/>
    <col min="14851" max="14851" width="18.85546875" style="356" customWidth="1"/>
    <col min="14852" max="14852" width="18.42578125" style="356" bestFit="1" customWidth="1"/>
    <col min="14853" max="14853" width="14.7109375" style="356" bestFit="1" customWidth="1"/>
    <col min="14854" max="14854" width="20.140625" style="356" bestFit="1" customWidth="1"/>
    <col min="14855" max="14855" width="13.85546875" style="356" customWidth="1"/>
    <col min="14856" max="14856" width="18.42578125" style="356" bestFit="1" customWidth="1"/>
    <col min="14857" max="14857" width="16.5703125" style="356" customWidth="1"/>
    <col min="14858" max="14858" width="14.28515625" style="356" customWidth="1"/>
    <col min="14859" max="14859" width="19" style="356" customWidth="1"/>
    <col min="14860" max="14860" width="30.7109375" style="356" bestFit="1" customWidth="1"/>
    <col min="14861" max="14861" width="12.42578125" style="356" customWidth="1"/>
    <col min="14862" max="15096" width="9.140625" style="356"/>
    <col min="15097" max="15097" width="7.28515625" style="356" customWidth="1"/>
    <col min="15098" max="15098" width="17.28515625" style="356" customWidth="1"/>
    <col min="15099" max="15099" width="67.42578125" style="356" customWidth="1"/>
    <col min="15100" max="15100" width="14.5703125" style="356" customWidth="1"/>
    <col min="15101" max="15101" width="17.7109375" style="356" customWidth="1"/>
    <col min="15102" max="15102" width="7.28515625" style="356" customWidth="1"/>
    <col min="15103" max="15103" width="11.140625" style="356" customWidth="1"/>
    <col min="15104" max="15104" width="18.85546875" style="356" customWidth="1"/>
    <col min="15105" max="15105" width="13.85546875" style="356" customWidth="1"/>
    <col min="15106" max="15106" width="15.5703125" style="356" customWidth="1"/>
    <col min="15107" max="15107" width="18.85546875" style="356" customWidth="1"/>
    <col min="15108" max="15108" width="18.42578125" style="356" bestFit="1" customWidth="1"/>
    <col min="15109" max="15109" width="14.7109375" style="356" bestFit="1" customWidth="1"/>
    <col min="15110" max="15110" width="20.140625" style="356" bestFit="1" customWidth="1"/>
    <col min="15111" max="15111" width="13.85546875" style="356" customWidth="1"/>
    <col min="15112" max="15112" width="18.42578125" style="356" bestFit="1" customWidth="1"/>
    <col min="15113" max="15113" width="16.5703125" style="356" customWidth="1"/>
    <col min="15114" max="15114" width="14.28515625" style="356" customWidth="1"/>
    <col min="15115" max="15115" width="19" style="356" customWidth="1"/>
    <col min="15116" max="15116" width="30.7109375" style="356" bestFit="1" customWidth="1"/>
    <col min="15117" max="15117" width="12.42578125" style="356" customWidth="1"/>
    <col min="15118" max="15352" width="9.140625" style="356"/>
    <col min="15353" max="15353" width="7.28515625" style="356" customWidth="1"/>
    <col min="15354" max="15354" width="17.28515625" style="356" customWidth="1"/>
    <col min="15355" max="15355" width="67.42578125" style="356" customWidth="1"/>
    <col min="15356" max="15356" width="14.5703125" style="356" customWidth="1"/>
    <col min="15357" max="15357" width="17.7109375" style="356" customWidth="1"/>
    <col min="15358" max="15358" width="7.28515625" style="356" customWidth="1"/>
    <col min="15359" max="15359" width="11.140625" style="356" customWidth="1"/>
    <col min="15360" max="15360" width="18.85546875" style="356" customWidth="1"/>
    <col min="15361" max="15361" width="13.85546875" style="356" customWidth="1"/>
    <col min="15362" max="15362" width="15.5703125" style="356" customWidth="1"/>
    <col min="15363" max="15363" width="18.85546875" style="356" customWidth="1"/>
    <col min="15364" max="15364" width="18.42578125" style="356" bestFit="1" customWidth="1"/>
    <col min="15365" max="15365" width="14.7109375" style="356" bestFit="1" customWidth="1"/>
    <col min="15366" max="15366" width="20.140625" style="356" bestFit="1" customWidth="1"/>
    <col min="15367" max="15367" width="13.85546875" style="356" customWidth="1"/>
    <col min="15368" max="15368" width="18.42578125" style="356" bestFit="1" customWidth="1"/>
    <col min="15369" max="15369" width="16.5703125" style="356" customWidth="1"/>
    <col min="15370" max="15370" width="14.28515625" style="356" customWidth="1"/>
    <col min="15371" max="15371" width="19" style="356" customWidth="1"/>
    <col min="15372" max="15372" width="30.7109375" style="356" bestFit="1" customWidth="1"/>
    <col min="15373" max="15373" width="12.42578125" style="356" customWidth="1"/>
    <col min="15374" max="15608" width="9.140625" style="356"/>
    <col min="15609" max="15609" width="7.28515625" style="356" customWidth="1"/>
    <col min="15610" max="15610" width="17.28515625" style="356" customWidth="1"/>
    <col min="15611" max="15611" width="67.42578125" style="356" customWidth="1"/>
    <col min="15612" max="15612" width="14.5703125" style="356" customWidth="1"/>
    <col min="15613" max="15613" width="17.7109375" style="356" customWidth="1"/>
    <col min="15614" max="15614" width="7.28515625" style="356" customWidth="1"/>
    <col min="15615" max="15615" width="11.140625" style="356" customWidth="1"/>
    <col min="15616" max="15616" width="18.85546875" style="356" customWidth="1"/>
    <col min="15617" max="15617" width="13.85546875" style="356" customWidth="1"/>
    <col min="15618" max="15618" width="15.5703125" style="356" customWidth="1"/>
    <col min="15619" max="15619" width="18.85546875" style="356" customWidth="1"/>
    <col min="15620" max="15620" width="18.42578125" style="356" bestFit="1" customWidth="1"/>
    <col min="15621" max="15621" width="14.7109375" style="356" bestFit="1" customWidth="1"/>
    <col min="15622" max="15622" width="20.140625" style="356" bestFit="1" customWidth="1"/>
    <col min="15623" max="15623" width="13.85546875" style="356" customWidth="1"/>
    <col min="15624" max="15624" width="18.42578125" style="356" bestFit="1" customWidth="1"/>
    <col min="15625" max="15625" width="16.5703125" style="356" customWidth="1"/>
    <col min="15626" max="15626" width="14.28515625" style="356" customWidth="1"/>
    <col min="15627" max="15627" width="19" style="356" customWidth="1"/>
    <col min="15628" max="15628" width="30.7109375" style="356" bestFit="1" customWidth="1"/>
    <col min="15629" max="15629" width="12.42578125" style="356" customWidth="1"/>
    <col min="15630" max="15864" width="9.140625" style="356"/>
    <col min="15865" max="15865" width="7.28515625" style="356" customWidth="1"/>
    <col min="15866" max="15866" width="17.28515625" style="356" customWidth="1"/>
    <col min="15867" max="15867" width="67.42578125" style="356" customWidth="1"/>
    <col min="15868" max="15868" width="14.5703125" style="356" customWidth="1"/>
    <col min="15869" max="15869" width="17.7109375" style="356" customWidth="1"/>
    <col min="15870" max="15870" width="7.28515625" style="356" customWidth="1"/>
    <col min="15871" max="15871" width="11.140625" style="356" customWidth="1"/>
    <col min="15872" max="15872" width="18.85546875" style="356" customWidth="1"/>
    <col min="15873" max="15873" width="13.85546875" style="356" customWidth="1"/>
    <col min="15874" max="15874" width="15.5703125" style="356" customWidth="1"/>
    <col min="15875" max="15875" width="18.85546875" style="356" customWidth="1"/>
    <col min="15876" max="15876" width="18.42578125" style="356" bestFit="1" customWidth="1"/>
    <col min="15877" max="15877" width="14.7109375" style="356" bestFit="1" customWidth="1"/>
    <col min="15878" max="15878" width="20.140625" style="356" bestFit="1" customWidth="1"/>
    <col min="15879" max="15879" width="13.85546875" style="356" customWidth="1"/>
    <col min="15880" max="15880" width="18.42578125" style="356" bestFit="1" customWidth="1"/>
    <col min="15881" max="15881" width="16.5703125" style="356" customWidth="1"/>
    <col min="15882" max="15882" width="14.28515625" style="356" customWidth="1"/>
    <col min="15883" max="15883" width="19" style="356" customWidth="1"/>
    <col min="15884" max="15884" width="30.7109375" style="356" bestFit="1" customWidth="1"/>
    <col min="15885" max="15885" width="12.42578125" style="356" customWidth="1"/>
    <col min="15886" max="16120" width="9.140625" style="356"/>
    <col min="16121" max="16121" width="7.28515625" style="356" customWidth="1"/>
    <col min="16122" max="16122" width="17.28515625" style="356" customWidth="1"/>
    <col min="16123" max="16123" width="67.42578125" style="356" customWidth="1"/>
    <col min="16124" max="16124" width="14.5703125" style="356" customWidth="1"/>
    <col min="16125" max="16125" width="17.7109375" style="356" customWidth="1"/>
    <col min="16126" max="16126" width="7.28515625" style="356" customWidth="1"/>
    <col min="16127" max="16127" width="11.140625" style="356" customWidth="1"/>
    <col min="16128" max="16128" width="18.85546875" style="356" customWidth="1"/>
    <col min="16129" max="16129" width="13.85546875" style="356" customWidth="1"/>
    <col min="16130" max="16130" width="15.5703125" style="356" customWidth="1"/>
    <col min="16131" max="16131" width="18.85546875" style="356" customWidth="1"/>
    <col min="16132" max="16132" width="18.42578125" style="356" bestFit="1" customWidth="1"/>
    <col min="16133" max="16133" width="14.7109375" style="356" bestFit="1" customWidth="1"/>
    <col min="16134" max="16134" width="20.140625" style="356" bestFit="1" customWidth="1"/>
    <col min="16135" max="16135" width="13.85546875" style="356" customWidth="1"/>
    <col min="16136" max="16136" width="18.42578125" style="356" bestFit="1" customWidth="1"/>
    <col min="16137" max="16137" width="16.5703125" style="356" customWidth="1"/>
    <col min="16138" max="16138" width="14.28515625" style="356" customWidth="1"/>
    <col min="16139" max="16139" width="19" style="356" customWidth="1"/>
    <col min="16140" max="16140" width="30.7109375" style="356" bestFit="1" customWidth="1"/>
    <col min="16141" max="16141" width="12.42578125" style="356" customWidth="1"/>
    <col min="16142" max="16384" width="9.140625" style="356"/>
  </cols>
  <sheetData>
    <row r="1" spans="1:20" ht="51.75" customHeight="1" thickBot="1" x14ac:dyDescent="0.3">
      <c r="A1" s="861" t="s">
        <v>534</v>
      </c>
      <c r="B1" s="861"/>
      <c r="C1" s="861"/>
      <c r="D1" s="861"/>
      <c r="E1" s="861"/>
      <c r="F1" s="861"/>
      <c r="G1" s="861"/>
      <c r="H1" s="861"/>
      <c r="I1" s="861"/>
      <c r="J1" s="861"/>
      <c r="K1" s="861"/>
      <c r="L1" s="861"/>
      <c r="M1" s="861"/>
      <c r="N1" s="861"/>
      <c r="O1" s="861"/>
      <c r="P1" s="861"/>
      <c r="Q1" s="861"/>
      <c r="R1" s="861"/>
    </row>
    <row r="2" spans="1:20" s="343" customFormat="1" ht="73.5" customHeight="1" thickBot="1" x14ac:dyDescent="0.3">
      <c r="A2" s="13" t="s">
        <v>247</v>
      </c>
      <c r="B2" s="13" t="s">
        <v>360</v>
      </c>
      <c r="C2" s="344" t="s">
        <v>361</v>
      </c>
      <c r="D2" s="344" t="s">
        <v>514</v>
      </c>
      <c r="E2" s="435" t="s">
        <v>529</v>
      </c>
      <c r="F2" s="435" t="s">
        <v>531</v>
      </c>
      <c r="G2" s="435" t="s">
        <v>530</v>
      </c>
      <c r="H2" s="435" t="s">
        <v>496</v>
      </c>
      <c r="I2" s="435" t="s">
        <v>249</v>
      </c>
      <c r="J2" s="13" t="s">
        <v>362</v>
      </c>
      <c r="K2" s="13" t="s">
        <v>363</v>
      </c>
      <c r="L2" s="13" t="s">
        <v>532</v>
      </c>
      <c r="M2" s="13" t="s">
        <v>533</v>
      </c>
      <c r="N2" s="13" t="s">
        <v>507</v>
      </c>
      <c r="O2" s="13" t="s">
        <v>364</v>
      </c>
      <c r="P2" s="13" t="s">
        <v>365</v>
      </c>
      <c r="Q2" s="13" t="s">
        <v>415</v>
      </c>
      <c r="R2" s="13" t="s">
        <v>573</v>
      </c>
    </row>
    <row r="3" spans="1:20" ht="39.950000000000003" customHeight="1" x14ac:dyDescent="0.25">
      <c r="A3" s="607">
        <v>1</v>
      </c>
      <c r="B3" s="608" t="s">
        <v>366</v>
      </c>
      <c r="C3" s="609" t="s">
        <v>367</v>
      </c>
      <c r="D3" s="610">
        <f>' Área CNC3 e SAN Consolidadas'!F3</f>
        <v>8220.5300000000007</v>
      </c>
      <c r="E3" s="610">
        <f>' Área CNC3 e SAN Consolidadas'!G3</f>
        <v>1009.56701</v>
      </c>
      <c r="F3" s="610">
        <f>D3/E3*'Quadro de horas'!H3*H3</f>
        <v>1557.8594859337627</v>
      </c>
      <c r="G3" s="610">
        <f>'Quadro de horas'!H$3</f>
        <v>191.32142857142856</v>
      </c>
      <c r="H3" s="611">
        <f>' Área CNC3 e SAN Consolidadas'!H3</f>
        <v>1</v>
      </c>
      <c r="I3" s="610" t="str">
        <f>' Área CNC3 e SAN Consolidadas'!I3</f>
        <v>DIÁRIA</v>
      </c>
      <c r="J3" s="610">
        <f>'PCFP-Servente'!D148</f>
        <v>4417.8051781099557</v>
      </c>
      <c r="K3" s="610">
        <f>'PCFP-Encarregado'!D148</f>
        <v>6672.5197176360753</v>
      </c>
      <c r="L3" s="610">
        <f t="shared" ref="L3:L17" si="0">J3/G3</f>
        <v>23.091010824543357</v>
      </c>
      <c r="M3" s="610">
        <f t="shared" ref="M3:M17" si="1">K3/G3/$N$19</f>
        <v>2.491140454018943</v>
      </c>
      <c r="N3" s="612">
        <f t="shared" ref="N3:N17" si="2">F3/G3</f>
        <v>8.1426293832640209</v>
      </c>
      <c r="O3" s="612">
        <f>N3/$N$19</f>
        <v>0.58161638351241141</v>
      </c>
      <c r="P3" s="560">
        <f t="shared" ref="P3:P16" si="3">(J3*N3)+(K3*O3)</f>
        <v>39853.397039900818</v>
      </c>
      <c r="Q3" s="560">
        <f t="shared" ref="Q3:Q16" si="4">(F3*L3)+(F3*M3)</f>
        <v>39853.397039900818</v>
      </c>
      <c r="R3" s="694">
        <f>(Q3/(H3*(G3/8)*D3))</f>
        <v>0.20271780694230335</v>
      </c>
    </row>
    <row r="4" spans="1:20" ht="39.950000000000003" customHeight="1" x14ac:dyDescent="0.25">
      <c r="A4" s="613">
        <v>2</v>
      </c>
      <c r="B4" s="614" t="s">
        <v>368</v>
      </c>
      <c r="C4" s="615" t="s">
        <v>575</v>
      </c>
      <c r="D4" s="616">
        <f>' Área CNC3 e SAN Consolidadas'!F4</f>
        <v>2493</v>
      </c>
      <c r="E4" s="616">
        <f>' Área CNC3 e SAN Consolidadas'!G4</f>
        <v>200</v>
      </c>
      <c r="F4" s="616">
        <f>(D4/E4)*8*H4/6</f>
        <v>16.62</v>
      </c>
      <c r="G4" s="616">
        <f>'Quadro de horas'!H$3</f>
        <v>191.32142857142856</v>
      </c>
      <c r="H4" s="617">
        <f>' Área CNC3 e SAN Consolidadas'!H4</f>
        <v>1</v>
      </c>
      <c r="I4" s="616" t="str">
        <f>' Área CNC3 e SAN Consolidadas'!I4</f>
        <v>SEMESTRAL</v>
      </c>
      <c r="J4" s="616">
        <f>$J$3</f>
        <v>4417.8051781099557</v>
      </c>
      <c r="K4" s="616">
        <f>K3</f>
        <v>6672.5197176360753</v>
      </c>
      <c r="L4" s="616">
        <f t="shared" si="0"/>
        <v>23.091010824543357</v>
      </c>
      <c r="M4" s="616">
        <f t="shared" si="1"/>
        <v>2.491140454018943</v>
      </c>
      <c r="N4" s="618">
        <f t="shared" si="2"/>
        <v>8.6869516520440559E-2</v>
      </c>
      <c r="O4" s="618">
        <f t="shared" ref="O4:O17" si="5">N4/$N$19</f>
        <v>6.2049654550084881E-3</v>
      </c>
      <c r="P4" s="561">
        <f t="shared" si="3"/>
        <v>425.17535424970549</v>
      </c>
      <c r="Q4" s="561">
        <f t="shared" si="4"/>
        <v>425.17535424970544</v>
      </c>
      <c r="R4" s="695">
        <f>Q4/D4/H4*6</f>
        <v>1.0232860511424919</v>
      </c>
      <c r="S4" s="356">
        <f t="shared" ref="S4:S17" si="6">Q4*12/D4</f>
        <v>2.0465721022849843</v>
      </c>
    </row>
    <row r="5" spans="1:20" ht="39.950000000000003" customHeight="1" x14ac:dyDescent="0.25">
      <c r="A5" s="613">
        <v>3</v>
      </c>
      <c r="B5" s="614" t="s">
        <v>368</v>
      </c>
      <c r="C5" s="619" t="s">
        <v>574</v>
      </c>
      <c r="D5" s="616">
        <f>' Área CNC3 e SAN Consolidadas'!F5</f>
        <v>2493</v>
      </c>
      <c r="E5" s="616">
        <f>' Área CNC3 e SAN Consolidadas'!G5</f>
        <v>200</v>
      </c>
      <c r="F5" s="616">
        <f>D5/E5*8*H5/6</f>
        <v>16.62</v>
      </c>
      <c r="G5" s="616">
        <f>'Quadro de horas'!H$3</f>
        <v>191.32142857142856</v>
      </c>
      <c r="H5" s="617">
        <f>' Área CNC3 e SAN Consolidadas'!H5</f>
        <v>1</v>
      </c>
      <c r="I5" s="616" t="str">
        <f>' Área CNC3 e SAN Consolidadas'!I5</f>
        <v>SEMESTRAL</v>
      </c>
      <c r="J5" s="616">
        <f>$J$3</f>
        <v>4417.8051781099557</v>
      </c>
      <c r="K5" s="616">
        <f t="shared" ref="K5:K11" si="7">$K$3</f>
        <v>6672.5197176360753</v>
      </c>
      <c r="L5" s="616">
        <f t="shared" si="0"/>
        <v>23.091010824543357</v>
      </c>
      <c r="M5" s="616">
        <f t="shared" si="1"/>
        <v>2.491140454018943</v>
      </c>
      <c r="N5" s="618">
        <f t="shared" si="2"/>
        <v>8.6869516520440559E-2</v>
      </c>
      <c r="O5" s="618">
        <f t="shared" si="5"/>
        <v>6.2049654550084881E-3</v>
      </c>
      <c r="P5" s="561">
        <f t="shared" si="3"/>
        <v>425.17535424970549</v>
      </c>
      <c r="Q5" s="561">
        <f t="shared" si="4"/>
        <v>425.17535424970544</v>
      </c>
      <c r="R5" s="695">
        <f t="shared" ref="R5:R6" si="8">Q5/D5/H5*6</f>
        <v>1.0232860511424919</v>
      </c>
      <c r="S5" s="356">
        <f t="shared" si="6"/>
        <v>2.0465721022849843</v>
      </c>
    </row>
    <row r="6" spans="1:20" ht="39.950000000000003" customHeight="1" x14ac:dyDescent="0.25">
      <c r="A6" s="613">
        <v>4</v>
      </c>
      <c r="B6" s="614" t="s">
        <v>368</v>
      </c>
      <c r="C6" s="619" t="s">
        <v>369</v>
      </c>
      <c r="D6" s="616">
        <f>' Área CNC3 e SAN Consolidadas'!F6</f>
        <v>2154.1099999999997</v>
      </c>
      <c r="E6" s="616">
        <f>' Área CNC3 e SAN Consolidadas'!G6</f>
        <v>400</v>
      </c>
      <c r="F6" s="616">
        <f>D6/E6*8*H6/6</f>
        <v>7.1803666666666652</v>
      </c>
      <c r="G6" s="616">
        <f>'Quadro de horas'!H$3</f>
        <v>191.32142857142856</v>
      </c>
      <c r="H6" s="617">
        <f>' Área CNC3 e SAN Consolidadas'!H6</f>
        <v>1</v>
      </c>
      <c r="I6" s="616" t="str">
        <f>' Área CNC3 e SAN Consolidadas'!I6</f>
        <v>SEMESTRAL</v>
      </c>
      <c r="J6" s="616">
        <f>$J$3</f>
        <v>4417.8051781099557</v>
      </c>
      <c r="K6" s="616">
        <f t="shared" si="7"/>
        <v>6672.5197176360753</v>
      </c>
      <c r="L6" s="616">
        <f t="shared" si="0"/>
        <v>23.091010824543357</v>
      </c>
      <c r="M6" s="616">
        <f t="shared" si="1"/>
        <v>2.491140454018943</v>
      </c>
      <c r="N6" s="618">
        <f t="shared" si="2"/>
        <v>3.7530383921349011E-2</v>
      </c>
      <c r="O6" s="618">
        <f t="shared" si="5"/>
        <v>2.6807417040289471E-3</v>
      </c>
      <c r="P6" s="561">
        <f t="shared" si="3"/>
        <v>183.68922630221275</v>
      </c>
      <c r="Q6" s="561">
        <f t="shared" si="4"/>
        <v>183.68922630221275</v>
      </c>
      <c r="R6" s="695">
        <f t="shared" si="8"/>
        <v>0.51164302557124597</v>
      </c>
      <c r="S6" s="356">
        <f t="shared" si="6"/>
        <v>1.0232860511424919</v>
      </c>
    </row>
    <row r="7" spans="1:20" s="357" customFormat="1" ht="39.950000000000003" customHeight="1" x14ac:dyDescent="0.25">
      <c r="A7" s="620">
        <v>5</v>
      </c>
      <c r="B7" s="621" t="s">
        <v>370</v>
      </c>
      <c r="C7" s="622" t="s">
        <v>371</v>
      </c>
      <c r="D7" s="623">
        <f>' Área CNC3 e SAN Consolidadas'!F7</f>
        <v>232.5</v>
      </c>
      <c r="E7" s="623">
        <f>' Área CNC3 e SAN Consolidadas'!G7</f>
        <v>100</v>
      </c>
      <c r="F7" s="623">
        <f>D7/E7*'Quadro de horas'!C3*8*H7</f>
        <v>80.876785714285717</v>
      </c>
      <c r="G7" s="623">
        <f>'Quadro de horas'!H$3</f>
        <v>191.32142857142856</v>
      </c>
      <c r="H7" s="624">
        <f>' Área CNC3 e SAN Consolidadas'!H7</f>
        <v>1</v>
      </c>
      <c r="I7" s="623" t="str">
        <f>' Área CNC3 e SAN Consolidadas'!I7</f>
        <v>SEMANAL</v>
      </c>
      <c r="J7" s="623">
        <f>'PCFP-Jardineiro'!D148</f>
        <v>5719.6621020054827</v>
      </c>
      <c r="K7" s="623">
        <f t="shared" si="7"/>
        <v>6672.5197176360753</v>
      </c>
      <c r="L7" s="623">
        <f t="shared" si="0"/>
        <v>29.895564468201144</v>
      </c>
      <c r="M7" s="623">
        <f t="shared" si="1"/>
        <v>2.491140454018943</v>
      </c>
      <c r="N7" s="625">
        <f t="shared" si="2"/>
        <v>0.42272727272727278</v>
      </c>
      <c r="O7" s="625">
        <f t="shared" si="5"/>
        <v>3.0194805142555164E-2</v>
      </c>
      <c r="P7" s="562">
        <f t="shared" si="3"/>
        <v>2619.3325939861966</v>
      </c>
      <c r="Q7" s="562">
        <f t="shared" si="4"/>
        <v>2619.3325939861961</v>
      </c>
      <c r="R7" s="696">
        <f>Q7/D7/'Quadro de horas'!C3/H7</f>
        <v>2.5909363937776066</v>
      </c>
      <c r="S7" s="356">
        <f t="shared" si="6"/>
        <v>135.19135968961012</v>
      </c>
    </row>
    <row r="8" spans="1:20" s="357" customFormat="1" ht="39.950000000000003" customHeight="1" x14ac:dyDescent="0.25">
      <c r="A8" s="620">
        <v>6</v>
      </c>
      <c r="B8" s="621" t="s">
        <v>370</v>
      </c>
      <c r="C8" s="622" t="s">
        <v>372</v>
      </c>
      <c r="D8" s="623">
        <f>' Área CNC3 e SAN Consolidadas'!F8</f>
        <v>3128</v>
      </c>
      <c r="E8" s="623">
        <f>' Área CNC3 e SAN Consolidadas'!G8</f>
        <v>226.57504567500001</v>
      </c>
      <c r="F8" s="623">
        <f>D8/E8*'Quadro de horas'!D3*H8*8</f>
        <v>110.44464285751268</v>
      </c>
      <c r="G8" s="623">
        <f>'Quadro de horas'!H$3</f>
        <v>191.32142857142856</v>
      </c>
      <c r="H8" s="624">
        <f>' Área CNC3 e SAN Consolidadas'!H8</f>
        <v>1</v>
      </c>
      <c r="I8" s="623" t="str">
        <f>' Área CNC3 e SAN Consolidadas'!I8</f>
        <v>MENSAL</v>
      </c>
      <c r="J8" s="623">
        <f>J7</f>
        <v>5719.6621020054827</v>
      </c>
      <c r="K8" s="623">
        <f t="shared" si="7"/>
        <v>6672.5197176360753</v>
      </c>
      <c r="L8" s="623">
        <f t="shared" si="0"/>
        <v>29.895564468201144</v>
      </c>
      <c r="M8" s="623">
        <f t="shared" si="1"/>
        <v>2.491140454018943</v>
      </c>
      <c r="N8" s="625">
        <f t="shared" si="2"/>
        <v>0.57727272727466028</v>
      </c>
      <c r="O8" s="625">
        <f t="shared" si="5"/>
        <v>4.1233766162552109E-2</v>
      </c>
      <c r="P8" s="562">
        <f t="shared" si="3"/>
        <v>3576.9380584662454</v>
      </c>
      <c r="Q8" s="562">
        <f t="shared" si="4"/>
        <v>3576.9380584662454</v>
      </c>
      <c r="R8" s="696">
        <f>Q8/D8/H7</f>
        <v>1.143522397207879</v>
      </c>
      <c r="S8" s="356">
        <f t="shared" si="6"/>
        <v>13.722268766494548</v>
      </c>
    </row>
    <row r="9" spans="1:20" s="357" customFormat="1" ht="39.950000000000003" customHeight="1" x14ac:dyDescent="0.25">
      <c r="A9" s="613">
        <v>7</v>
      </c>
      <c r="B9" s="614" t="s">
        <v>370</v>
      </c>
      <c r="C9" s="619" t="s">
        <v>373</v>
      </c>
      <c r="D9" s="616">
        <f>' Área CNC3 e SAN Consolidadas'!F9</f>
        <v>3128</v>
      </c>
      <c r="E9" s="616">
        <f>' Área CNC3 e SAN Consolidadas'!G9</f>
        <v>2800</v>
      </c>
      <c r="F9" s="616">
        <f>D9/E9*'Quadro de horas'!C3*8*H9</f>
        <v>38.860612244897958</v>
      </c>
      <c r="G9" s="616">
        <f>'Quadro de horas'!H$3</f>
        <v>191.32142857142856</v>
      </c>
      <c r="H9" s="617">
        <f>' Área CNC3 e SAN Consolidadas'!H9</f>
        <v>1</v>
      </c>
      <c r="I9" s="616" t="str">
        <f>' Área CNC3 e SAN Consolidadas'!I9</f>
        <v>SEMANAL</v>
      </c>
      <c r="J9" s="616">
        <f>J6</f>
        <v>4417.8051781099557</v>
      </c>
      <c r="K9" s="616">
        <f t="shared" si="7"/>
        <v>6672.5197176360753</v>
      </c>
      <c r="L9" s="616">
        <f t="shared" si="0"/>
        <v>23.091010824543357</v>
      </c>
      <c r="M9" s="616">
        <f t="shared" si="1"/>
        <v>2.491140454018943</v>
      </c>
      <c r="N9" s="618">
        <f t="shared" si="2"/>
        <v>0.20311688311688311</v>
      </c>
      <c r="O9" s="618">
        <f t="shared" si="5"/>
        <v>1.4508348768957379E-2</v>
      </c>
      <c r="P9" s="561">
        <f t="shared" si="3"/>
        <v>994.13806122653011</v>
      </c>
      <c r="Q9" s="561">
        <f t="shared" si="4"/>
        <v>994.13806122653011</v>
      </c>
      <c r="R9" s="695">
        <f>Q9/D9/'Quadro de horas'!C3/H9</f>
        <v>7.3091860795892291E-2</v>
      </c>
      <c r="S9" s="356">
        <f t="shared" si="6"/>
        <v>3.8138288793856652</v>
      </c>
    </row>
    <row r="10" spans="1:20" ht="39.950000000000003" customHeight="1" x14ac:dyDescent="0.25">
      <c r="A10" s="613">
        <v>8</v>
      </c>
      <c r="B10" s="614" t="s">
        <v>374</v>
      </c>
      <c r="C10" s="619" t="s">
        <v>375</v>
      </c>
      <c r="D10" s="616">
        <f>' Área CNC3 e SAN Consolidadas'!F10</f>
        <v>1603.95</v>
      </c>
      <c r="E10" s="616">
        <f>' Área CNC3 e SAN Consolidadas'!G10</f>
        <v>400</v>
      </c>
      <c r="F10" s="616">
        <f>D10/E10*'Quadro de horas'!D3*H10*8</f>
        <v>32.079000000000001</v>
      </c>
      <c r="G10" s="616">
        <f>'Quadro de horas'!H$3</f>
        <v>191.32142857142856</v>
      </c>
      <c r="H10" s="617">
        <f>' Área CNC3 e SAN Consolidadas'!H10</f>
        <v>1</v>
      </c>
      <c r="I10" s="616" t="str">
        <f>' Área CNC3 e SAN Consolidadas'!I10</f>
        <v>MENSAL</v>
      </c>
      <c r="J10" s="616">
        <f>$J$3</f>
        <v>4417.8051781099557</v>
      </c>
      <c r="K10" s="616">
        <f t="shared" si="7"/>
        <v>6672.5197176360753</v>
      </c>
      <c r="L10" s="616">
        <f t="shared" si="0"/>
        <v>23.091010824543357</v>
      </c>
      <c r="M10" s="616">
        <f t="shared" si="1"/>
        <v>2.491140454018943</v>
      </c>
      <c r="N10" s="618">
        <f t="shared" si="2"/>
        <v>0.16767071121896585</v>
      </c>
      <c r="O10" s="618">
        <f t="shared" si="5"/>
        <v>1.19764793520588E-2</v>
      </c>
      <c r="P10" s="561">
        <f t="shared" si="3"/>
        <v>820.64983086500001</v>
      </c>
      <c r="Q10" s="561">
        <f t="shared" si="4"/>
        <v>820.64983086500001</v>
      </c>
      <c r="R10" s="695">
        <f>Q10/D10/H10</f>
        <v>0.51164302557124597</v>
      </c>
      <c r="S10" s="356">
        <f t="shared" si="6"/>
        <v>6.1397163068549521</v>
      </c>
    </row>
    <row r="11" spans="1:20" ht="39.950000000000003" customHeight="1" x14ac:dyDescent="0.25">
      <c r="A11" s="613">
        <v>9</v>
      </c>
      <c r="B11" s="614" t="s">
        <v>374</v>
      </c>
      <c r="C11" s="619" t="s">
        <v>376</v>
      </c>
      <c r="D11" s="616">
        <f>' Área CNC3 e SAN Consolidadas'!F11</f>
        <v>1925.09</v>
      </c>
      <c r="E11" s="616">
        <f>' Área CNC3 e SAN Consolidadas'!G11</f>
        <v>130</v>
      </c>
      <c r="F11" s="616">
        <f>D11/E11*8*H11/6</f>
        <v>19.744512820512821</v>
      </c>
      <c r="G11" s="616">
        <f>'Quadro de horas'!H$3</f>
        <v>191.32142857142856</v>
      </c>
      <c r="H11" s="617">
        <f>' Área CNC3 e SAN Consolidadas'!H11</f>
        <v>1</v>
      </c>
      <c r="I11" s="616" t="str">
        <f>' Área CNC3 e SAN Consolidadas'!I11</f>
        <v>SEMESTRAL</v>
      </c>
      <c r="J11" s="616">
        <f>$J$3</f>
        <v>4417.8051781099557</v>
      </c>
      <c r="K11" s="616">
        <f t="shared" si="7"/>
        <v>6672.5197176360753</v>
      </c>
      <c r="L11" s="616">
        <f t="shared" si="0"/>
        <v>23.091010824543357</v>
      </c>
      <c r="M11" s="616">
        <f t="shared" si="1"/>
        <v>2.491140454018943</v>
      </c>
      <c r="N11" s="618">
        <f t="shared" si="2"/>
        <v>0.10320073902825444</v>
      </c>
      <c r="O11" s="618">
        <f t="shared" si="5"/>
        <v>7.3714813464051893E-3</v>
      </c>
      <c r="P11" s="561">
        <f t="shared" si="3"/>
        <v>505.10711389587181</v>
      </c>
      <c r="Q11" s="561">
        <f t="shared" si="4"/>
        <v>505.10711389587181</v>
      </c>
      <c r="R11" s="695">
        <f>Q11/D11*6/H11</f>
        <v>1.5742862325269109</v>
      </c>
      <c r="S11" s="356">
        <f t="shared" si="6"/>
        <v>3.1485724650538218</v>
      </c>
    </row>
    <row r="12" spans="1:20" ht="39.950000000000003" customHeight="1" x14ac:dyDescent="0.25">
      <c r="A12" s="626">
        <v>10</v>
      </c>
      <c r="B12" s="627" t="s">
        <v>366</v>
      </c>
      <c r="C12" s="628" t="str">
        <f>' Área CNC3 e SAN Consolidadas'!C14</f>
        <v>Piso elevado vinílico, Piso Granito e Piso Cimento - Salas em geral</v>
      </c>
      <c r="D12" s="629">
        <f>' Área CNC3 e SAN Consolidadas'!F14</f>
        <v>2614.833700000002</v>
      </c>
      <c r="E12" s="629">
        <f>' Área CNC3 e SAN Consolidadas'!G14</f>
        <v>800</v>
      </c>
      <c r="F12" s="629">
        <f>D12/E12*'Quadro de horas'!H3*H12</f>
        <v>625.34214870089329</v>
      </c>
      <c r="G12" s="629">
        <f>'Quadro de horas'!H$3</f>
        <v>191.32142857142856</v>
      </c>
      <c r="H12" s="630">
        <f>' Área CNC3 e SAN Consolidadas'!H14</f>
        <v>1</v>
      </c>
      <c r="I12" s="629" t="str">
        <f>' Área CNC3 e SAN Consolidadas'!I14</f>
        <v>DIÁRIA</v>
      </c>
      <c r="J12" s="629">
        <f>J11</f>
        <v>4417.8051781099557</v>
      </c>
      <c r="K12" s="629">
        <f>K11</f>
        <v>6672.5197176360753</v>
      </c>
      <c r="L12" s="629">
        <f t="shared" si="0"/>
        <v>23.091010824543357</v>
      </c>
      <c r="M12" s="629">
        <f t="shared" si="1"/>
        <v>2.491140454018943</v>
      </c>
      <c r="N12" s="631">
        <f t="shared" si="2"/>
        <v>3.2685421250000024</v>
      </c>
      <c r="O12" s="631">
        <f t="shared" si="5"/>
        <v>0.2334672942388582</v>
      </c>
      <c r="P12" s="563">
        <f t="shared" si="3"/>
        <v>15997.597448927452</v>
      </c>
      <c r="Q12" s="563">
        <f t="shared" si="4"/>
        <v>15997.597448927454</v>
      </c>
      <c r="R12" s="697">
        <f>(Q12/(H12*(G12/8)*D12))</f>
        <v>0.25582151278562298</v>
      </c>
      <c r="S12" s="356">
        <f t="shared" si="6"/>
        <v>73.416205928174065</v>
      </c>
    </row>
    <row r="13" spans="1:20" ht="39.950000000000003" customHeight="1" x14ac:dyDescent="0.25">
      <c r="A13" s="626">
        <v>11</v>
      </c>
      <c r="B13" s="627" t="s">
        <v>366</v>
      </c>
      <c r="C13" s="628" t="str">
        <f>' Área CNC3 e SAN Consolidadas'!C15</f>
        <v>Piso elevado vinílico, Piso Granito e Piso Cimento - Sala de Espera</v>
      </c>
      <c r="D13" s="629">
        <f>' Área CNC3 e SAN Consolidadas'!F15</f>
        <v>124.825</v>
      </c>
      <c r="E13" s="629">
        <f>' Área CNC3 e SAN Consolidadas'!G15</f>
        <v>800</v>
      </c>
      <c r="F13" s="629">
        <f>D13/E13*'Quadro de horas'!H3*H13</f>
        <v>29.852121651785712</v>
      </c>
      <c r="G13" s="629">
        <f>'Quadro de horas'!H$3</f>
        <v>191.32142857142856</v>
      </c>
      <c r="H13" s="630">
        <f>' Área CNC3 e SAN Consolidadas'!H15</f>
        <v>1</v>
      </c>
      <c r="I13" s="629" t="str">
        <f>' Área CNC3 e SAN Consolidadas'!I15</f>
        <v>DIÁRIA</v>
      </c>
      <c r="J13" s="629">
        <f>J12</f>
        <v>4417.8051781099557</v>
      </c>
      <c r="K13" s="629">
        <f>K12</f>
        <v>6672.5197176360753</v>
      </c>
      <c r="L13" s="629">
        <f t="shared" si="0"/>
        <v>23.091010824543357</v>
      </c>
      <c r="M13" s="629">
        <f t="shared" si="1"/>
        <v>2.491140454018943</v>
      </c>
      <c r="N13" s="631">
        <f t="shared" si="2"/>
        <v>0.15603125000000001</v>
      </c>
      <c r="O13" s="631">
        <f t="shared" si="5"/>
        <v>1.1145089266428475E-2</v>
      </c>
      <c r="P13" s="563">
        <f t="shared" si="3"/>
        <v>763.68149208202726</v>
      </c>
      <c r="Q13" s="563">
        <f t="shared" si="4"/>
        <v>763.68149208202715</v>
      </c>
      <c r="R13" s="697">
        <f t="shared" ref="R13:R16" si="9">(Q13/(H13*(G13/8)*D13))</f>
        <v>0.25582151278562298</v>
      </c>
      <c r="S13" s="356">
        <f t="shared" si="6"/>
        <v>73.416205928174051</v>
      </c>
    </row>
    <row r="14" spans="1:20" ht="39.950000000000003" customHeight="1" x14ac:dyDescent="0.25">
      <c r="A14" s="626">
        <v>12</v>
      </c>
      <c r="B14" s="627" t="s">
        <v>366</v>
      </c>
      <c r="C14" s="628" t="str">
        <f>' Área CNC3 e SAN Consolidadas'!C16</f>
        <v>Piso elevado vinílico, Piso Granito e Piso Cimento = Hall</v>
      </c>
      <c r="D14" s="629">
        <f>' Área CNC3 e SAN Consolidadas'!F16</f>
        <v>274.17400000000004</v>
      </c>
      <c r="E14" s="629">
        <f>' Área CNC3 e SAN Consolidadas'!G16</f>
        <v>1000</v>
      </c>
      <c r="F14" s="629">
        <f>D14/E14*'Quadro de horas'!H3*H14</f>
        <v>52.455361357142856</v>
      </c>
      <c r="G14" s="629">
        <f>'Quadro de horas'!H$3</f>
        <v>191.32142857142856</v>
      </c>
      <c r="H14" s="630">
        <f>' Área CNC3 e SAN Consolidadas'!H16</f>
        <v>1</v>
      </c>
      <c r="I14" s="629" t="str">
        <f>' Área CNC3 e SAN Consolidadas'!I16</f>
        <v>DIÁRIA</v>
      </c>
      <c r="J14" s="629">
        <f>J3</f>
        <v>4417.8051781099557</v>
      </c>
      <c r="K14" s="629">
        <f>K3</f>
        <v>6672.5197176360753</v>
      </c>
      <c r="L14" s="629">
        <f t="shared" si="0"/>
        <v>23.091010824543357</v>
      </c>
      <c r="M14" s="629">
        <f t="shared" si="1"/>
        <v>2.491140454018943</v>
      </c>
      <c r="N14" s="631">
        <f t="shared" si="2"/>
        <v>0.27417400000000003</v>
      </c>
      <c r="O14" s="631">
        <f t="shared" si="5"/>
        <v>1.9583857108968625E-2</v>
      </c>
      <c r="P14" s="563">
        <f t="shared" si="3"/>
        <v>1341.9209896100797</v>
      </c>
      <c r="Q14" s="563">
        <f t="shared" si="4"/>
        <v>1341.9209896100797</v>
      </c>
      <c r="R14" s="697">
        <f t="shared" si="9"/>
        <v>0.20465721022849842</v>
      </c>
      <c r="S14" s="356">
        <f t="shared" si="6"/>
        <v>58.732964742539245</v>
      </c>
      <c r="T14" s="693"/>
    </row>
    <row r="15" spans="1:20" ht="39.950000000000003" customHeight="1" x14ac:dyDescent="0.25">
      <c r="A15" s="626">
        <v>13</v>
      </c>
      <c r="B15" s="627" t="s">
        <v>378</v>
      </c>
      <c r="C15" s="628" t="str">
        <f>' Área CNC3 e SAN Consolidadas'!C17</f>
        <v>Piso elevado vinílico, Piso Granito e Piso Cimento -Copas</v>
      </c>
      <c r="D15" s="629">
        <f>' Área CNC3 e SAN Consolidadas'!F17</f>
        <v>57.155100000000004</v>
      </c>
      <c r="E15" s="629">
        <f>' Área CNC3 e SAN Consolidadas'!G17</f>
        <v>400</v>
      </c>
      <c r="F15" s="629">
        <f>D15/E15*'Quadro de horas'!H3*H15</f>
        <v>27.337488455357143</v>
      </c>
      <c r="G15" s="629">
        <f>'Quadro de horas'!H$3</f>
        <v>191.32142857142856</v>
      </c>
      <c r="H15" s="630">
        <f>' Área CNC3 e SAN Consolidadas'!H17</f>
        <v>1</v>
      </c>
      <c r="I15" s="629" t="str">
        <f>' Área CNC3 e SAN Consolidadas'!I17</f>
        <v>DIÁRIA</v>
      </c>
      <c r="J15" s="629">
        <f>J12</f>
        <v>4417.8051781099557</v>
      </c>
      <c r="K15" s="629">
        <f>K12</f>
        <v>6672.5197176360753</v>
      </c>
      <c r="L15" s="629">
        <f t="shared" si="0"/>
        <v>23.091010824543357</v>
      </c>
      <c r="M15" s="629">
        <f t="shared" si="1"/>
        <v>2.491140454018943</v>
      </c>
      <c r="N15" s="631">
        <f t="shared" si="2"/>
        <v>0.14288775000000001</v>
      </c>
      <c r="O15" s="631">
        <f t="shared" si="5"/>
        <v>1.0206267839481612E-2</v>
      </c>
      <c r="P15" s="563">
        <f t="shared" si="3"/>
        <v>699.35176524089684</v>
      </c>
      <c r="Q15" s="563">
        <f t="shared" si="4"/>
        <v>699.35176524089684</v>
      </c>
      <c r="R15" s="697">
        <f t="shared" si="9"/>
        <v>0.51164302557124597</v>
      </c>
      <c r="S15" s="356">
        <f t="shared" si="6"/>
        <v>146.8324118563481</v>
      </c>
    </row>
    <row r="16" spans="1:20" ht="39.950000000000003" customHeight="1" x14ac:dyDescent="0.25">
      <c r="A16" s="626">
        <v>14</v>
      </c>
      <c r="B16" s="627" t="s">
        <v>374</v>
      </c>
      <c r="C16" s="628" t="str">
        <f>' Área CNC3 e SAN Consolidadas'!C18</f>
        <v>Piso elevado vinílico, Piso Granito e Piso Cimento -Banheiros</v>
      </c>
      <c r="D16" s="629">
        <f>' Área CNC3 e SAN Consolidadas'!F18</f>
        <v>101.20659999999998</v>
      </c>
      <c r="E16" s="629">
        <f>' Área CNC3 e SAN Consolidadas'!G18</f>
        <v>400</v>
      </c>
      <c r="F16" s="629">
        <f>D16/E16*H16*'Quadro de horas'!H3</f>
        <v>48.40747823214285</v>
      </c>
      <c r="G16" s="629">
        <f>'Quadro de horas'!H$3</f>
        <v>191.32142857142856</v>
      </c>
      <c r="H16" s="630">
        <f>' Área CNC3 e SAN Consolidadas'!H18</f>
        <v>1</v>
      </c>
      <c r="I16" s="629" t="str">
        <f>' Área CNC3 e SAN Consolidadas'!I18</f>
        <v>DIÁRIA</v>
      </c>
      <c r="J16" s="629">
        <f>J15</f>
        <v>4417.8051781099557</v>
      </c>
      <c r="K16" s="629">
        <f>$K$3</f>
        <v>6672.5197176360753</v>
      </c>
      <c r="L16" s="629">
        <f t="shared" si="0"/>
        <v>23.091010824543357</v>
      </c>
      <c r="M16" s="629">
        <f t="shared" si="1"/>
        <v>2.491140454018943</v>
      </c>
      <c r="N16" s="631">
        <f t="shared" si="2"/>
        <v>0.25301649999999998</v>
      </c>
      <c r="O16" s="631">
        <f t="shared" si="5"/>
        <v>1.8072607111583736E-2</v>
      </c>
      <c r="P16" s="563">
        <f t="shared" si="3"/>
        <v>1238.3674311483899</v>
      </c>
      <c r="Q16" s="563">
        <f t="shared" si="4"/>
        <v>1238.3674311483899</v>
      </c>
      <c r="R16" s="697">
        <f t="shared" si="9"/>
        <v>0.51164302557124608</v>
      </c>
      <c r="S16" s="356">
        <f t="shared" si="6"/>
        <v>146.8324118563481</v>
      </c>
    </row>
    <row r="17" spans="1:19" ht="39.950000000000003" customHeight="1" thickBot="1" x14ac:dyDescent="0.3">
      <c r="A17" s="632">
        <v>15</v>
      </c>
      <c r="B17" s="633" t="s">
        <v>374</v>
      </c>
      <c r="C17" s="634" t="str">
        <f>' Área CNC3 e SAN Consolidadas'!C19</f>
        <v>Esquadrias Internas</v>
      </c>
      <c r="D17" s="635">
        <f>' Área CNC3 e SAN Consolidadas'!F19</f>
        <v>741</v>
      </c>
      <c r="E17" s="635">
        <f>' Área CNC3 e SAN Consolidadas'!G19</f>
        <v>400</v>
      </c>
      <c r="F17" s="635">
        <f>D17/E17*'Quadro de horas'!D3*H17*8</f>
        <v>14.82</v>
      </c>
      <c r="G17" s="635">
        <f>'Quadro de horas'!H$3</f>
        <v>191.32142857142856</v>
      </c>
      <c r="H17" s="630">
        <f>' Área CNC3 e SAN Consolidadas'!H19</f>
        <v>1</v>
      </c>
      <c r="I17" s="635" t="str">
        <f>' Área CNC3 e SAN Consolidadas'!I19</f>
        <v>MENSAL</v>
      </c>
      <c r="J17" s="635">
        <f>$J$3</f>
        <v>4417.8051781099557</v>
      </c>
      <c r="K17" s="635">
        <f>$K$3</f>
        <v>6672.5197176360753</v>
      </c>
      <c r="L17" s="635">
        <f t="shared" si="0"/>
        <v>23.091010824543357</v>
      </c>
      <c r="M17" s="635">
        <f t="shared" si="1"/>
        <v>2.491140454018943</v>
      </c>
      <c r="N17" s="636">
        <f t="shared" si="2"/>
        <v>7.7461265633750248E-2</v>
      </c>
      <c r="O17" s="636">
        <f t="shared" si="5"/>
        <v>5.5329475356934894E-3</v>
      </c>
      <c r="P17" s="564">
        <f>(J17*N17)+(K17*O17)</f>
        <v>379.12748194829334</v>
      </c>
      <c r="Q17" s="564">
        <f>(F17*L17)+(F17*M17)</f>
        <v>379.12748194829328</v>
      </c>
      <c r="R17" s="698">
        <f>Q17/D17/H17</f>
        <v>0.51164302557124597</v>
      </c>
      <c r="S17" s="356">
        <f t="shared" si="6"/>
        <v>6.1397163068549521</v>
      </c>
    </row>
    <row r="18" spans="1:19" ht="39.950000000000003" customHeight="1" thickBot="1" x14ac:dyDescent="0.3">
      <c r="A18" s="637"/>
      <c r="B18" s="637"/>
      <c r="C18" s="637"/>
      <c r="D18" s="637"/>
      <c r="E18" s="637"/>
      <c r="F18" s="637"/>
      <c r="G18" s="637"/>
      <c r="H18" s="637"/>
      <c r="I18" s="637"/>
      <c r="J18" s="637"/>
      <c r="K18" s="637"/>
      <c r="L18" s="637"/>
      <c r="M18" s="637"/>
      <c r="N18" s="637"/>
      <c r="O18" s="637"/>
      <c r="P18" s="637"/>
      <c r="Q18" s="606"/>
      <c r="R18" s="606"/>
    </row>
    <row r="19" spans="1:19" ht="39.950000000000003" customHeight="1" thickBot="1" x14ac:dyDescent="0.3">
      <c r="A19" s="858" t="s">
        <v>377</v>
      </c>
      <c r="B19" s="859"/>
      <c r="C19" s="859"/>
      <c r="D19" s="859"/>
      <c r="E19" s="859"/>
      <c r="F19" s="859"/>
      <c r="G19" s="859"/>
      <c r="H19" s="859"/>
      <c r="I19" s="859"/>
      <c r="J19" s="859"/>
      <c r="K19" s="859"/>
      <c r="L19" s="859"/>
      <c r="M19" s="860"/>
      <c r="N19" s="718">
        <f>SUM(N3:N17)</f>
        <v>14.000000024226038</v>
      </c>
      <c r="O19" s="638">
        <f>SUM(O3:O18)</f>
        <v>1.0000000000000002</v>
      </c>
      <c r="P19" s="639">
        <f>SUM(P3:P18)</f>
        <v>69823.649242099404</v>
      </c>
      <c r="Q19" s="702">
        <f>SUM(Q3:Q17)</f>
        <v>69823.649242099404</v>
      </c>
      <c r="R19" s="605"/>
    </row>
    <row r="20" spans="1:19" ht="39.950000000000003" customHeight="1" thickBot="1" x14ac:dyDescent="0.3">
      <c r="A20" s="640"/>
      <c r="B20" s="640"/>
      <c r="J20" s="640"/>
      <c r="K20" s="640"/>
      <c r="L20" s="640"/>
      <c r="M20" s="640"/>
      <c r="N20" s="641"/>
      <c r="O20" s="640"/>
      <c r="P20" s="640"/>
      <c r="R20" s="399"/>
    </row>
    <row r="21" spans="1:19" ht="39.950000000000003" customHeight="1" thickBot="1" x14ac:dyDescent="0.3">
      <c r="A21" s="642"/>
      <c r="B21" s="642"/>
      <c r="C21" s="643"/>
      <c r="D21" s="717">
        <f>SUM(D3:D17)</f>
        <v>29291.374400000004</v>
      </c>
      <c r="E21" s="559"/>
      <c r="F21" s="559"/>
      <c r="G21" s="559"/>
      <c r="H21" s="559"/>
      <c r="I21" s="559"/>
      <c r="J21" s="644"/>
      <c r="K21" s="645"/>
      <c r="L21" s="646"/>
      <c r="M21" s="646"/>
      <c r="N21" s="638">
        <f>N3+N4+N5+N6+N9+N10+N11+N12+N13+N14+N15+N16+N17</f>
        <v>13.000000024224105</v>
      </c>
      <c r="O21" s="638"/>
      <c r="P21" s="639">
        <f>12*P19</f>
        <v>837883.79090519284</v>
      </c>
      <c r="Q21" s="702">
        <f>12*Q19</f>
        <v>837883.79090519284</v>
      </c>
      <c r="R21" s="605">
        <f>Q21/D21</f>
        <v>28.605137453201674</v>
      </c>
    </row>
    <row r="22" spans="1:19" ht="15.75" thickBot="1" x14ac:dyDescent="0.3">
      <c r="N22" s="567"/>
      <c r="R22" s="399"/>
    </row>
    <row r="23" spans="1:19" ht="39.950000000000003" customHeight="1" thickBot="1" x14ac:dyDescent="0.3">
      <c r="A23" s="345"/>
      <c r="B23" s="345"/>
      <c r="C23" s="346"/>
      <c r="D23" s="307"/>
      <c r="E23" s="559"/>
      <c r="F23" s="559"/>
      <c r="G23" s="559"/>
      <c r="H23" s="559"/>
      <c r="I23" s="559"/>
      <c r="J23" s="347"/>
      <c r="K23" s="349"/>
      <c r="L23" s="348"/>
      <c r="M23" s="348"/>
      <c r="N23" s="351">
        <f>N7+N8</f>
        <v>1.0000000000019331</v>
      </c>
      <c r="O23" s="351"/>
      <c r="P23" s="350"/>
      <c r="Q23" s="350"/>
      <c r="R23" s="350"/>
    </row>
  </sheetData>
  <mergeCells count="2">
    <mergeCell ref="A19:M19"/>
    <mergeCell ref="A1:R1"/>
  </mergeCells>
  <pageMargins left="0.31496062992125984" right="0.11811023622047245" top="0.78740157480314965" bottom="0.78740157480314965" header="0.31496062992125984" footer="0.31496062992125984"/>
  <pageSetup paperSize="9" scale="34" orientation="landscape" r:id="rId1"/>
  <headerFooter>
    <oddFooter>&amp;L&amp;F&amp;C&amp;A&amp;R&amp;P de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5"/>
  <sheetViews>
    <sheetView workbookViewId="0">
      <selection activeCell="D3" sqref="D3"/>
    </sheetView>
  </sheetViews>
  <sheetFormatPr defaultRowHeight="15" x14ac:dyDescent="0.25"/>
  <cols>
    <col min="1" max="1" width="9.7109375" bestFit="1" customWidth="1"/>
    <col min="2" max="2" width="14.42578125" bestFit="1" customWidth="1"/>
    <col min="3" max="3" width="14.42578125" customWidth="1"/>
    <col min="4" max="4" width="14.42578125" style="398" customWidth="1"/>
    <col min="5" max="5" width="25.28515625" style="398" bestFit="1" customWidth="1"/>
    <col min="6" max="6" width="21" bestFit="1" customWidth="1"/>
    <col min="7" max="7" width="38.5703125" bestFit="1" customWidth="1"/>
    <col min="8" max="10" width="21" customWidth="1"/>
  </cols>
  <sheetData>
    <row r="1" spans="1:10" ht="15.75" thickBot="1" x14ac:dyDescent="0.3">
      <c r="A1" s="862" t="s">
        <v>408</v>
      </c>
      <c r="B1" s="863"/>
      <c r="C1" s="863"/>
      <c r="D1" s="863"/>
      <c r="E1" s="863"/>
      <c r="F1" s="863"/>
      <c r="G1" s="863"/>
      <c r="H1" s="863"/>
      <c r="I1" s="863"/>
      <c r="J1" s="864"/>
    </row>
    <row r="2" spans="1:10" ht="15.75" thickBot="1" x14ac:dyDescent="0.3">
      <c r="A2" s="651" t="s">
        <v>402</v>
      </c>
      <c r="B2" s="651" t="s">
        <v>401</v>
      </c>
      <c r="C2" s="651" t="s">
        <v>404</v>
      </c>
      <c r="D2" s="651" t="s">
        <v>526</v>
      </c>
      <c r="E2" s="651" t="s">
        <v>503</v>
      </c>
      <c r="F2" s="652" t="s">
        <v>403</v>
      </c>
      <c r="G2" s="651" t="s">
        <v>504</v>
      </c>
      <c r="H2" s="651" t="s">
        <v>405</v>
      </c>
      <c r="I2" s="651" t="s">
        <v>406</v>
      </c>
      <c r="J2" s="651" t="s">
        <v>407</v>
      </c>
    </row>
    <row r="3" spans="1:10" x14ac:dyDescent="0.25">
      <c r="A3" s="653">
        <v>365.25</v>
      </c>
      <c r="B3" s="309">
        <f>A3/7</f>
        <v>52.178571428571431</v>
      </c>
      <c r="C3" s="309">
        <f>B3/12</f>
        <v>4.3482142857142856</v>
      </c>
      <c r="D3" s="309">
        <v>1</v>
      </c>
      <c r="E3" s="654">
        <f>C3*5.5</f>
        <v>23.915178571428569</v>
      </c>
      <c r="F3" s="655">
        <v>44</v>
      </c>
      <c r="G3" s="655">
        <f>H3/E3</f>
        <v>8</v>
      </c>
      <c r="H3" s="656">
        <f>C3*F3</f>
        <v>191.32142857142856</v>
      </c>
      <c r="I3" s="655">
        <f>H3*3</f>
        <v>573.96428571428567</v>
      </c>
      <c r="J3" s="657">
        <f>H3*6</f>
        <v>1147.9285714285713</v>
      </c>
    </row>
    <row r="4" spans="1:10" s="398" customFormat="1" x14ac:dyDescent="0.25">
      <c r="A4" s="703"/>
      <c r="B4" s="704"/>
      <c r="C4" s="704"/>
      <c r="D4" s="704"/>
      <c r="E4" s="705"/>
      <c r="F4" s="707" t="s">
        <v>562</v>
      </c>
      <c r="G4" s="706"/>
      <c r="H4" s="708" t="s">
        <v>563</v>
      </c>
      <c r="I4" s="707" t="s">
        <v>564</v>
      </c>
      <c r="J4" s="709" t="s">
        <v>564</v>
      </c>
    </row>
    <row r="5" spans="1:10" ht="15.75" thickBot="1" x14ac:dyDescent="0.3">
      <c r="A5" s="658"/>
      <c r="B5" s="659"/>
      <c r="C5" s="659"/>
      <c r="D5" s="659"/>
      <c r="E5" s="659"/>
      <c r="F5" s="659">
        <f>F3/G3</f>
        <v>5.5</v>
      </c>
      <c r="G5" s="659"/>
      <c r="H5" s="660">
        <f>H3/E3</f>
        <v>8</v>
      </c>
      <c r="I5" s="659">
        <f>I3/H3</f>
        <v>3</v>
      </c>
      <c r="J5" s="661">
        <f>J3/H3</f>
        <v>6</v>
      </c>
    </row>
  </sheetData>
  <mergeCells count="1">
    <mergeCell ref="A1:J1"/>
  </mergeCells>
  <pageMargins left="0.51181102362204722" right="0.51181102362204722" top="0.78740157480314965" bottom="0.78740157480314965" header="0.31496062992125984" footer="0.31496062992125984"/>
  <pageSetup paperSize="9" scale="68" orientation="landscape" r:id="rId1"/>
  <headerFooter>
    <oddFooter>&amp;L&amp;F&amp;C&amp;A&amp;R&amp;P de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21"/>
  <sheetViews>
    <sheetView workbookViewId="0">
      <selection activeCell="C8" sqref="C8"/>
    </sheetView>
  </sheetViews>
  <sheetFormatPr defaultRowHeight="15" x14ac:dyDescent="0.25"/>
  <cols>
    <col min="3" max="3" width="34.85546875" customWidth="1"/>
    <col min="4" max="4" width="35.5703125" customWidth="1"/>
    <col min="5" max="5" width="40.85546875" style="398" customWidth="1"/>
    <col min="6" max="6" width="10.85546875" customWidth="1"/>
    <col min="7" max="7" width="16.28515625" customWidth="1"/>
    <col min="8" max="8" width="14.85546875" style="398" bestFit="1" customWidth="1"/>
    <col min="9" max="9" width="19.140625" customWidth="1"/>
  </cols>
  <sheetData>
    <row r="1" spans="1:9" ht="15.75" thickBot="1" x14ac:dyDescent="0.3">
      <c r="A1" s="865" t="s">
        <v>551</v>
      </c>
      <c r="B1" s="866"/>
      <c r="C1" s="866"/>
      <c r="D1" s="866"/>
      <c r="E1" s="866"/>
      <c r="F1" s="866"/>
      <c r="G1" s="866"/>
      <c r="H1" s="866"/>
      <c r="I1" s="867"/>
    </row>
    <row r="2" spans="1:9" ht="60.75" thickBot="1" x14ac:dyDescent="0.3">
      <c r="A2" s="335" t="s">
        <v>247</v>
      </c>
      <c r="B2" s="340" t="s">
        <v>242</v>
      </c>
      <c r="C2" s="340" t="s">
        <v>248</v>
      </c>
      <c r="D2" s="340" t="s">
        <v>239</v>
      </c>
      <c r="E2" s="336" t="s">
        <v>497</v>
      </c>
      <c r="F2" s="336" t="s">
        <v>240</v>
      </c>
      <c r="G2" s="336" t="s">
        <v>263</v>
      </c>
      <c r="H2" s="336" t="s">
        <v>496</v>
      </c>
      <c r="I2" s="340" t="s">
        <v>249</v>
      </c>
    </row>
    <row r="3" spans="1:9" ht="30" x14ac:dyDescent="0.25">
      <c r="A3" s="662">
        <v>1</v>
      </c>
      <c r="B3" s="713" t="s">
        <v>576</v>
      </c>
      <c r="C3" s="664" t="s">
        <v>367</v>
      </c>
      <c r="D3" s="663" t="s">
        <v>251</v>
      </c>
      <c r="E3" s="665" t="s">
        <v>589</v>
      </c>
      <c r="F3" s="666">
        <f>6373.37+355.23+44.27+55.05+509+834.11+49.5</f>
        <v>8220.5300000000007</v>
      </c>
      <c r="G3" s="667">
        <v>1009.56701</v>
      </c>
      <c r="H3" s="668">
        <v>1</v>
      </c>
      <c r="I3" s="669" t="s">
        <v>382</v>
      </c>
    </row>
    <row r="4" spans="1:9" ht="30" x14ac:dyDescent="0.25">
      <c r="A4" s="670">
        <v>2</v>
      </c>
      <c r="B4" s="716" t="s">
        <v>566</v>
      </c>
      <c r="C4" s="672" t="s">
        <v>575</v>
      </c>
      <c r="D4" s="671" t="s">
        <v>241</v>
      </c>
      <c r="E4" s="673" t="s">
        <v>587</v>
      </c>
      <c r="F4" s="674">
        <v>2493</v>
      </c>
      <c r="G4" s="675">
        <v>200</v>
      </c>
      <c r="H4" s="676">
        <v>1</v>
      </c>
      <c r="I4" s="677" t="s">
        <v>381</v>
      </c>
    </row>
    <row r="5" spans="1:9" ht="45" x14ac:dyDescent="0.25">
      <c r="A5" s="670">
        <v>3</v>
      </c>
      <c r="B5" s="716" t="s">
        <v>566</v>
      </c>
      <c r="C5" s="672" t="s">
        <v>574</v>
      </c>
      <c r="D5" s="671" t="s">
        <v>241</v>
      </c>
      <c r="E5" s="673" t="s">
        <v>590</v>
      </c>
      <c r="F5" s="674">
        <v>2493</v>
      </c>
      <c r="G5" s="675">
        <v>200</v>
      </c>
      <c r="H5" s="676">
        <v>1</v>
      </c>
      <c r="I5" s="677" t="s">
        <v>381</v>
      </c>
    </row>
    <row r="6" spans="1:9" x14ac:dyDescent="0.25">
      <c r="A6" s="670">
        <v>4</v>
      </c>
      <c r="B6" s="714" t="s">
        <v>566</v>
      </c>
      <c r="C6" s="672" t="s">
        <v>369</v>
      </c>
      <c r="D6" s="671" t="s">
        <v>245</v>
      </c>
      <c r="E6" s="673" t="s">
        <v>586</v>
      </c>
      <c r="F6" s="674">
        <f>575.04+1579.07</f>
        <v>2154.1099999999997</v>
      </c>
      <c r="G6" s="675">
        <v>400</v>
      </c>
      <c r="H6" s="676">
        <v>1</v>
      </c>
      <c r="I6" s="677" t="s">
        <v>381</v>
      </c>
    </row>
    <row r="7" spans="1:9" ht="30" x14ac:dyDescent="0.25">
      <c r="A7" s="670">
        <v>5</v>
      </c>
      <c r="B7" s="714" t="s">
        <v>566</v>
      </c>
      <c r="C7" s="672" t="s">
        <v>371</v>
      </c>
      <c r="D7" s="678" t="s">
        <v>413</v>
      </c>
      <c r="E7" s="673" t="s">
        <v>591</v>
      </c>
      <c r="F7" s="674">
        <v>232.5</v>
      </c>
      <c r="G7" s="679">
        <v>100</v>
      </c>
      <c r="H7" s="676">
        <v>1</v>
      </c>
      <c r="I7" s="677" t="s">
        <v>379</v>
      </c>
    </row>
    <row r="8" spans="1:9" ht="45" x14ac:dyDescent="0.25">
      <c r="A8" s="670">
        <v>6</v>
      </c>
      <c r="B8" s="714" t="s">
        <v>566</v>
      </c>
      <c r="C8" s="672" t="s">
        <v>372</v>
      </c>
      <c r="D8" s="671" t="s">
        <v>412</v>
      </c>
      <c r="E8" s="673" t="s">
        <v>550</v>
      </c>
      <c r="F8" s="674">
        <v>3128</v>
      </c>
      <c r="G8" s="680">
        <v>226.57504567500001</v>
      </c>
      <c r="H8" s="676">
        <v>1</v>
      </c>
      <c r="I8" s="677" t="s">
        <v>380</v>
      </c>
    </row>
    <row r="9" spans="1:9" ht="30" x14ac:dyDescent="0.25">
      <c r="A9" s="670">
        <v>7</v>
      </c>
      <c r="B9" s="714" t="s">
        <v>566</v>
      </c>
      <c r="C9" s="672" t="s">
        <v>373</v>
      </c>
      <c r="D9" s="671" t="s">
        <v>252</v>
      </c>
      <c r="E9" s="673" t="s">
        <v>592</v>
      </c>
      <c r="F9" s="674">
        <v>3128</v>
      </c>
      <c r="G9" s="675">
        <v>2800</v>
      </c>
      <c r="H9" s="676">
        <v>1</v>
      </c>
      <c r="I9" s="677" t="s">
        <v>379</v>
      </c>
    </row>
    <row r="10" spans="1:9" ht="30" x14ac:dyDescent="0.25">
      <c r="A10" s="670">
        <v>8</v>
      </c>
      <c r="B10" s="714" t="s">
        <v>244</v>
      </c>
      <c r="C10" s="672" t="s">
        <v>375</v>
      </c>
      <c r="D10" s="671" t="s">
        <v>253</v>
      </c>
      <c r="E10" s="673" t="s">
        <v>585</v>
      </c>
      <c r="F10" s="674">
        <v>1603.95</v>
      </c>
      <c r="G10" s="675">
        <v>400</v>
      </c>
      <c r="H10" s="676">
        <v>1</v>
      </c>
      <c r="I10" s="677" t="s">
        <v>380</v>
      </c>
    </row>
    <row r="11" spans="1:9" ht="35.25" customHeight="1" thickBot="1" x14ac:dyDescent="0.3">
      <c r="A11" s="681">
        <v>9</v>
      </c>
      <c r="B11" s="682" t="s">
        <v>244</v>
      </c>
      <c r="C11" s="683" t="s">
        <v>376</v>
      </c>
      <c r="D11" s="682" t="s">
        <v>254</v>
      </c>
      <c r="E11" s="684" t="s">
        <v>505</v>
      </c>
      <c r="F11" s="685">
        <v>1925.09</v>
      </c>
      <c r="G11" s="686">
        <v>130</v>
      </c>
      <c r="H11" s="687">
        <v>1</v>
      </c>
      <c r="I11" s="688" t="s">
        <v>381</v>
      </c>
    </row>
    <row r="12" spans="1:9" ht="15.75" thickBot="1" x14ac:dyDescent="0.3">
      <c r="A12" s="868" t="s">
        <v>552</v>
      </c>
      <c r="B12" s="869"/>
      <c r="C12" s="869"/>
      <c r="D12" s="869"/>
      <c r="E12" s="869"/>
      <c r="F12" s="869"/>
      <c r="G12" s="869"/>
      <c r="H12" s="869"/>
      <c r="I12" s="870"/>
    </row>
    <row r="13" spans="1:9" ht="30.75" thickBot="1" x14ac:dyDescent="0.3">
      <c r="A13" s="689" t="s">
        <v>247</v>
      </c>
      <c r="B13" s="689" t="s">
        <v>242</v>
      </c>
      <c r="C13" s="689" t="s">
        <v>246</v>
      </c>
      <c r="D13" s="689" t="s">
        <v>239</v>
      </c>
      <c r="E13" s="689" t="s">
        <v>497</v>
      </c>
      <c r="F13" s="689" t="s">
        <v>240</v>
      </c>
      <c r="G13" s="689" t="s">
        <v>250</v>
      </c>
      <c r="H13" s="689" t="s">
        <v>496</v>
      </c>
      <c r="I13" s="689" t="s">
        <v>249</v>
      </c>
    </row>
    <row r="14" spans="1:9" ht="45" x14ac:dyDescent="0.25">
      <c r="A14" s="662">
        <v>10</v>
      </c>
      <c r="B14" s="871" t="s">
        <v>576</v>
      </c>
      <c r="C14" s="663" t="s">
        <v>502</v>
      </c>
      <c r="D14" s="663" t="s">
        <v>255</v>
      </c>
      <c r="E14" s="665" t="s">
        <v>492</v>
      </c>
      <c r="F14" s="690">
        <v>2614.833700000002</v>
      </c>
      <c r="G14" s="668">
        <v>800</v>
      </c>
      <c r="H14" s="668">
        <v>1</v>
      </c>
      <c r="I14" s="669" t="s">
        <v>382</v>
      </c>
    </row>
    <row r="15" spans="1:9" ht="45" x14ac:dyDescent="0.25">
      <c r="A15" s="670">
        <v>11</v>
      </c>
      <c r="B15" s="872"/>
      <c r="C15" s="671" t="s">
        <v>501</v>
      </c>
      <c r="D15" s="671" t="s">
        <v>255</v>
      </c>
      <c r="E15" s="673" t="s">
        <v>582</v>
      </c>
      <c r="F15" s="691">
        <v>124.825</v>
      </c>
      <c r="G15" s="676">
        <v>800</v>
      </c>
      <c r="H15" s="676">
        <v>1</v>
      </c>
      <c r="I15" s="677" t="s">
        <v>382</v>
      </c>
    </row>
    <row r="16" spans="1:9" ht="45" x14ac:dyDescent="0.25">
      <c r="A16" s="670">
        <v>12</v>
      </c>
      <c r="B16" s="873"/>
      <c r="C16" s="671" t="s">
        <v>500</v>
      </c>
      <c r="D16" s="671" t="s">
        <v>255</v>
      </c>
      <c r="E16" s="673" t="s">
        <v>581</v>
      </c>
      <c r="F16" s="691">
        <v>274.17400000000004</v>
      </c>
      <c r="G16" s="676">
        <v>1000</v>
      </c>
      <c r="H16" s="676">
        <v>1</v>
      </c>
      <c r="I16" s="677" t="s">
        <v>382</v>
      </c>
    </row>
    <row r="17" spans="1:9" ht="45" x14ac:dyDescent="0.25">
      <c r="A17" s="670">
        <v>13</v>
      </c>
      <c r="B17" s="874" t="s">
        <v>577</v>
      </c>
      <c r="C17" s="671" t="s">
        <v>499</v>
      </c>
      <c r="D17" s="671" t="s">
        <v>255</v>
      </c>
      <c r="E17" s="673" t="s">
        <v>583</v>
      </c>
      <c r="F17" s="691">
        <v>57.155100000000004</v>
      </c>
      <c r="G17" s="676">
        <v>400</v>
      </c>
      <c r="H17" s="676">
        <v>1</v>
      </c>
      <c r="I17" s="677" t="s">
        <v>382</v>
      </c>
    </row>
    <row r="18" spans="1:9" ht="30" x14ac:dyDescent="0.25">
      <c r="A18" s="670">
        <v>14</v>
      </c>
      <c r="B18" s="873"/>
      <c r="C18" s="671" t="s">
        <v>498</v>
      </c>
      <c r="D18" s="671" t="s">
        <v>508</v>
      </c>
      <c r="E18" s="673" t="s">
        <v>584</v>
      </c>
      <c r="F18" s="691">
        <v>101.20659999999998</v>
      </c>
      <c r="G18" s="676">
        <v>400</v>
      </c>
      <c r="H18" s="676">
        <v>1</v>
      </c>
      <c r="I18" s="677" t="s">
        <v>382</v>
      </c>
    </row>
    <row r="19" spans="1:9" ht="45.75" thickBot="1" x14ac:dyDescent="0.3">
      <c r="A19" s="681">
        <v>15</v>
      </c>
      <c r="B19" s="682" t="s">
        <v>244</v>
      </c>
      <c r="C19" s="682" t="s">
        <v>509</v>
      </c>
      <c r="D19" s="682" t="s">
        <v>255</v>
      </c>
      <c r="E19" s="684" t="s">
        <v>585</v>
      </c>
      <c r="F19" s="692">
        <v>741</v>
      </c>
      <c r="G19" s="687">
        <v>400</v>
      </c>
      <c r="H19" s="686">
        <v>1</v>
      </c>
      <c r="I19" s="688" t="s">
        <v>380</v>
      </c>
    </row>
    <row r="20" spans="1:9" x14ac:dyDescent="0.25">
      <c r="A20" s="306"/>
      <c r="B20" s="306"/>
      <c r="C20" s="306"/>
      <c r="D20" s="306"/>
      <c r="E20" s="306"/>
      <c r="F20" s="306"/>
      <c r="G20" s="306"/>
      <c r="H20" s="306"/>
      <c r="I20" s="306"/>
    </row>
    <row r="21" spans="1:9" x14ac:dyDescent="0.25">
      <c r="A21" s="337"/>
      <c r="B21" s="338"/>
      <c r="C21" s="338"/>
      <c r="D21" s="339"/>
      <c r="E21" s="339"/>
      <c r="F21" s="338"/>
      <c r="G21" s="338"/>
      <c r="H21" s="338"/>
      <c r="I21" s="338"/>
    </row>
  </sheetData>
  <mergeCells count="4">
    <mergeCell ref="A1:I1"/>
    <mergeCell ref="A12:I12"/>
    <mergeCell ref="B14:B16"/>
    <mergeCell ref="B17:B18"/>
  </mergeCells>
  <pageMargins left="0.51181102362204722" right="0.51181102362204722" top="0.78740157480314965" bottom="0.78740157480314965" header="0.31496062992125984" footer="0.31496062992125984"/>
  <pageSetup paperSize="9" scale="71" orientation="landscape" r:id="rId1"/>
  <headerFooter>
    <oddFooter>&amp;L&amp;F&amp;C&amp;A&amp;R&amp;P de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M21"/>
  <sheetViews>
    <sheetView zoomScale="80" zoomScaleNormal="80" workbookViewId="0">
      <selection activeCell="C13" sqref="C13"/>
    </sheetView>
  </sheetViews>
  <sheetFormatPr defaultRowHeight="15" x14ac:dyDescent="0.25"/>
  <cols>
    <col min="1" max="1" width="8.28515625" customWidth="1"/>
    <col min="2" max="2" width="8.7109375" style="341" customWidth="1"/>
    <col min="3" max="3" width="35.85546875" style="399" customWidth="1"/>
    <col min="4" max="4" width="35" customWidth="1"/>
    <col min="5" max="5" width="19.28515625" customWidth="1"/>
    <col min="6" max="6" width="19.140625" style="398" customWidth="1"/>
    <col min="7" max="7" width="26.7109375" bestFit="1" customWidth="1"/>
    <col min="8" max="9" width="16" customWidth="1"/>
    <col min="10" max="10" width="16" style="398" customWidth="1"/>
    <col min="11" max="11" width="13.85546875" customWidth="1"/>
    <col min="12" max="12" width="17.28515625" customWidth="1"/>
    <col min="13" max="13" width="15.42578125" customWidth="1"/>
  </cols>
  <sheetData>
    <row r="1" spans="1:13" ht="15.75" customHeight="1" x14ac:dyDescent="0.25">
      <c r="A1" s="891" t="s">
        <v>337</v>
      </c>
      <c r="B1" s="891"/>
      <c r="C1" s="891"/>
      <c r="D1" s="891"/>
      <c r="E1" s="891"/>
      <c r="F1" s="891"/>
      <c r="G1" s="891"/>
      <c r="H1" s="891"/>
      <c r="I1" s="891"/>
      <c r="J1" s="891"/>
      <c r="K1" s="891"/>
      <c r="L1" s="891"/>
      <c r="M1" s="891"/>
    </row>
    <row r="2" spans="1:13" ht="16.5" customHeight="1" thickBot="1" x14ac:dyDescent="0.3">
      <c r="A2" s="892"/>
      <c r="B2" s="892"/>
      <c r="C2" s="892"/>
      <c r="D2" s="892"/>
      <c r="E2" s="892"/>
      <c r="F2" s="892"/>
      <c r="G2" s="892"/>
      <c r="H2" s="892"/>
      <c r="I2" s="892"/>
      <c r="J2" s="892"/>
      <c r="K2" s="892"/>
      <c r="L2" s="892"/>
      <c r="M2" s="892"/>
    </row>
    <row r="3" spans="1:13" ht="15.75" thickBot="1" x14ac:dyDescent="0.3">
      <c r="A3" s="903" t="s">
        <v>520</v>
      </c>
      <c r="B3" s="904"/>
      <c r="C3" s="904"/>
      <c r="D3" s="904"/>
      <c r="E3" s="904"/>
      <c r="F3" s="904"/>
      <c r="G3" s="904"/>
      <c r="H3" s="904"/>
      <c r="I3" s="904"/>
      <c r="J3" s="904"/>
      <c r="K3" s="904"/>
      <c r="L3" s="904"/>
      <c r="M3" s="905"/>
    </row>
    <row r="4" spans="1:13" ht="60" x14ac:dyDescent="0.25">
      <c r="A4" s="710" t="s">
        <v>247</v>
      </c>
      <c r="B4" s="710" t="s">
        <v>338</v>
      </c>
      <c r="C4" s="710" t="s">
        <v>519</v>
      </c>
      <c r="D4" s="710" t="s">
        <v>339</v>
      </c>
      <c r="E4" s="710" t="s">
        <v>340</v>
      </c>
      <c r="F4" s="710" t="s">
        <v>516</v>
      </c>
      <c r="G4" s="711" t="s">
        <v>262</v>
      </c>
      <c r="H4" s="711" t="s">
        <v>263</v>
      </c>
      <c r="I4" s="711" t="s">
        <v>525</v>
      </c>
      <c r="J4" s="711" t="s">
        <v>528</v>
      </c>
      <c r="K4" s="711" t="s">
        <v>527</v>
      </c>
      <c r="L4" s="712" t="s">
        <v>264</v>
      </c>
      <c r="M4" s="711" t="s">
        <v>265</v>
      </c>
    </row>
    <row r="5" spans="1:13" x14ac:dyDescent="0.25">
      <c r="A5" s="897">
        <v>1</v>
      </c>
      <c r="B5" s="897" t="s">
        <v>576</v>
      </c>
      <c r="C5" s="902" t="s">
        <v>339</v>
      </c>
      <c r="D5" s="393" t="s">
        <v>341</v>
      </c>
      <c r="E5" s="392">
        <v>6373.37</v>
      </c>
      <c r="F5" s="906">
        <f>SUM(E5:E11)</f>
        <v>8220.5300000000007</v>
      </c>
      <c r="G5" s="901" t="s">
        <v>268</v>
      </c>
      <c r="H5" s="886">
        <v>1009.56701</v>
      </c>
      <c r="I5" s="882">
        <v>1</v>
      </c>
      <c r="J5" s="882" t="s">
        <v>382</v>
      </c>
      <c r="K5" s="884">
        <f>'Quadro de horas'!$E$3*I5</f>
        <v>23.915178571428569</v>
      </c>
      <c r="L5" s="875">
        <f>F5*K5</f>
        <v>196595.44290178572</v>
      </c>
      <c r="M5" s="898">
        <f>F5/H5</f>
        <v>8.1426293832640209</v>
      </c>
    </row>
    <row r="6" spans="1:13" x14ac:dyDescent="0.25">
      <c r="A6" s="897"/>
      <c r="B6" s="897"/>
      <c r="C6" s="902"/>
      <c r="D6" s="393" t="s">
        <v>342</v>
      </c>
      <c r="E6" s="392">
        <v>355.23</v>
      </c>
      <c r="F6" s="906"/>
      <c r="G6" s="901"/>
      <c r="H6" s="887"/>
      <c r="I6" s="889"/>
      <c r="J6" s="889"/>
      <c r="K6" s="890"/>
      <c r="L6" s="876"/>
      <c r="M6" s="899"/>
    </row>
    <row r="7" spans="1:13" x14ac:dyDescent="0.25">
      <c r="A7" s="897"/>
      <c r="B7" s="897"/>
      <c r="C7" s="902"/>
      <c r="D7" s="393" t="s">
        <v>343</v>
      </c>
      <c r="E7" s="392">
        <v>44.27</v>
      </c>
      <c r="F7" s="906"/>
      <c r="G7" s="901"/>
      <c r="H7" s="887"/>
      <c r="I7" s="889"/>
      <c r="J7" s="889"/>
      <c r="K7" s="890"/>
      <c r="L7" s="876"/>
      <c r="M7" s="899"/>
    </row>
    <row r="8" spans="1:13" x14ac:dyDescent="0.25">
      <c r="A8" s="897"/>
      <c r="B8" s="897"/>
      <c r="C8" s="902"/>
      <c r="D8" s="393" t="s">
        <v>344</v>
      </c>
      <c r="E8" s="392">
        <v>55.05</v>
      </c>
      <c r="F8" s="906"/>
      <c r="G8" s="901"/>
      <c r="H8" s="887"/>
      <c r="I8" s="889"/>
      <c r="J8" s="889"/>
      <c r="K8" s="890"/>
      <c r="L8" s="876"/>
      <c r="M8" s="899"/>
    </row>
    <row r="9" spans="1:13" x14ac:dyDescent="0.25">
      <c r="A9" s="897"/>
      <c r="B9" s="897"/>
      <c r="C9" s="902"/>
      <c r="D9" s="393" t="s">
        <v>345</v>
      </c>
      <c r="E9" s="392">
        <v>509</v>
      </c>
      <c r="F9" s="906"/>
      <c r="G9" s="901"/>
      <c r="H9" s="887"/>
      <c r="I9" s="889"/>
      <c r="J9" s="889"/>
      <c r="K9" s="890"/>
      <c r="L9" s="876"/>
      <c r="M9" s="899"/>
    </row>
    <row r="10" spans="1:13" x14ac:dyDescent="0.25">
      <c r="A10" s="897"/>
      <c r="B10" s="897"/>
      <c r="C10" s="902"/>
      <c r="D10" s="393" t="s">
        <v>346</v>
      </c>
      <c r="E10" s="392">
        <v>834.11</v>
      </c>
      <c r="F10" s="906"/>
      <c r="G10" s="901"/>
      <c r="H10" s="887"/>
      <c r="I10" s="889"/>
      <c r="J10" s="889"/>
      <c r="K10" s="890"/>
      <c r="L10" s="876"/>
      <c r="M10" s="899"/>
    </row>
    <row r="11" spans="1:13" x14ac:dyDescent="0.25">
      <c r="A11" s="897"/>
      <c r="B11" s="897"/>
      <c r="C11" s="902"/>
      <c r="D11" s="393" t="s">
        <v>515</v>
      </c>
      <c r="E11" s="392">
        <v>49.5</v>
      </c>
      <c r="F11" s="906"/>
      <c r="G11" s="901"/>
      <c r="H11" s="888"/>
      <c r="I11" s="883"/>
      <c r="J11" s="883"/>
      <c r="K11" s="885"/>
      <c r="L11" s="877"/>
      <c r="M11" s="900"/>
    </row>
    <row r="12" spans="1:13" ht="44.25" customHeight="1" x14ac:dyDescent="0.25">
      <c r="A12" s="670">
        <v>2</v>
      </c>
      <c r="B12" s="701" t="s">
        <v>243</v>
      </c>
      <c r="C12" s="594" t="s">
        <v>575</v>
      </c>
      <c r="D12" s="393" t="s">
        <v>348</v>
      </c>
      <c r="E12" s="394">
        <v>2493</v>
      </c>
      <c r="F12" s="395">
        <v>2493</v>
      </c>
      <c r="G12" s="569" t="s">
        <v>517</v>
      </c>
      <c r="H12" s="569">
        <v>200</v>
      </c>
      <c r="I12" s="571">
        <v>1</v>
      </c>
      <c r="J12" s="571" t="s">
        <v>381</v>
      </c>
      <c r="K12" s="582">
        <f>(1/6)*I12</f>
        <v>0.16666666666666666</v>
      </c>
      <c r="L12" s="602">
        <f t="shared" ref="L12:L20" si="0">F12*K12</f>
        <v>415.5</v>
      </c>
      <c r="M12" s="572">
        <f>F12/H12/6*2*8/'Quadro de horas'!H3</f>
        <v>0.17373903304088112</v>
      </c>
    </row>
    <row r="13" spans="1:13" ht="45" x14ac:dyDescent="0.25">
      <c r="A13" s="670">
        <v>3</v>
      </c>
      <c r="B13" s="701" t="s">
        <v>243</v>
      </c>
      <c r="C13" s="720" t="s">
        <v>574</v>
      </c>
      <c r="D13" s="393" t="s">
        <v>348</v>
      </c>
      <c r="E13" s="394">
        <v>2493</v>
      </c>
      <c r="F13" s="395">
        <v>2493</v>
      </c>
      <c r="G13" s="569" t="s">
        <v>517</v>
      </c>
      <c r="H13" s="569">
        <v>200</v>
      </c>
      <c r="I13" s="571">
        <v>1</v>
      </c>
      <c r="J13" s="571" t="s">
        <v>381</v>
      </c>
      <c r="K13" s="582">
        <f>(I13/6)*I13</f>
        <v>0.16666666666666666</v>
      </c>
      <c r="L13" s="602">
        <f t="shared" si="0"/>
        <v>415.5</v>
      </c>
      <c r="M13" s="572">
        <f>F13/H13/6*8/'Quadro de horas'!H3</f>
        <v>8.6869516520440559E-2</v>
      </c>
    </row>
    <row r="14" spans="1:13" ht="71.25" x14ac:dyDescent="0.25">
      <c r="A14" s="893">
        <v>4</v>
      </c>
      <c r="B14" s="895" t="s">
        <v>566</v>
      </c>
      <c r="C14" s="595" t="s">
        <v>349</v>
      </c>
      <c r="D14" s="396" t="s">
        <v>350</v>
      </c>
      <c r="E14" s="397">
        <v>575.04</v>
      </c>
      <c r="F14" s="878">
        <f>SUM(E14:E15)</f>
        <v>2154.1099999999997</v>
      </c>
      <c r="G14" s="901" t="s">
        <v>518</v>
      </c>
      <c r="H14" s="880">
        <v>400</v>
      </c>
      <c r="I14" s="882">
        <v>1</v>
      </c>
      <c r="J14" s="882" t="s">
        <v>381</v>
      </c>
      <c r="K14" s="884">
        <f>I14/6</f>
        <v>0.16666666666666666</v>
      </c>
      <c r="L14" s="875">
        <f t="shared" si="0"/>
        <v>359.01833333333326</v>
      </c>
      <c r="M14" s="898">
        <f>F14/H14/6*2*8/'Quadro de horas'!H3</f>
        <v>7.5060767842698023E-2</v>
      </c>
    </row>
    <row r="15" spans="1:13" ht="30" x14ac:dyDescent="0.25">
      <c r="A15" s="894"/>
      <c r="B15" s="896"/>
      <c r="C15" s="595" t="s">
        <v>349</v>
      </c>
      <c r="D15" s="396" t="s">
        <v>351</v>
      </c>
      <c r="E15" s="397">
        <v>1579.07</v>
      </c>
      <c r="F15" s="879"/>
      <c r="G15" s="901"/>
      <c r="H15" s="881"/>
      <c r="I15" s="883"/>
      <c r="J15" s="883"/>
      <c r="K15" s="885"/>
      <c r="L15" s="877"/>
      <c r="M15" s="900"/>
    </row>
    <row r="16" spans="1:13" ht="45" x14ac:dyDescent="0.25">
      <c r="A16" s="568">
        <v>5</v>
      </c>
      <c r="B16" s="568" t="s">
        <v>243</v>
      </c>
      <c r="C16" s="594" t="s">
        <v>352</v>
      </c>
      <c r="D16" s="393" t="s">
        <v>353</v>
      </c>
      <c r="E16" s="394">
        <v>232.5</v>
      </c>
      <c r="F16" s="596">
        <f>SUM(E16:E16)</f>
        <v>232.5</v>
      </c>
      <c r="G16" s="569" t="s">
        <v>521</v>
      </c>
      <c r="H16" s="569">
        <v>100</v>
      </c>
      <c r="I16" s="571">
        <v>1</v>
      </c>
      <c r="J16" s="571" t="s">
        <v>379</v>
      </c>
      <c r="K16" s="582">
        <f>I16*'Quadro de horas'!C3</f>
        <v>4.3482142857142856</v>
      </c>
      <c r="L16" s="602">
        <f t="shared" si="0"/>
        <v>1010.9598214285714</v>
      </c>
      <c r="M16" s="572">
        <f>F16/H16*I16*K16/'Quadro de horas'!E$3</f>
        <v>0.42272727272727278</v>
      </c>
    </row>
    <row r="17" spans="1:13" ht="45" x14ac:dyDescent="0.25">
      <c r="A17" s="568">
        <v>6</v>
      </c>
      <c r="B17" s="568" t="s">
        <v>243</v>
      </c>
      <c r="C17" s="594" t="s">
        <v>352</v>
      </c>
      <c r="D17" s="393" t="s">
        <v>354</v>
      </c>
      <c r="E17" s="394">
        <v>3128</v>
      </c>
      <c r="F17" s="596">
        <f t="shared" ref="F17:F20" si="1">SUM(E17:E17)</f>
        <v>3128</v>
      </c>
      <c r="G17" s="569" t="s">
        <v>522</v>
      </c>
      <c r="H17" s="719">
        <v>226.57504567500001</v>
      </c>
      <c r="I17" s="571">
        <v>1</v>
      </c>
      <c r="J17" s="571" t="s">
        <v>380</v>
      </c>
      <c r="K17" s="582">
        <f>I17*'Quadro de horas'!D3</f>
        <v>1</v>
      </c>
      <c r="L17" s="602">
        <f t="shared" si="0"/>
        <v>3128</v>
      </c>
      <c r="M17" s="572">
        <f>F17/H17*I17*K17/'Quadro de horas'!E$3</f>
        <v>0.57727272727466028</v>
      </c>
    </row>
    <row r="18" spans="1:13" ht="45" x14ac:dyDescent="0.25">
      <c r="A18" s="568">
        <v>7</v>
      </c>
      <c r="B18" s="568" t="s">
        <v>243</v>
      </c>
      <c r="C18" s="594" t="s">
        <v>355</v>
      </c>
      <c r="D18" s="393" t="s">
        <v>354</v>
      </c>
      <c r="E18" s="394">
        <v>3128</v>
      </c>
      <c r="F18" s="596">
        <f t="shared" si="1"/>
        <v>3128</v>
      </c>
      <c r="G18" s="569" t="s">
        <v>522</v>
      </c>
      <c r="H18" s="569">
        <v>2800</v>
      </c>
      <c r="I18" s="571">
        <v>1</v>
      </c>
      <c r="J18" s="571" t="s">
        <v>379</v>
      </c>
      <c r="K18" s="582">
        <f>I18*'Quadro de horas'!C3</f>
        <v>4.3482142857142856</v>
      </c>
      <c r="L18" s="602">
        <f t="shared" si="0"/>
        <v>13601.214285714284</v>
      </c>
      <c r="M18" s="572">
        <f>F18/H18*I18*K18/'Quadro de horas'!E$3</f>
        <v>0.20311688311688311</v>
      </c>
    </row>
    <row r="19" spans="1:13" ht="45" x14ac:dyDescent="0.25">
      <c r="A19" s="568">
        <v>8</v>
      </c>
      <c r="B19" s="568" t="s">
        <v>244</v>
      </c>
      <c r="C19" s="594" t="s">
        <v>356</v>
      </c>
      <c r="D19" s="393" t="s">
        <v>357</v>
      </c>
      <c r="E19" s="394">
        <v>1603.95</v>
      </c>
      <c r="F19" s="596">
        <f t="shared" si="1"/>
        <v>1603.95</v>
      </c>
      <c r="G19" s="569" t="s">
        <v>523</v>
      </c>
      <c r="H19" s="569">
        <v>400</v>
      </c>
      <c r="I19" s="571">
        <v>1</v>
      </c>
      <c r="J19" s="571" t="s">
        <v>380</v>
      </c>
      <c r="K19" s="582">
        <f>I19*'Quadro de horas'!D3</f>
        <v>1</v>
      </c>
      <c r="L19" s="602">
        <f t="shared" si="0"/>
        <v>1603.95</v>
      </c>
      <c r="M19" s="572">
        <f>F19/H19*I19/'Quadro de horas'!E$3</f>
        <v>0.16767071121896585</v>
      </c>
    </row>
    <row r="20" spans="1:13" ht="45.75" thickBot="1" x14ac:dyDescent="0.3">
      <c r="A20" s="649">
        <v>9</v>
      </c>
      <c r="B20" s="649" t="s">
        <v>244</v>
      </c>
      <c r="C20" s="650" t="s">
        <v>358</v>
      </c>
      <c r="D20" s="597" t="s">
        <v>359</v>
      </c>
      <c r="E20" s="598">
        <v>1925.09</v>
      </c>
      <c r="F20" s="599">
        <f t="shared" si="1"/>
        <v>1925.09</v>
      </c>
      <c r="G20" s="570" t="s">
        <v>524</v>
      </c>
      <c r="H20" s="570">
        <v>130</v>
      </c>
      <c r="I20" s="600">
        <v>1</v>
      </c>
      <c r="J20" s="600" t="s">
        <v>381</v>
      </c>
      <c r="K20" s="601">
        <f>I20/6</f>
        <v>0.16666666666666666</v>
      </c>
      <c r="L20" s="602">
        <f t="shared" si="0"/>
        <v>320.8483333333333</v>
      </c>
      <c r="M20" s="572">
        <f>F20/H20*I20*K20/'Quadro de horas'!E$3</f>
        <v>0.10320073902825443</v>
      </c>
    </row>
    <row r="21" spans="1:13" ht="21.75" thickBot="1" x14ac:dyDescent="0.4">
      <c r="A21" s="816" t="s">
        <v>553</v>
      </c>
      <c r="B21" s="817"/>
      <c r="C21" s="817"/>
      <c r="D21" s="817"/>
      <c r="E21" s="817"/>
      <c r="F21" s="817"/>
      <c r="G21" s="817"/>
      <c r="H21" s="817"/>
      <c r="I21" s="817"/>
      <c r="J21" s="817"/>
      <c r="K21" s="818"/>
      <c r="L21" s="603">
        <f>SUM(L5:L20)</f>
        <v>217450.43367559527</v>
      </c>
      <c r="M21" s="604">
        <f>SUM(M5:M20)</f>
        <v>9.952287034034077</v>
      </c>
    </row>
  </sheetData>
  <mergeCells count="24">
    <mergeCell ref="A1:M2"/>
    <mergeCell ref="A14:A15"/>
    <mergeCell ref="B14:B15"/>
    <mergeCell ref="A21:K21"/>
    <mergeCell ref="A5:A11"/>
    <mergeCell ref="M5:M11"/>
    <mergeCell ref="L14:L15"/>
    <mergeCell ref="M14:M15"/>
    <mergeCell ref="J5:J11"/>
    <mergeCell ref="J14:J15"/>
    <mergeCell ref="G5:G11"/>
    <mergeCell ref="G14:G15"/>
    <mergeCell ref="C5:C11"/>
    <mergeCell ref="B5:B11"/>
    <mergeCell ref="A3:M3"/>
    <mergeCell ref="F5:F11"/>
    <mergeCell ref="L5:L11"/>
    <mergeCell ref="F14:F15"/>
    <mergeCell ref="H14:H15"/>
    <mergeCell ref="I14:I15"/>
    <mergeCell ref="K14:K15"/>
    <mergeCell ref="H5:H11"/>
    <mergeCell ref="I5:I11"/>
    <mergeCell ref="K5:K11"/>
  </mergeCells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S209"/>
  <sheetViews>
    <sheetView topLeftCell="A148" zoomScale="80" zoomScaleNormal="80" workbookViewId="0">
      <selection activeCell="E142" sqref="E142:E165"/>
    </sheetView>
  </sheetViews>
  <sheetFormatPr defaultRowHeight="15" x14ac:dyDescent="0.25"/>
  <cols>
    <col min="1" max="1" width="12" style="398" customWidth="1"/>
    <col min="2" max="2" width="23.85546875" style="398" customWidth="1"/>
    <col min="3" max="3" width="16.140625" style="399" customWidth="1"/>
    <col min="4" max="4" width="14.85546875" style="399" customWidth="1"/>
    <col min="5" max="5" width="13" style="342" customWidth="1"/>
    <col min="6" max="6" width="16.5703125" style="399" customWidth="1"/>
    <col min="7" max="7" width="14.42578125" style="399" customWidth="1"/>
    <col min="8" max="8" width="13.28515625" style="399" customWidth="1"/>
    <col min="9" max="9" width="14.140625" style="93" customWidth="1"/>
    <col min="10" max="10" width="14.7109375" style="398" customWidth="1"/>
    <col min="11" max="11" width="12.7109375" style="398" customWidth="1"/>
    <col min="12" max="12" width="3.7109375" style="506" customWidth="1"/>
    <col min="13" max="13" width="19.28515625" customWidth="1"/>
    <col min="14" max="16" width="16.85546875" style="398" customWidth="1"/>
    <col min="17" max="17" width="15.7109375" customWidth="1"/>
    <col min="18" max="18" width="18.5703125" customWidth="1"/>
    <col min="19" max="19" width="19.85546875" customWidth="1"/>
  </cols>
  <sheetData>
    <row r="1" spans="1:19" ht="15.75" customHeight="1" x14ac:dyDescent="0.25">
      <c r="A1" s="910" t="s">
        <v>256</v>
      </c>
      <c r="B1" s="911"/>
      <c r="C1" s="911"/>
      <c r="D1" s="911"/>
      <c r="E1" s="911"/>
      <c r="F1" s="911"/>
      <c r="G1" s="911"/>
      <c r="H1" s="911"/>
      <c r="I1" s="911"/>
      <c r="J1" s="911"/>
      <c r="K1" s="911"/>
      <c r="L1" s="911"/>
      <c r="M1" s="911"/>
      <c r="N1" s="911"/>
      <c r="O1" s="911"/>
      <c r="P1" s="911"/>
      <c r="Q1" s="911"/>
      <c r="R1" s="911"/>
      <c r="S1" s="912"/>
    </row>
    <row r="2" spans="1:19" ht="16.5" customHeight="1" thickBot="1" x14ac:dyDescent="0.3">
      <c r="A2" s="907" t="s">
        <v>565</v>
      </c>
      <c r="B2" s="908"/>
      <c r="C2" s="908"/>
      <c r="D2" s="908"/>
      <c r="E2" s="908"/>
      <c r="F2" s="908"/>
      <c r="G2" s="908"/>
      <c r="H2" s="908"/>
      <c r="I2" s="908"/>
      <c r="J2" s="908"/>
      <c r="K2" s="908"/>
      <c r="L2" s="908"/>
      <c r="M2" s="908"/>
      <c r="N2" s="908"/>
      <c r="O2" s="908"/>
      <c r="P2" s="908"/>
      <c r="Q2" s="908"/>
      <c r="R2" s="908"/>
      <c r="S2" s="909"/>
    </row>
    <row r="3" spans="1:19" s="398" customFormat="1" ht="16.5" thickBot="1" x14ac:dyDescent="0.3"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501"/>
      <c r="M3" s="920" t="s">
        <v>554</v>
      </c>
      <c r="N3" s="835"/>
      <c r="O3" s="835"/>
      <c r="P3" s="835"/>
      <c r="Q3" s="835"/>
      <c r="R3" s="835"/>
      <c r="S3" s="921"/>
    </row>
    <row r="4" spans="1:19" ht="75.75" thickBot="1" x14ac:dyDescent="0.3">
      <c r="A4" s="434" t="s">
        <v>257</v>
      </c>
      <c r="B4" s="435" t="s">
        <v>258</v>
      </c>
      <c r="C4" s="435" t="s">
        <v>259</v>
      </c>
      <c r="D4" s="435" t="s">
        <v>260</v>
      </c>
      <c r="E4" s="436" t="s">
        <v>261</v>
      </c>
      <c r="F4" s="435" t="s">
        <v>262</v>
      </c>
      <c r="G4" s="435" t="s">
        <v>263</v>
      </c>
      <c r="H4" s="435" t="s">
        <v>506</v>
      </c>
      <c r="I4" s="435" t="s">
        <v>512</v>
      </c>
      <c r="J4" s="408" t="s">
        <v>264</v>
      </c>
      <c r="K4" s="435" t="s">
        <v>265</v>
      </c>
      <c r="L4" s="502"/>
      <c r="M4" s="496" t="s">
        <v>492</v>
      </c>
      <c r="N4" s="496" t="s">
        <v>495</v>
      </c>
      <c r="O4" s="496" t="s">
        <v>513</v>
      </c>
      <c r="P4" s="496" t="s">
        <v>493</v>
      </c>
      <c r="Q4" s="496" t="s">
        <v>494</v>
      </c>
      <c r="R4" s="496" t="s">
        <v>490</v>
      </c>
      <c r="S4" s="496" t="s">
        <v>347</v>
      </c>
    </row>
    <row r="5" spans="1:19" x14ac:dyDescent="0.25">
      <c r="A5" s="978" t="s">
        <v>266</v>
      </c>
      <c r="B5" s="480" t="s">
        <v>267</v>
      </c>
      <c r="C5" s="481">
        <v>4.3</v>
      </c>
      <c r="D5" s="481">
        <v>7.45</v>
      </c>
      <c r="E5" s="483">
        <f>C5*D5</f>
        <v>32.034999999999997</v>
      </c>
      <c r="F5" s="481" t="s">
        <v>268</v>
      </c>
      <c r="G5" s="481">
        <v>800</v>
      </c>
      <c r="H5" s="482">
        <v>1</v>
      </c>
      <c r="I5" s="576">
        <f>'Quadro de horas'!$E$3*H5</f>
        <v>23.915178571428569</v>
      </c>
      <c r="J5" s="483">
        <f>E5*I5</f>
        <v>766.1227455357141</v>
      </c>
      <c r="K5" s="483">
        <f>(J5/G5)/22</f>
        <v>4.3529701450892848E-2</v>
      </c>
      <c r="L5" s="503"/>
      <c r="M5" s="472">
        <v>32.034999999999997</v>
      </c>
      <c r="N5" s="940"/>
      <c r="O5" s="495"/>
      <c r="P5" s="495"/>
      <c r="Q5" s="950"/>
      <c r="R5" s="943"/>
      <c r="S5" s="922"/>
    </row>
    <row r="6" spans="1:19" x14ac:dyDescent="0.25">
      <c r="A6" s="978"/>
      <c r="B6" s="975" t="s">
        <v>477</v>
      </c>
      <c r="C6" s="459">
        <v>4.71</v>
      </c>
      <c r="D6" s="459">
        <v>9.77</v>
      </c>
      <c r="E6" s="916">
        <f>(C6*D6)+(C7*D7)</f>
        <v>63.811099999999996</v>
      </c>
      <c r="F6" s="901" t="s">
        <v>268</v>
      </c>
      <c r="G6" s="901">
        <v>800</v>
      </c>
      <c r="H6" s="980">
        <v>1</v>
      </c>
      <c r="I6" s="884">
        <f>'Quadro de horas'!$E$3*H6</f>
        <v>23.915178571428569</v>
      </c>
      <c r="J6" s="898">
        <f>E6*I6</f>
        <v>1526.0538513392855</v>
      </c>
      <c r="K6" s="916">
        <f>(J6/G6)/22</f>
        <v>8.670760518973214E-2</v>
      </c>
      <c r="L6" s="503"/>
      <c r="M6" s="960">
        <v>63.811099999999996</v>
      </c>
      <c r="N6" s="941"/>
      <c r="O6" s="492"/>
      <c r="P6" s="492"/>
      <c r="Q6" s="949"/>
      <c r="R6" s="944"/>
      <c r="S6" s="923"/>
    </row>
    <row r="7" spans="1:19" x14ac:dyDescent="0.25">
      <c r="A7" s="979"/>
      <c r="B7" s="975"/>
      <c r="C7" s="459">
        <v>3.77</v>
      </c>
      <c r="D7" s="459">
        <v>4.72</v>
      </c>
      <c r="E7" s="916"/>
      <c r="F7" s="901"/>
      <c r="G7" s="901"/>
      <c r="H7" s="980"/>
      <c r="I7" s="885">
        <f>'Quadro de horas'!$E$3*H7</f>
        <v>0</v>
      </c>
      <c r="J7" s="900"/>
      <c r="K7" s="916"/>
      <c r="L7" s="503"/>
      <c r="M7" s="960"/>
      <c r="N7" s="942"/>
      <c r="O7" s="493"/>
      <c r="P7" s="493"/>
      <c r="Q7" s="949"/>
      <c r="R7" s="944"/>
      <c r="S7" s="923"/>
    </row>
    <row r="8" spans="1:19" x14ac:dyDescent="0.25">
      <c r="A8" s="976" t="s">
        <v>241</v>
      </c>
      <c r="B8" s="441" t="s">
        <v>269</v>
      </c>
      <c r="C8" s="484">
        <v>2</v>
      </c>
      <c r="D8" s="484">
        <v>3.3</v>
      </c>
      <c r="E8" s="443">
        <f t="shared" ref="E8:E127" si="0">C8*D8</f>
        <v>6.6</v>
      </c>
      <c r="F8" s="933" t="s">
        <v>270</v>
      </c>
      <c r="G8" s="442">
        <v>200</v>
      </c>
      <c r="H8" s="442">
        <v>2</v>
      </c>
      <c r="I8" s="577">
        <f>'Quadro de horas'!$E$3*H8</f>
        <v>47.830357142857139</v>
      </c>
      <c r="J8" s="443">
        <f t="shared" ref="J8:J128" si="1">E8*I8</f>
        <v>315.68035714285708</v>
      </c>
      <c r="K8" s="456">
        <f>(J8/G8)/44</f>
        <v>3.587276785714285E-2</v>
      </c>
      <c r="L8" s="503"/>
      <c r="M8" s="951"/>
      <c r="N8" s="494"/>
      <c r="O8" s="494"/>
      <c r="P8" s="494"/>
      <c r="Q8" s="440">
        <v>6.6</v>
      </c>
      <c r="R8" s="944"/>
      <c r="S8" s="923"/>
    </row>
    <row r="9" spans="1:19" x14ac:dyDescent="0.25">
      <c r="A9" s="976"/>
      <c r="B9" s="441" t="s">
        <v>271</v>
      </c>
      <c r="C9" s="442">
        <v>2</v>
      </c>
      <c r="D9" s="442">
        <v>2.5</v>
      </c>
      <c r="E9" s="443">
        <f t="shared" si="0"/>
        <v>5</v>
      </c>
      <c r="F9" s="933"/>
      <c r="G9" s="442">
        <v>200</v>
      </c>
      <c r="H9" s="442">
        <v>2</v>
      </c>
      <c r="I9" s="577">
        <f>'Quadro de horas'!$E$3*H9</f>
        <v>47.830357142857139</v>
      </c>
      <c r="J9" s="443">
        <f t="shared" si="1"/>
        <v>239.15178571428569</v>
      </c>
      <c r="K9" s="456">
        <f>(J9/G9)/44</f>
        <v>2.7176339285714283E-2</v>
      </c>
      <c r="L9" s="503"/>
      <c r="M9" s="951"/>
      <c r="N9" s="494"/>
      <c r="O9" s="494"/>
      <c r="P9" s="494"/>
      <c r="Q9" s="440">
        <v>5</v>
      </c>
      <c r="R9" s="944"/>
      <c r="S9" s="923"/>
    </row>
    <row r="10" spans="1:19" x14ac:dyDescent="0.25">
      <c r="A10" s="976"/>
      <c r="B10" s="444" t="s">
        <v>272</v>
      </c>
      <c r="C10" s="445">
        <v>7.3</v>
      </c>
      <c r="D10" s="445">
        <v>11.1</v>
      </c>
      <c r="E10" s="446">
        <f t="shared" si="0"/>
        <v>81.03</v>
      </c>
      <c r="F10" s="925" t="s">
        <v>268</v>
      </c>
      <c r="G10" s="447">
        <v>800</v>
      </c>
      <c r="H10" s="447">
        <v>1</v>
      </c>
      <c r="I10" s="578">
        <f>'Quadro de horas'!$E$3*H10</f>
        <v>23.915178571428569</v>
      </c>
      <c r="J10" s="446">
        <f t="shared" si="1"/>
        <v>1937.8469196428571</v>
      </c>
      <c r="K10" s="458">
        <f t="shared" ref="K10:K126" si="2">(J10/G10)/22</f>
        <v>0.11010493861607143</v>
      </c>
      <c r="L10" s="503"/>
      <c r="M10" s="473">
        <v>81.03</v>
      </c>
      <c r="N10" s="952"/>
      <c r="O10" s="491"/>
      <c r="P10" s="491"/>
      <c r="Q10" s="949"/>
      <c r="R10" s="944"/>
      <c r="S10" s="923"/>
    </row>
    <row r="11" spans="1:19" x14ac:dyDescent="0.25">
      <c r="A11" s="976"/>
      <c r="B11" s="444" t="s">
        <v>273</v>
      </c>
      <c r="C11" s="445">
        <v>2.1</v>
      </c>
      <c r="D11" s="445">
        <v>2.25</v>
      </c>
      <c r="E11" s="446">
        <f t="shared" si="0"/>
        <v>4.7250000000000005</v>
      </c>
      <c r="F11" s="926"/>
      <c r="G11" s="447">
        <v>800</v>
      </c>
      <c r="H11" s="447">
        <v>1</v>
      </c>
      <c r="I11" s="578">
        <f>'Quadro de horas'!$E$3*H11</f>
        <v>23.915178571428569</v>
      </c>
      <c r="J11" s="446">
        <f t="shared" si="1"/>
        <v>112.99921875</v>
      </c>
      <c r="K11" s="458">
        <f t="shared" si="2"/>
        <v>6.4204101562500004E-3</v>
      </c>
      <c r="L11" s="503"/>
      <c r="M11" s="473">
        <v>4.7250000000000005</v>
      </c>
      <c r="N11" s="941"/>
      <c r="O11" s="492"/>
      <c r="P11" s="492"/>
      <c r="Q11" s="949"/>
      <c r="R11" s="944"/>
      <c r="S11" s="923"/>
    </row>
    <row r="12" spans="1:19" x14ac:dyDescent="0.25">
      <c r="A12" s="976"/>
      <c r="B12" s="444" t="s">
        <v>274</v>
      </c>
      <c r="C12" s="445">
        <v>2</v>
      </c>
      <c r="D12" s="445">
        <v>2.5</v>
      </c>
      <c r="E12" s="446">
        <f t="shared" si="0"/>
        <v>5</v>
      </c>
      <c r="F12" s="926"/>
      <c r="G12" s="447">
        <v>800</v>
      </c>
      <c r="H12" s="573">
        <v>1</v>
      </c>
      <c r="I12" s="578">
        <f>'Quadro de horas'!$E$3*H12</f>
        <v>23.915178571428569</v>
      </c>
      <c r="J12" s="446">
        <f t="shared" si="1"/>
        <v>119.57589285714285</v>
      </c>
      <c r="K12" s="458">
        <f t="shared" si="2"/>
        <v>6.7940848214285707E-3</v>
      </c>
      <c r="L12" s="503"/>
      <c r="M12" s="473">
        <v>5</v>
      </c>
      <c r="N12" s="941"/>
      <c r="O12" s="492"/>
      <c r="P12" s="492"/>
      <c r="Q12" s="949"/>
      <c r="R12" s="944"/>
      <c r="S12" s="923"/>
    </row>
    <row r="13" spans="1:19" x14ac:dyDescent="0.25">
      <c r="A13" s="976"/>
      <c r="B13" s="444" t="s">
        <v>275</v>
      </c>
      <c r="C13" s="445">
        <v>3.6</v>
      </c>
      <c r="D13" s="445">
        <v>5.7</v>
      </c>
      <c r="E13" s="446">
        <f t="shared" si="0"/>
        <v>20.52</v>
      </c>
      <c r="F13" s="927"/>
      <c r="G13" s="447">
        <v>800</v>
      </c>
      <c r="H13" s="573">
        <v>1</v>
      </c>
      <c r="I13" s="578">
        <f>'Quadro de horas'!$E$3*H13</f>
        <v>23.915178571428569</v>
      </c>
      <c r="J13" s="446">
        <f t="shared" si="1"/>
        <v>490.73946428571423</v>
      </c>
      <c r="K13" s="458">
        <f t="shared" si="2"/>
        <v>2.7882924107142857E-2</v>
      </c>
      <c r="L13" s="503"/>
      <c r="M13" s="473">
        <v>20.52</v>
      </c>
      <c r="N13" s="942"/>
      <c r="O13" s="493"/>
      <c r="P13" s="493"/>
      <c r="Q13" s="949"/>
      <c r="R13" s="944"/>
      <c r="S13" s="923"/>
    </row>
    <row r="14" spans="1:19" x14ac:dyDescent="0.25">
      <c r="A14" s="976"/>
      <c r="B14" s="448" t="s">
        <v>276</v>
      </c>
      <c r="C14" s="449">
        <v>5.3</v>
      </c>
      <c r="D14" s="449">
        <v>7.2</v>
      </c>
      <c r="E14" s="450">
        <f t="shared" si="0"/>
        <v>38.159999999999997</v>
      </c>
      <c r="F14" s="928" t="s">
        <v>268</v>
      </c>
      <c r="G14" s="451">
        <v>800</v>
      </c>
      <c r="H14" s="451">
        <v>2</v>
      </c>
      <c r="I14" s="579">
        <f>'Quadro de horas'!$E$3*H14</f>
        <v>47.830357142857139</v>
      </c>
      <c r="J14" s="450">
        <f t="shared" si="1"/>
        <v>1825.2064285714282</v>
      </c>
      <c r="K14" s="460">
        <f>(J14/G14)/44</f>
        <v>5.1852455357142849E-2</v>
      </c>
      <c r="L14" s="503"/>
      <c r="M14" s="475"/>
      <c r="N14" s="475">
        <v>38.159999999999997</v>
      </c>
      <c r="O14" s="516"/>
      <c r="P14" s="516"/>
      <c r="Q14" s="949"/>
      <c r="R14" s="944"/>
      <c r="S14" s="923"/>
    </row>
    <row r="15" spans="1:19" x14ac:dyDescent="0.25">
      <c r="A15" s="976"/>
      <c r="B15" s="448" t="s">
        <v>277</v>
      </c>
      <c r="C15" s="449">
        <v>4.3</v>
      </c>
      <c r="D15" s="449">
        <v>6.25</v>
      </c>
      <c r="E15" s="450">
        <f t="shared" si="0"/>
        <v>26.875</v>
      </c>
      <c r="F15" s="929"/>
      <c r="G15" s="451">
        <v>800</v>
      </c>
      <c r="H15" s="451">
        <v>2</v>
      </c>
      <c r="I15" s="579">
        <f>'Quadro de horas'!$E$3*H15</f>
        <v>47.830357142857139</v>
      </c>
      <c r="J15" s="450">
        <f t="shared" si="1"/>
        <v>1285.4408482142856</v>
      </c>
      <c r="K15" s="460">
        <f t="shared" ref="K15:K17" si="3">(J15/G15)/44</f>
        <v>3.6518205915178563E-2</v>
      </c>
      <c r="L15" s="503"/>
      <c r="M15" s="475"/>
      <c r="N15" s="475">
        <v>26.875</v>
      </c>
      <c r="O15" s="476"/>
      <c r="P15" s="476"/>
      <c r="Q15" s="949"/>
      <c r="R15" s="944"/>
      <c r="S15" s="923"/>
    </row>
    <row r="16" spans="1:19" x14ac:dyDescent="0.25">
      <c r="A16" s="976"/>
      <c r="B16" s="448" t="s">
        <v>278</v>
      </c>
      <c r="C16" s="449">
        <v>3.6</v>
      </c>
      <c r="D16" s="449">
        <v>6.9</v>
      </c>
      <c r="E16" s="450">
        <f t="shared" si="0"/>
        <v>24.840000000000003</v>
      </c>
      <c r="F16" s="929"/>
      <c r="G16" s="451">
        <v>800</v>
      </c>
      <c r="H16" s="451">
        <v>2</v>
      </c>
      <c r="I16" s="579">
        <f>'Quadro de horas'!$E$3*H16</f>
        <v>47.830357142857139</v>
      </c>
      <c r="J16" s="450">
        <f t="shared" si="1"/>
        <v>1188.1060714285716</v>
      </c>
      <c r="K16" s="460">
        <f t="shared" si="3"/>
        <v>3.3753013392857148E-2</v>
      </c>
      <c r="L16" s="503"/>
      <c r="M16" s="475"/>
      <c r="N16" s="475">
        <v>24.840000000000003</v>
      </c>
      <c r="O16" s="476"/>
      <c r="P16" s="476"/>
      <c r="Q16" s="949"/>
      <c r="R16" s="944"/>
      <c r="S16" s="923"/>
    </row>
    <row r="17" spans="1:19" x14ac:dyDescent="0.25">
      <c r="A17" s="976"/>
      <c r="B17" s="448" t="s">
        <v>279</v>
      </c>
      <c r="C17" s="449">
        <v>4.5</v>
      </c>
      <c r="D17" s="449">
        <v>5.5</v>
      </c>
      <c r="E17" s="450">
        <f t="shared" si="0"/>
        <v>24.75</v>
      </c>
      <c r="F17" s="930"/>
      <c r="G17" s="451">
        <v>800</v>
      </c>
      <c r="H17" s="451">
        <v>2</v>
      </c>
      <c r="I17" s="579">
        <f>'Quadro de horas'!$E$3*H17</f>
        <v>47.830357142857139</v>
      </c>
      <c r="J17" s="450">
        <f t="shared" si="1"/>
        <v>1183.8013392857142</v>
      </c>
      <c r="K17" s="460">
        <f t="shared" si="3"/>
        <v>3.3630719866071426E-2</v>
      </c>
      <c r="L17" s="503"/>
      <c r="M17" s="475"/>
      <c r="N17" s="475">
        <v>24.75</v>
      </c>
      <c r="O17" s="476"/>
      <c r="P17" s="476"/>
      <c r="Q17" s="949"/>
      <c r="R17" s="944"/>
      <c r="S17" s="923"/>
    </row>
    <row r="18" spans="1:19" x14ac:dyDescent="0.25">
      <c r="A18" s="976"/>
      <c r="B18" s="517" t="s">
        <v>280</v>
      </c>
      <c r="C18" s="518">
        <v>3.3</v>
      </c>
      <c r="D18" s="518">
        <v>6.45</v>
      </c>
      <c r="E18" s="519">
        <f t="shared" si="0"/>
        <v>21.285</v>
      </c>
      <c r="F18" s="520" t="s">
        <v>268</v>
      </c>
      <c r="G18" s="520">
        <v>1000</v>
      </c>
      <c r="H18" s="520">
        <v>2</v>
      </c>
      <c r="I18" s="580">
        <f>'Quadro de horas'!$E$3*H18</f>
        <v>47.830357142857139</v>
      </c>
      <c r="J18" s="519">
        <f t="shared" si="1"/>
        <v>1018.0691517857142</v>
      </c>
      <c r="K18" s="521">
        <f>(J18/G18)/44</f>
        <v>2.3137935267857138E-2</v>
      </c>
      <c r="L18" s="522"/>
      <c r="M18" s="523"/>
      <c r="N18" s="523"/>
      <c r="O18" s="523">
        <v>21.285</v>
      </c>
      <c r="P18" s="523"/>
      <c r="Q18" s="949"/>
      <c r="R18" s="944"/>
      <c r="S18" s="923"/>
    </row>
    <row r="19" spans="1:19" x14ac:dyDescent="0.25">
      <c r="A19" s="977"/>
      <c r="B19" s="444" t="s">
        <v>281</v>
      </c>
      <c r="C19" s="445">
        <v>1.4</v>
      </c>
      <c r="D19" s="445">
        <v>7</v>
      </c>
      <c r="E19" s="446">
        <f t="shared" si="0"/>
        <v>9.7999999999999989</v>
      </c>
      <c r="F19" s="447" t="s">
        <v>268</v>
      </c>
      <c r="G19" s="447">
        <v>800</v>
      </c>
      <c r="H19" s="447">
        <v>1</v>
      </c>
      <c r="I19" s="578">
        <f>'Quadro de horas'!$E$3*H19</f>
        <v>23.915178571428569</v>
      </c>
      <c r="J19" s="446">
        <f t="shared" si="1"/>
        <v>234.36874999999995</v>
      </c>
      <c r="K19" s="458">
        <f t="shared" si="2"/>
        <v>1.3316406249999998E-2</v>
      </c>
      <c r="L19" s="503"/>
      <c r="M19" s="473">
        <v>9.7999999999999989</v>
      </c>
      <c r="N19" s="473"/>
      <c r="O19" s="473"/>
      <c r="P19" s="473"/>
      <c r="Q19" s="949"/>
      <c r="R19" s="944"/>
      <c r="S19" s="923"/>
    </row>
    <row r="20" spans="1:19" x14ac:dyDescent="0.25">
      <c r="A20" s="969" t="s">
        <v>282</v>
      </c>
      <c r="B20" s="967" t="s">
        <v>478</v>
      </c>
      <c r="C20" s="456">
        <v>1.1000000000000001</v>
      </c>
      <c r="D20" s="456">
        <v>2.1</v>
      </c>
      <c r="E20" s="935">
        <f>(C20*D20)+(C21*D21)</f>
        <v>4.620000000000001</v>
      </c>
      <c r="F20" s="973" t="s">
        <v>270</v>
      </c>
      <c r="G20" s="973">
        <v>200</v>
      </c>
      <c r="H20" s="973">
        <v>2</v>
      </c>
      <c r="I20" s="974">
        <f>'Quadro de horas'!$E$3*H20</f>
        <v>47.830357142857139</v>
      </c>
      <c r="J20" s="935">
        <f t="shared" si="1"/>
        <v>220.97625000000002</v>
      </c>
      <c r="K20" s="913">
        <f>(J20/G20)/44</f>
        <v>2.51109375E-2</v>
      </c>
      <c r="L20" s="503"/>
      <c r="M20" s="951"/>
      <c r="N20" s="946"/>
      <c r="O20" s="507"/>
      <c r="P20" s="507"/>
      <c r="Q20" s="945">
        <v>4.620000000000001</v>
      </c>
      <c r="R20" s="944"/>
      <c r="S20" s="923"/>
    </row>
    <row r="21" spans="1:19" x14ac:dyDescent="0.25">
      <c r="A21" s="970"/>
      <c r="B21" s="967"/>
      <c r="C21" s="456">
        <v>1.1000000000000001</v>
      </c>
      <c r="D21" s="456">
        <v>2.1</v>
      </c>
      <c r="E21" s="935"/>
      <c r="F21" s="973"/>
      <c r="G21" s="973"/>
      <c r="H21" s="973"/>
      <c r="I21" s="974">
        <f>'Quadro de horas'!$E$3*H21</f>
        <v>0</v>
      </c>
      <c r="J21" s="935"/>
      <c r="K21" s="913"/>
      <c r="L21" s="503"/>
      <c r="M21" s="951"/>
      <c r="N21" s="947"/>
      <c r="O21" s="508"/>
      <c r="P21" s="508"/>
      <c r="Q21" s="945"/>
      <c r="R21" s="944"/>
      <c r="S21" s="923"/>
    </row>
    <row r="22" spans="1:19" x14ac:dyDescent="0.25">
      <c r="A22" s="970"/>
      <c r="B22" s="967" t="s">
        <v>479</v>
      </c>
      <c r="C22" s="456">
        <v>1.1000000000000001</v>
      </c>
      <c r="D22" s="456">
        <v>2.1</v>
      </c>
      <c r="E22" s="935">
        <f>(C22*D22)+(C23*D23)</f>
        <v>7.3100000000000005</v>
      </c>
      <c r="F22" s="973"/>
      <c r="G22" s="973">
        <v>200</v>
      </c>
      <c r="H22" s="973">
        <v>2</v>
      </c>
      <c r="I22" s="974">
        <f>'Quadro de horas'!$E$3*H22</f>
        <v>47.830357142857139</v>
      </c>
      <c r="J22" s="935">
        <f t="shared" si="1"/>
        <v>349.63991071428569</v>
      </c>
      <c r="K22" s="913">
        <f>(J22/G22)/44</f>
        <v>3.9731808035714286E-2</v>
      </c>
      <c r="L22" s="503"/>
      <c r="M22" s="951"/>
      <c r="N22" s="947"/>
      <c r="O22" s="508"/>
      <c r="P22" s="508"/>
      <c r="Q22" s="945">
        <v>7.3100000000000005</v>
      </c>
      <c r="R22" s="944"/>
      <c r="S22" s="923"/>
    </row>
    <row r="23" spans="1:19" x14ac:dyDescent="0.25">
      <c r="A23" s="970"/>
      <c r="B23" s="967"/>
      <c r="C23" s="456">
        <v>2</v>
      </c>
      <c r="D23" s="456">
        <v>2.5</v>
      </c>
      <c r="E23" s="935"/>
      <c r="F23" s="973"/>
      <c r="G23" s="973"/>
      <c r="H23" s="973"/>
      <c r="I23" s="974">
        <f>'Quadro de horas'!$E$3*H23</f>
        <v>0</v>
      </c>
      <c r="J23" s="935"/>
      <c r="K23" s="913"/>
      <c r="L23" s="503"/>
      <c r="M23" s="951"/>
      <c r="N23" s="947"/>
      <c r="O23" s="508"/>
      <c r="P23" s="508"/>
      <c r="Q23" s="945"/>
      <c r="R23" s="944"/>
      <c r="S23" s="923"/>
    </row>
    <row r="24" spans="1:19" x14ac:dyDescent="0.25">
      <c r="A24" s="970"/>
      <c r="B24" s="441" t="s">
        <v>283</v>
      </c>
      <c r="C24" s="456">
        <v>1.5</v>
      </c>
      <c r="D24" s="456">
        <v>1.85</v>
      </c>
      <c r="E24" s="443">
        <f t="shared" si="0"/>
        <v>2.7750000000000004</v>
      </c>
      <c r="F24" s="973"/>
      <c r="G24" s="457">
        <v>200</v>
      </c>
      <c r="H24" s="457">
        <v>2</v>
      </c>
      <c r="I24" s="581">
        <f>'Quadro de horas'!$E$3*H24</f>
        <v>47.830357142857139</v>
      </c>
      <c r="J24" s="443">
        <f t="shared" si="1"/>
        <v>132.72924107142859</v>
      </c>
      <c r="K24" s="456">
        <f>(J24/G24)/44</f>
        <v>1.5082868303571429E-2</v>
      </c>
      <c r="L24" s="503"/>
      <c r="M24" s="951"/>
      <c r="N24" s="948"/>
      <c r="O24" s="509"/>
      <c r="P24" s="509"/>
      <c r="Q24" s="486">
        <v>2.7750000000000004</v>
      </c>
      <c r="R24" s="944"/>
      <c r="S24" s="923"/>
    </row>
    <row r="25" spans="1:19" ht="30" x14ac:dyDescent="0.25">
      <c r="A25" s="970"/>
      <c r="B25" s="444" t="s">
        <v>284</v>
      </c>
      <c r="C25" s="458">
        <v>9.1999999999999993</v>
      </c>
      <c r="D25" s="458">
        <v>15.2</v>
      </c>
      <c r="E25" s="446">
        <f t="shared" si="0"/>
        <v>139.83999999999997</v>
      </c>
      <c r="F25" s="880" t="s">
        <v>268</v>
      </c>
      <c r="G25" s="459">
        <v>800</v>
      </c>
      <c r="H25" s="459">
        <v>1</v>
      </c>
      <c r="I25" s="582">
        <f>'Quadro de horas'!$E$3*H25</f>
        <v>23.915178571428569</v>
      </c>
      <c r="J25" s="446">
        <f t="shared" si="1"/>
        <v>3344.2985714285705</v>
      </c>
      <c r="K25" s="458">
        <f t="shared" si="2"/>
        <v>0.19001696428571424</v>
      </c>
      <c r="L25" s="503"/>
      <c r="M25" s="487">
        <v>139.83999999999997</v>
      </c>
      <c r="N25" s="898"/>
      <c r="O25" s="510"/>
      <c r="P25" s="510"/>
      <c r="Q25" s="949"/>
      <c r="R25" s="944"/>
      <c r="S25" s="923"/>
    </row>
    <row r="26" spans="1:19" x14ac:dyDescent="0.25">
      <c r="A26" s="970"/>
      <c r="B26" s="444" t="s">
        <v>285</v>
      </c>
      <c r="C26" s="458">
        <v>2.25</v>
      </c>
      <c r="D26" s="458">
        <v>3.21</v>
      </c>
      <c r="E26" s="446">
        <f t="shared" si="0"/>
        <v>7.2225000000000001</v>
      </c>
      <c r="F26" s="917"/>
      <c r="G26" s="459">
        <v>800</v>
      </c>
      <c r="H26" s="459">
        <v>1</v>
      </c>
      <c r="I26" s="582">
        <f>'Quadro de horas'!$E$3*H26</f>
        <v>23.915178571428569</v>
      </c>
      <c r="J26" s="446">
        <f t="shared" si="1"/>
        <v>172.72737723214286</v>
      </c>
      <c r="K26" s="458">
        <f t="shared" si="2"/>
        <v>9.8140555245535711E-3</v>
      </c>
      <c r="L26" s="503"/>
      <c r="M26" s="487">
        <v>7.2225000000000001</v>
      </c>
      <c r="N26" s="899"/>
      <c r="O26" s="500"/>
      <c r="P26" s="500"/>
      <c r="Q26" s="949"/>
      <c r="R26" s="944"/>
      <c r="S26" s="923"/>
    </row>
    <row r="27" spans="1:19" x14ac:dyDescent="0.25">
      <c r="A27" s="970"/>
      <c r="B27" s="444" t="s">
        <v>275</v>
      </c>
      <c r="C27" s="458">
        <v>4.3499999999999996</v>
      </c>
      <c r="D27" s="458">
        <v>4.55</v>
      </c>
      <c r="E27" s="446">
        <f t="shared" si="0"/>
        <v>19.792499999999997</v>
      </c>
      <c r="F27" s="881"/>
      <c r="G27" s="459">
        <v>800</v>
      </c>
      <c r="H27" s="459">
        <v>1</v>
      </c>
      <c r="I27" s="582">
        <f>'Quadro de horas'!$E$3*H27</f>
        <v>23.915178571428569</v>
      </c>
      <c r="J27" s="446">
        <f t="shared" si="1"/>
        <v>473.34117187499987</v>
      </c>
      <c r="K27" s="458">
        <f t="shared" si="2"/>
        <v>2.6894384765624991E-2</v>
      </c>
      <c r="L27" s="503"/>
      <c r="M27" s="487">
        <v>19.792499999999997</v>
      </c>
      <c r="N27" s="900"/>
      <c r="O27" s="511"/>
      <c r="P27" s="511"/>
      <c r="Q27" s="949"/>
      <c r="R27" s="944"/>
      <c r="S27" s="923"/>
    </row>
    <row r="28" spans="1:19" x14ac:dyDescent="0.25">
      <c r="A28" s="970"/>
      <c r="B28" s="452" t="s">
        <v>286</v>
      </c>
      <c r="C28" s="461">
        <v>2.11</v>
      </c>
      <c r="D28" s="461">
        <v>4.1100000000000003</v>
      </c>
      <c r="E28" s="454">
        <f t="shared" si="0"/>
        <v>8.6721000000000004</v>
      </c>
      <c r="F28" s="488"/>
      <c r="G28" s="462">
        <v>200</v>
      </c>
      <c r="H28" s="462">
        <v>2</v>
      </c>
      <c r="I28" s="583">
        <f>'Quadro de horas'!$E$3*H28</f>
        <v>47.830357142857139</v>
      </c>
      <c r="J28" s="454">
        <f t="shared" si="1"/>
        <v>414.7896401785714</v>
      </c>
      <c r="K28" s="461">
        <f>(J28/G28)/44</f>
        <v>4.7135186383928572E-2</v>
      </c>
      <c r="L28" s="503"/>
      <c r="M28" s="489"/>
      <c r="N28" s="489"/>
      <c r="O28" s="489"/>
      <c r="P28" s="489">
        <v>8.6721000000000004</v>
      </c>
      <c r="Q28" s="949"/>
      <c r="R28" s="944"/>
      <c r="S28" s="923"/>
    </row>
    <row r="29" spans="1:19" x14ac:dyDescent="0.25">
      <c r="A29" s="970"/>
      <c r="B29" s="968" t="s">
        <v>287</v>
      </c>
      <c r="C29" s="458">
        <v>4.1900000000000004</v>
      </c>
      <c r="D29" s="458">
        <v>11.52</v>
      </c>
      <c r="E29" s="915">
        <f>(C29*D29)+(C30*D30)</f>
        <v>65.371900000000011</v>
      </c>
      <c r="F29" s="880" t="s">
        <v>268</v>
      </c>
      <c r="G29" s="901">
        <v>800</v>
      </c>
      <c r="H29" s="901">
        <v>1</v>
      </c>
      <c r="I29" s="914">
        <f>'Quadro de horas'!$E$3*H29</f>
        <v>23.915178571428569</v>
      </c>
      <c r="J29" s="915">
        <f t="shared" si="1"/>
        <v>1563.3806620535715</v>
      </c>
      <c r="K29" s="916">
        <f t="shared" si="2"/>
        <v>8.8828446707589284E-2</v>
      </c>
      <c r="L29" s="503"/>
      <c r="M29" s="939">
        <v>65.371900000000011</v>
      </c>
      <c r="N29" s="898"/>
      <c r="O29" s="510"/>
      <c r="P29" s="510"/>
      <c r="Q29" s="949"/>
      <c r="R29" s="944"/>
      <c r="S29" s="923"/>
    </row>
    <row r="30" spans="1:19" x14ac:dyDescent="0.25">
      <c r="A30" s="970"/>
      <c r="B30" s="968"/>
      <c r="C30" s="458">
        <v>3.71</v>
      </c>
      <c r="D30" s="458">
        <v>4.6100000000000003</v>
      </c>
      <c r="E30" s="915"/>
      <c r="F30" s="917"/>
      <c r="G30" s="901"/>
      <c r="H30" s="901"/>
      <c r="I30" s="914">
        <f>'Quadro de horas'!$E$3*H30</f>
        <v>0</v>
      </c>
      <c r="J30" s="915"/>
      <c r="K30" s="916"/>
      <c r="L30" s="503"/>
      <c r="M30" s="939"/>
      <c r="N30" s="899"/>
      <c r="O30" s="500"/>
      <c r="P30" s="500"/>
      <c r="Q30" s="949"/>
      <c r="R30" s="944"/>
      <c r="S30" s="923"/>
    </row>
    <row r="31" spans="1:19" x14ac:dyDescent="0.25">
      <c r="A31" s="970"/>
      <c r="B31" s="919" t="s">
        <v>288</v>
      </c>
      <c r="C31" s="458">
        <v>4.6500000000000004</v>
      </c>
      <c r="D31" s="458">
        <v>6</v>
      </c>
      <c r="E31" s="915">
        <f>(C31*D31)+(C32*D32)+(C33*D33)+(C34*D34)</f>
        <v>133.71</v>
      </c>
      <c r="F31" s="917"/>
      <c r="G31" s="901">
        <v>800</v>
      </c>
      <c r="H31" s="901">
        <v>1</v>
      </c>
      <c r="I31" s="914">
        <f>'Quadro de horas'!$E$3*H31</f>
        <v>23.915178571428569</v>
      </c>
      <c r="J31" s="915">
        <f t="shared" si="1"/>
        <v>3197.6985267857144</v>
      </c>
      <c r="K31" s="916">
        <f t="shared" si="2"/>
        <v>0.18168741629464288</v>
      </c>
      <c r="L31" s="503"/>
      <c r="M31" s="939">
        <v>133.71</v>
      </c>
      <c r="N31" s="899"/>
      <c r="O31" s="500"/>
      <c r="P31" s="500"/>
      <c r="Q31" s="949"/>
      <c r="R31" s="944"/>
      <c r="S31" s="923"/>
    </row>
    <row r="32" spans="1:19" x14ac:dyDescent="0.25">
      <c r="A32" s="970"/>
      <c r="B32" s="919"/>
      <c r="C32" s="458">
        <v>7.55</v>
      </c>
      <c r="D32" s="458">
        <v>9.8000000000000007</v>
      </c>
      <c r="E32" s="915"/>
      <c r="F32" s="917"/>
      <c r="G32" s="901"/>
      <c r="H32" s="901"/>
      <c r="I32" s="914">
        <f>'Quadro de horas'!$E$3*H32</f>
        <v>0</v>
      </c>
      <c r="J32" s="915"/>
      <c r="K32" s="916"/>
      <c r="L32" s="503"/>
      <c r="M32" s="939"/>
      <c r="N32" s="899"/>
      <c r="O32" s="500"/>
      <c r="P32" s="500"/>
      <c r="Q32" s="949"/>
      <c r="R32" s="944"/>
      <c r="S32" s="923"/>
    </row>
    <row r="33" spans="1:19" x14ac:dyDescent="0.25">
      <c r="A33" s="970"/>
      <c r="B33" s="919"/>
      <c r="C33" s="458">
        <v>3.8</v>
      </c>
      <c r="D33" s="458">
        <v>4.9000000000000004</v>
      </c>
      <c r="E33" s="915"/>
      <c r="F33" s="917"/>
      <c r="G33" s="901"/>
      <c r="H33" s="901"/>
      <c r="I33" s="914">
        <f>'Quadro de horas'!$E$3*H33</f>
        <v>0</v>
      </c>
      <c r="J33" s="915"/>
      <c r="K33" s="916"/>
      <c r="L33" s="503"/>
      <c r="M33" s="939"/>
      <c r="N33" s="899"/>
      <c r="O33" s="500"/>
      <c r="P33" s="500"/>
      <c r="Q33" s="949"/>
      <c r="R33" s="944"/>
      <c r="S33" s="923"/>
    </row>
    <row r="34" spans="1:19" x14ac:dyDescent="0.25">
      <c r="A34" s="970"/>
      <c r="B34" s="919"/>
      <c r="C34" s="458">
        <v>2.75</v>
      </c>
      <c r="D34" s="458">
        <v>4.8</v>
      </c>
      <c r="E34" s="915"/>
      <c r="F34" s="881"/>
      <c r="G34" s="901"/>
      <c r="H34" s="901"/>
      <c r="I34" s="914">
        <f>'Quadro de horas'!$E$3*H34</f>
        <v>0</v>
      </c>
      <c r="J34" s="915"/>
      <c r="K34" s="916"/>
      <c r="L34" s="503"/>
      <c r="M34" s="939"/>
      <c r="N34" s="900"/>
      <c r="O34" s="511"/>
      <c r="P34" s="511"/>
      <c r="Q34" s="949"/>
      <c r="R34" s="944"/>
      <c r="S34" s="923"/>
    </row>
    <row r="35" spans="1:19" x14ac:dyDescent="0.25">
      <c r="A35" s="970"/>
      <c r="B35" s="517" t="s">
        <v>280</v>
      </c>
      <c r="C35" s="521">
        <v>3.6</v>
      </c>
      <c r="D35" s="521">
        <v>6</v>
      </c>
      <c r="E35" s="519">
        <f t="shared" si="0"/>
        <v>21.6</v>
      </c>
      <c r="F35" s="931" t="s">
        <v>268</v>
      </c>
      <c r="G35" s="524">
        <v>1000</v>
      </c>
      <c r="H35" s="524">
        <v>2</v>
      </c>
      <c r="I35" s="584">
        <f>'Quadro de horas'!$E$3*H35</f>
        <v>47.830357142857139</v>
      </c>
      <c r="J35" s="519">
        <f t="shared" si="1"/>
        <v>1033.1357142857144</v>
      </c>
      <c r="K35" s="521">
        <f>(J35/G35)/44</f>
        <v>2.3480357142857143E-2</v>
      </c>
      <c r="L35" s="503"/>
      <c r="M35" s="525"/>
      <c r="N35" s="525"/>
      <c r="O35" s="525">
        <v>21.6</v>
      </c>
      <c r="P35" s="525"/>
      <c r="Q35" s="949"/>
      <c r="R35" s="944"/>
      <c r="S35" s="923"/>
    </row>
    <row r="36" spans="1:19" x14ac:dyDescent="0.25">
      <c r="A36" s="970"/>
      <c r="B36" s="517" t="s">
        <v>289</v>
      </c>
      <c r="C36" s="521">
        <v>3.6</v>
      </c>
      <c r="D36" s="521">
        <v>6.5</v>
      </c>
      <c r="E36" s="519">
        <f t="shared" si="0"/>
        <v>23.400000000000002</v>
      </c>
      <c r="F36" s="932"/>
      <c r="G36" s="524">
        <v>1000</v>
      </c>
      <c r="H36" s="524">
        <v>2</v>
      </c>
      <c r="I36" s="584">
        <f>'Quadro de horas'!$E$3*H36</f>
        <v>47.830357142857139</v>
      </c>
      <c r="J36" s="519">
        <f t="shared" si="1"/>
        <v>1119.2303571428572</v>
      </c>
      <c r="K36" s="521">
        <f>(J36/G36)/44</f>
        <v>2.5437053571428572E-2</v>
      </c>
      <c r="L36" s="503"/>
      <c r="M36" s="525"/>
      <c r="N36" s="525"/>
      <c r="O36" s="525">
        <v>23.400000000000002</v>
      </c>
      <c r="P36" s="525"/>
      <c r="Q36" s="949"/>
      <c r="R36" s="944"/>
      <c r="S36" s="923"/>
    </row>
    <row r="37" spans="1:19" x14ac:dyDescent="0.25">
      <c r="A37" s="970"/>
      <c r="B37" s="968" t="s">
        <v>281</v>
      </c>
      <c r="C37" s="458">
        <v>1.35</v>
      </c>
      <c r="D37" s="458">
        <v>5</v>
      </c>
      <c r="E37" s="915">
        <f>(C37*D37)+(C38*D38)+(C39*D39)+(C40*D40)</f>
        <v>63.865000000000002</v>
      </c>
      <c r="F37" s="880" t="s">
        <v>268</v>
      </c>
      <c r="G37" s="901">
        <v>800</v>
      </c>
      <c r="H37" s="901">
        <v>1</v>
      </c>
      <c r="I37" s="914">
        <f>'Quadro de horas'!$E$3*H37</f>
        <v>23.915178571428569</v>
      </c>
      <c r="J37" s="915">
        <f t="shared" si="1"/>
        <v>1527.3428794642857</v>
      </c>
      <c r="K37" s="916">
        <f t="shared" si="2"/>
        <v>8.6780845424107148E-2</v>
      </c>
      <c r="L37" s="503"/>
      <c r="M37" s="939">
        <v>63.865000000000002</v>
      </c>
      <c r="N37" s="898"/>
      <c r="O37" s="510"/>
      <c r="P37" s="510"/>
      <c r="Q37" s="949"/>
      <c r="R37" s="944"/>
      <c r="S37" s="923"/>
    </row>
    <row r="38" spans="1:19" x14ac:dyDescent="0.25">
      <c r="A38" s="970"/>
      <c r="B38" s="968"/>
      <c r="C38" s="458">
        <v>5.9</v>
      </c>
      <c r="D38" s="458">
        <v>3.6</v>
      </c>
      <c r="E38" s="915"/>
      <c r="F38" s="917"/>
      <c r="G38" s="901"/>
      <c r="H38" s="901"/>
      <c r="I38" s="914">
        <f>'Quadro de horas'!$E$3*H38</f>
        <v>0</v>
      </c>
      <c r="J38" s="915"/>
      <c r="K38" s="916"/>
      <c r="L38" s="503"/>
      <c r="M38" s="939"/>
      <c r="N38" s="899"/>
      <c r="O38" s="500"/>
      <c r="P38" s="500"/>
      <c r="Q38" s="949"/>
      <c r="R38" s="944"/>
      <c r="S38" s="923"/>
    </row>
    <row r="39" spans="1:19" x14ac:dyDescent="0.25">
      <c r="A39" s="970"/>
      <c r="B39" s="968"/>
      <c r="C39" s="458">
        <v>1.5</v>
      </c>
      <c r="D39" s="458">
        <v>17.5</v>
      </c>
      <c r="E39" s="915"/>
      <c r="F39" s="917"/>
      <c r="G39" s="901"/>
      <c r="H39" s="901"/>
      <c r="I39" s="914">
        <f>'Quadro de horas'!$E$3*H39</f>
        <v>0</v>
      </c>
      <c r="J39" s="915"/>
      <c r="K39" s="916"/>
      <c r="L39" s="503"/>
      <c r="M39" s="939"/>
      <c r="N39" s="899"/>
      <c r="O39" s="500"/>
      <c r="P39" s="500"/>
      <c r="Q39" s="949"/>
      <c r="R39" s="944"/>
      <c r="S39" s="923"/>
    </row>
    <row r="40" spans="1:19" x14ac:dyDescent="0.25">
      <c r="A40" s="970"/>
      <c r="B40" s="968"/>
      <c r="C40" s="458">
        <v>1.25</v>
      </c>
      <c r="D40" s="458">
        <v>7.7</v>
      </c>
      <c r="E40" s="915"/>
      <c r="F40" s="881"/>
      <c r="G40" s="901"/>
      <c r="H40" s="901"/>
      <c r="I40" s="914">
        <f>'Quadro de horas'!$E$3*H40</f>
        <v>0</v>
      </c>
      <c r="J40" s="915"/>
      <c r="K40" s="916"/>
      <c r="L40" s="503"/>
      <c r="M40" s="939"/>
      <c r="N40" s="900"/>
      <c r="O40" s="511"/>
      <c r="P40" s="511"/>
      <c r="Q40" s="949"/>
      <c r="R40" s="944"/>
      <c r="S40" s="923"/>
    </row>
    <row r="41" spans="1:19" x14ac:dyDescent="0.25">
      <c r="A41" s="969" t="s">
        <v>290</v>
      </c>
      <c r="B41" s="967" t="s">
        <v>478</v>
      </c>
      <c r="C41" s="456">
        <v>1.1000000000000001</v>
      </c>
      <c r="D41" s="456">
        <v>2.4</v>
      </c>
      <c r="E41" s="935">
        <f>(C41*D41)+(C42*D42)</f>
        <v>5.24</v>
      </c>
      <c r="F41" s="973" t="s">
        <v>270</v>
      </c>
      <c r="G41" s="973">
        <v>200</v>
      </c>
      <c r="H41" s="973">
        <v>2</v>
      </c>
      <c r="I41" s="974">
        <f>'Quadro de horas'!$E$3*H41</f>
        <v>47.830357142857139</v>
      </c>
      <c r="J41" s="935">
        <f t="shared" si="1"/>
        <v>250.63107142857143</v>
      </c>
      <c r="K41" s="913">
        <f>(J41/G41)/44</f>
        <v>2.848080357142857E-2</v>
      </c>
      <c r="L41" s="503"/>
      <c r="M41" s="951"/>
      <c r="N41" s="946"/>
      <c r="O41" s="507"/>
      <c r="P41" s="507"/>
      <c r="Q41" s="945">
        <v>5.24</v>
      </c>
      <c r="R41" s="944"/>
      <c r="S41" s="923"/>
    </row>
    <row r="42" spans="1:19" x14ac:dyDescent="0.25">
      <c r="A42" s="970"/>
      <c r="B42" s="967"/>
      <c r="C42" s="456">
        <v>1.3</v>
      </c>
      <c r="D42" s="456">
        <v>2</v>
      </c>
      <c r="E42" s="935"/>
      <c r="F42" s="973"/>
      <c r="G42" s="973"/>
      <c r="H42" s="973"/>
      <c r="I42" s="974">
        <f>'Quadro de horas'!$E$3*H42</f>
        <v>0</v>
      </c>
      <c r="J42" s="935"/>
      <c r="K42" s="913"/>
      <c r="L42" s="503"/>
      <c r="M42" s="951"/>
      <c r="N42" s="947"/>
      <c r="O42" s="508"/>
      <c r="P42" s="508"/>
      <c r="Q42" s="945"/>
      <c r="R42" s="944"/>
      <c r="S42" s="923"/>
    </row>
    <row r="43" spans="1:19" x14ac:dyDescent="0.25">
      <c r="A43" s="970"/>
      <c r="B43" s="967" t="s">
        <v>479</v>
      </c>
      <c r="C43" s="456">
        <v>1.1000000000000001</v>
      </c>
      <c r="D43" s="456">
        <v>2.1</v>
      </c>
      <c r="E43" s="935">
        <f>(C43*D43)+(C44*D44)</f>
        <v>7.3100000000000005</v>
      </c>
      <c r="F43" s="973"/>
      <c r="G43" s="973">
        <v>200</v>
      </c>
      <c r="H43" s="973">
        <v>2</v>
      </c>
      <c r="I43" s="974">
        <f>'Quadro de horas'!$E$3*H43</f>
        <v>47.830357142857139</v>
      </c>
      <c r="J43" s="935">
        <f t="shared" si="1"/>
        <v>349.63991071428569</v>
      </c>
      <c r="K43" s="913">
        <f>(J43/G43)/44</f>
        <v>3.9731808035714286E-2</v>
      </c>
      <c r="L43" s="503"/>
      <c r="M43" s="951"/>
      <c r="N43" s="947"/>
      <c r="O43" s="508"/>
      <c r="P43" s="508"/>
      <c r="Q43" s="945">
        <v>7.3100000000000005</v>
      </c>
      <c r="R43" s="944"/>
      <c r="S43" s="923"/>
    </row>
    <row r="44" spans="1:19" x14ac:dyDescent="0.25">
      <c r="A44" s="970"/>
      <c r="B44" s="967"/>
      <c r="C44" s="456">
        <v>2</v>
      </c>
      <c r="D44" s="456">
        <v>2.5</v>
      </c>
      <c r="E44" s="935"/>
      <c r="F44" s="973"/>
      <c r="G44" s="973"/>
      <c r="H44" s="973"/>
      <c r="I44" s="974">
        <f>'Quadro de horas'!$E$3*H44</f>
        <v>0</v>
      </c>
      <c r="J44" s="935"/>
      <c r="K44" s="913"/>
      <c r="L44" s="503"/>
      <c r="M44" s="951"/>
      <c r="N44" s="947"/>
      <c r="O44" s="508"/>
      <c r="P44" s="508"/>
      <c r="Q44" s="945"/>
      <c r="R44" s="944"/>
      <c r="S44" s="923"/>
    </row>
    <row r="45" spans="1:19" x14ac:dyDescent="0.25">
      <c r="A45" s="970"/>
      <c r="B45" s="441" t="s">
        <v>283</v>
      </c>
      <c r="C45" s="456">
        <v>1.5</v>
      </c>
      <c r="D45" s="456">
        <v>1.85</v>
      </c>
      <c r="E45" s="443">
        <f t="shared" si="0"/>
        <v>2.7750000000000004</v>
      </c>
      <c r="F45" s="973"/>
      <c r="G45" s="457">
        <v>200</v>
      </c>
      <c r="H45" s="457">
        <v>2</v>
      </c>
      <c r="I45" s="581">
        <f>'Quadro de horas'!$E$3*H45</f>
        <v>47.830357142857139</v>
      </c>
      <c r="J45" s="443">
        <f t="shared" si="1"/>
        <v>132.72924107142859</v>
      </c>
      <c r="K45" s="456">
        <f>(J45/G45)/44</f>
        <v>1.5082868303571429E-2</v>
      </c>
      <c r="L45" s="503"/>
      <c r="M45" s="951"/>
      <c r="N45" s="948"/>
      <c r="O45" s="509"/>
      <c r="P45" s="509"/>
      <c r="Q45" s="486">
        <v>2.7750000000000004</v>
      </c>
      <c r="R45" s="944"/>
      <c r="S45" s="923"/>
    </row>
    <row r="46" spans="1:19" x14ac:dyDescent="0.25">
      <c r="A46" s="970"/>
      <c r="B46" s="975" t="s">
        <v>291</v>
      </c>
      <c r="C46" s="458">
        <v>3.2</v>
      </c>
      <c r="D46" s="458">
        <v>9.9499999999999993</v>
      </c>
      <c r="E46" s="915">
        <f>(C46*D46)+(C47*D47)+(C48*D48)+(C49*D49)+(C50*D50)+(C51*D51)</f>
        <v>197.345</v>
      </c>
      <c r="F46" s="880" t="s">
        <v>268</v>
      </c>
      <c r="G46" s="901">
        <v>800</v>
      </c>
      <c r="H46" s="901">
        <v>1</v>
      </c>
      <c r="I46" s="914">
        <f>'Quadro de horas'!$E$3*H46</f>
        <v>23.915178571428569</v>
      </c>
      <c r="J46" s="915">
        <f t="shared" si="1"/>
        <v>4719.5409151785707</v>
      </c>
      <c r="K46" s="916">
        <f t="shared" si="2"/>
        <v>0.26815573381696423</v>
      </c>
      <c r="L46" s="503"/>
      <c r="M46" s="939">
        <v>197.345</v>
      </c>
      <c r="N46" s="898"/>
      <c r="O46" s="898"/>
      <c r="P46" s="898"/>
      <c r="Q46" s="949"/>
      <c r="R46" s="944"/>
      <c r="S46" s="923"/>
    </row>
    <row r="47" spans="1:19" x14ac:dyDescent="0.25">
      <c r="A47" s="970"/>
      <c r="B47" s="975"/>
      <c r="C47" s="458">
        <v>5.4</v>
      </c>
      <c r="D47" s="458">
        <v>8.1999999999999993</v>
      </c>
      <c r="E47" s="915"/>
      <c r="F47" s="917"/>
      <c r="G47" s="901"/>
      <c r="H47" s="901"/>
      <c r="I47" s="914">
        <f>'Quadro de horas'!$E$3*H47</f>
        <v>0</v>
      </c>
      <c r="J47" s="915"/>
      <c r="K47" s="916"/>
      <c r="L47" s="503"/>
      <c r="M47" s="939"/>
      <c r="N47" s="899"/>
      <c r="O47" s="899"/>
      <c r="P47" s="899"/>
      <c r="Q47" s="949"/>
      <c r="R47" s="944"/>
      <c r="S47" s="923"/>
    </row>
    <row r="48" spans="1:19" x14ac:dyDescent="0.25">
      <c r="A48" s="970"/>
      <c r="B48" s="975"/>
      <c r="C48" s="458">
        <v>4.4000000000000004</v>
      </c>
      <c r="D48" s="458">
        <v>8.85</v>
      </c>
      <c r="E48" s="915"/>
      <c r="F48" s="917"/>
      <c r="G48" s="901"/>
      <c r="H48" s="901"/>
      <c r="I48" s="914">
        <f>'Quadro de horas'!$E$3*H48</f>
        <v>0</v>
      </c>
      <c r="J48" s="915"/>
      <c r="K48" s="916"/>
      <c r="L48" s="503"/>
      <c r="M48" s="939"/>
      <c r="N48" s="899"/>
      <c r="O48" s="899"/>
      <c r="P48" s="899"/>
      <c r="Q48" s="949"/>
      <c r="R48" s="944"/>
      <c r="S48" s="923"/>
    </row>
    <row r="49" spans="1:19" x14ac:dyDescent="0.25">
      <c r="A49" s="970"/>
      <c r="B49" s="975"/>
      <c r="C49" s="458">
        <v>3.1</v>
      </c>
      <c r="D49" s="458">
        <v>6.35</v>
      </c>
      <c r="E49" s="915"/>
      <c r="F49" s="917"/>
      <c r="G49" s="901"/>
      <c r="H49" s="901"/>
      <c r="I49" s="914">
        <f>'Quadro de horas'!$E$3*H49</f>
        <v>0</v>
      </c>
      <c r="J49" s="915"/>
      <c r="K49" s="916"/>
      <c r="L49" s="503"/>
      <c r="M49" s="939"/>
      <c r="N49" s="899"/>
      <c r="O49" s="899"/>
      <c r="P49" s="899"/>
      <c r="Q49" s="949"/>
      <c r="R49" s="944"/>
      <c r="S49" s="923"/>
    </row>
    <row r="50" spans="1:19" x14ac:dyDescent="0.25">
      <c r="A50" s="970"/>
      <c r="B50" s="975"/>
      <c r="C50" s="458">
        <v>3.9</v>
      </c>
      <c r="D50" s="458">
        <v>4.75</v>
      </c>
      <c r="E50" s="915"/>
      <c r="F50" s="917"/>
      <c r="G50" s="901"/>
      <c r="H50" s="901"/>
      <c r="I50" s="914">
        <f>'Quadro de horas'!$E$3*H50</f>
        <v>0</v>
      </c>
      <c r="J50" s="915"/>
      <c r="K50" s="916"/>
      <c r="L50" s="503"/>
      <c r="M50" s="939"/>
      <c r="N50" s="899"/>
      <c r="O50" s="899"/>
      <c r="P50" s="899"/>
      <c r="Q50" s="949"/>
      <c r="R50" s="944"/>
      <c r="S50" s="923"/>
    </row>
    <row r="51" spans="1:19" x14ac:dyDescent="0.25">
      <c r="A51" s="970"/>
      <c r="B51" s="975"/>
      <c r="C51" s="458">
        <v>4.3</v>
      </c>
      <c r="D51" s="458">
        <v>10.25</v>
      </c>
      <c r="E51" s="915"/>
      <c r="F51" s="917"/>
      <c r="G51" s="901"/>
      <c r="H51" s="901"/>
      <c r="I51" s="914">
        <f>'Quadro de horas'!$E$3*H51</f>
        <v>0</v>
      </c>
      <c r="J51" s="915"/>
      <c r="K51" s="916"/>
      <c r="L51" s="503"/>
      <c r="M51" s="939"/>
      <c r="N51" s="899"/>
      <c r="O51" s="899"/>
      <c r="P51" s="899"/>
      <c r="Q51" s="949"/>
      <c r="R51" s="944"/>
      <c r="S51" s="923"/>
    </row>
    <row r="52" spans="1:19" x14ac:dyDescent="0.25">
      <c r="A52" s="970"/>
      <c r="B52" s="465" t="s">
        <v>285</v>
      </c>
      <c r="C52" s="458">
        <v>2.1</v>
      </c>
      <c r="D52" s="458">
        <v>3.3</v>
      </c>
      <c r="E52" s="446">
        <f t="shared" si="0"/>
        <v>6.93</v>
      </c>
      <c r="F52" s="881"/>
      <c r="G52" s="459">
        <v>800</v>
      </c>
      <c r="H52" s="459">
        <v>1</v>
      </c>
      <c r="I52" s="582">
        <f>'Quadro de horas'!$E$3*H52</f>
        <v>23.915178571428569</v>
      </c>
      <c r="J52" s="446">
        <f t="shared" si="1"/>
        <v>165.73218749999998</v>
      </c>
      <c r="K52" s="458">
        <f t="shared" si="2"/>
        <v>9.4166015624999998E-3</v>
      </c>
      <c r="L52" s="503"/>
      <c r="M52" s="487">
        <v>6.93</v>
      </c>
      <c r="N52" s="899"/>
      <c r="O52" s="899"/>
      <c r="P52" s="899"/>
      <c r="Q52" s="949"/>
      <c r="R52" s="944"/>
      <c r="S52" s="923"/>
    </row>
    <row r="53" spans="1:19" x14ac:dyDescent="0.25">
      <c r="A53" s="970"/>
      <c r="B53" s="465" t="s">
        <v>275</v>
      </c>
      <c r="C53" s="458">
        <v>3</v>
      </c>
      <c r="D53" s="458">
        <v>3.6</v>
      </c>
      <c r="E53" s="446">
        <f t="shared" si="0"/>
        <v>10.8</v>
      </c>
      <c r="F53" s="459" t="s">
        <v>268</v>
      </c>
      <c r="G53" s="459">
        <v>800</v>
      </c>
      <c r="H53" s="459">
        <v>1</v>
      </c>
      <c r="I53" s="582">
        <f>'Quadro de horas'!$E$3*H53</f>
        <v>23.915178571428569</v>
      </c>
      <c r="J53" s="446">
        <f t="shared" si="1"/>
        <v>258.28392857142859</v>
      </c>
      <c r="K53" s="458">
        <f>(J53/G53)/22</f>
        <v>1.4675223214285715E-2</v>
      </c>
      <c r="L53" s="500"/>
      <c r="M53" s="487">
        <v>10.8</v>
      </c>
      <c r="N53" s="900"/>
      <c r="O53" s="900"/>
      <c r="P53" s="900"/>
      <c r="Q53" s="949"/>
      <c r="R53" s="944"/>
      <c r="S53" s="923"/>
    </row>
    <row r="54" spans="1:19" x14ac:dyDescent="0.25">
      <c r="A54" s="970"/>
      <c r="B54" s="477" t="s">
        <v>286</v>
      </c>
      <c r="C54" s="461">
        <v>2.1</v>
      </c>
      <c r="D54" s="461">
        <v>4.0999999999999996</v>
      </c>
      <c r="E54" s="454">
        <f t="shared" si="0"/>
        <v>8.61</v>
      </c>
      <c r="F54" s="462" t="s">
        <v>268</v>
      </c>
      <c r="G54" s="462">
        <v>200</v>
      </c>
      <c r="H54" s="462">
        <v>2</v>
      </c>
      <c r="I54" s="583">
        <f>'Quadro de horas'!$E$3*H54</f>
        <v>47.830357142857139</v>
      </c>
      <c r="J54" s="454">
        <f t="shared" si="1"/>
        <v>411.81937499999992</v>
      </c>
      <c r="K54" s="461">
        <f>(J54/G54)/44</f>
        <v>4.6797656249999993E-2</v>
      </c>
      <c r="L54" s="503"/>
      <c r="M54" s="489"/>
      <c r="N54" s="489"/>
      <c r="O54" s="489"/>
      <c r="P54" s="489">
        <v>8.61</v>
      </c>
      <c r="Q54" s="949"/>
      <c r="R54" s="944"/>
      <c r="S54" s="923"/>
    </row>
    <row r="55" spans="1:19" x14ac:dyDescent="0.25">
      <c r="A55" s="970"/>
      <c r="B55" s="975" t="s">
        <v>292</v>
      </c>
      <c r="C55" s="458">
        <v>3.2</v>
      </c>
      <c r="D55" s="458">
        <v>6.2</v>
      </c>
      <c r="E55" s="915">
        <f>(C55*D55)+(C56*D56)+(C57*D57)</f>
        <v>56.857500000000002</v>
      </c>
      <c r="F55" s="880" t="s">
        <v>268</v>
      </c>
      <c r="G55" s="901">
        <v>800</v>
      </c>
      <c r="H55" s="901">
        <v>1</v>
      </c>
      <c r="I55" s="914">
        <f>'Quadro de horas'!$E$3*H55</f>
        <v>23.915178571428569</v>
      </c>
      <c r="J55" s="915">
        <f t="shared" si="1"/>
        <v>1359.7572656249999</v>
      </c>
      <c r="K55" s="916">
        <f t="shared" si="2"/>
        <v>7.7258935546875004E-2</v>
      </c>
      <c r="L55" s="503"/>
      <c r="M55" s="939">
        <v>56.857500000000002</v>
      </c>
      <c r="N55" s="898"/>
      <c r="O55" s="510"/>
      <c r="P55" s="510"/>
      <c r="Q55" s="949"/>
      <c r="R55" s="944"/>
      <c r="S55" s="923"/>
    </row>
    <row r="56" spans="1:19" x14ac:dyDescent="0.25">
      <c r="A56" s="970"/>
      <c r="B56" s="975"/>
      <c r="C56" s="458">
        <v>4.5</v>
      </c>
      <c r="D56" s="458">
        <v>4.4000000000000004</v>
      </c>
      <c r="E56" s="915"/>
      <c r="F56" s="917"/>
      <c r="G56" s="901"/>
      <c r="H56" s="901"/>
      <c r="I56" s="914">
        <f>'Quadro de horas'!$E$3*H56</f>
        <v>0</v>
      </c>
      <c r="J56" s="915"/>
      <c r="K56" s="916"/>
      <c r="L56" s="503"/>
      <c r="M56" s="939"/>
      <c r="N56" s="899"/>
      <c r="O56" s="500"/>
      <c r="P56" s="500"/>
      <c r="Q56" s="949"/>
      <c r="R56" s="944"/>
      <c r="S56" s="923"/>
    </row>
    <row r="57" spans="1:19" x14ac:dyDescent="0.25">
      <c r="A57" s="970"/>
      <c r="B57" s="975"/>
      <c r="C57" s="458">
        <v>3.55</v>
      </c>
      <c r="D57" s="458">
        <v>4.8499999999999996</v>
      </c>
      <c r="E57" s="915"/>
      <c r="F57" s="881"/>
      <c r="G57" s="901"/>
      <c r="H57" s="901"/>
      <c r="I57" s="914">
        <f>'Quadro de horas'!$E$3*H57</f>
        <v>0</v>
      </c>
      <c r="J57" s="915"/>
      <c r="K57" s="916"/>
      <c r="L57" s="503"/>
      <c r="M57" s="939"/>
      <c r="N57" s="899"/>
      <c r="O57" s="500"/>
      <c r="P57" s="500"/>
      <c r="Q57" s="949"/>
      <c r="R57" s="944"/>
      <c r="S57" s="923"/>
    </row>
    <row r="58" spans="1:19" x14ac:dyDescent="0.25">
      <c r="A58" s="970"/>
      <c r="B58" s="975" t="s">
        <v>293</v>
      </c>
      <c r="C58" s="458">
        <v>4.5</v>
      </c>
      <c r="D58" s="458">
        <v>9.8000000000000007</v>
      </c>
      <c r="E58" s="915">
        <f>(C58*D58)+(C59*D59)+(C60*D60)</f>
        <v>80.11</v>
      </c>
      <c r="F58" s="880" t="s">
        <v>268</v>
      </c>
      <c r="G58" s="901">
        <v>800</v>
      </c>
      <c r="H58" s="901">
        <v>1</v>
      </c>
      <c r="I58" s="914">
        <f>'Quadro de horas'!$E$3*H58</f>
        <v>23.915178571428569</v>
      </c>
      <c r="J58" s="915">
        <f t="shared" si="1"/>
        <v>1915.8449553571427</v>
      </c>
      <c r="K58" s="916">
        <f t="shared" si="2"/>
        <v>0.10885482700892855</v>
      </c>
      <c r="L58" s="503"/>
      <c r="M58" s="939">
        <v>80.11</v>
      </c>
      <c r="N58" s="899"/>
      <c r="O58" s="500"/>
      <c r="P58" s="500"/>
      <c r="Q58" s="949"/>
      <c r="R58" s="944"/>
      <c r="S58" s="923"/>
    </row>
    <row r="59" spans="1:19" x14ac:dyDescent="0.25">
      <c r="A59" s="970"/>
      <c r="B59" s="975"/>
      <c r="C59" s="458">
        <v>3.7</v>
      </c>
      <c r="D59" s="458">
        <v>4.8</v>
      </c>
      <c r="E59" s="915"/>
      <c r="F59" s="917"/>
      <c r="G59" s="901"/>
      <c r="H59" s="901"/>
      <c r="I59" s="914">
        <f>'Quadro de horas'!$E$3*H59</f>
        <v>0</v>
      </c>
      <c r="J59" s="915"/>
      <c r="K59" s="916"/>
      <c r="L59" s="503"/>
      <c r="M59" s="939"/>
      <c r="N59" s="899"/>
      <c r="O59" s="500"/>
      <c r="P59" s="500"/>
      <c r="Q59" s="949"/>
      <c r="R59" s="944"/>
      <c r="S59" s="923"/>
    </row>
    <row r="60" spans="1:19" x14ac:dyDescent="0.25">
      <c r="A60" s="970"/>
      <c r="B60" s="975"/>
      <c r="C60" s="458">
        <v>3.65</v>
      </c>
      <c r="D60" s="458">
        <v>5</v>
      </c>
      <c r="E60" s="915"/>
      <c r="F60" s="881"/>
      <c r="G60" s="901"/>
      <c r="H60" s="901"/>
      <c r="I60" s="914">
        <f>'Quadro de horas'!$E$3*H60</f>
        <v>0</v>
      </c>
      <c r="J60" s="915"/>
      <c r="K60" s="916"/>
      <c r="L60" s="503"/>
      <c r="M60" s="939"/>
      <c r="N60" s="900"/>
      <c r="O60" s="511"/>
      <c r="P60" s="511"/>
      <c r="Q60" s="949"/>
      <c r="R60" s="944"/>
      <c r="S60" s="923"/>
    </row>
    <row r="61" spans="1:19" x14ac:dyDescent="0.25">
      <c r="A61" s="970"/>
      <c r="B61" s="526" t="s">
        <v>280</v>
      </c>
      <c r="C61" s="521">
        <v>3.7</v>
      </c>
      <c r="D61" s="521">
        <v>4.3</v>
      </c>
      <c r="E61" s="519">
        <f t="shared" si="0"/>
        <v>15.91</v>
      </c>
      <c r="F61" s="931" t="s">
        <v>268</v>
      </c>
      <c r="G61" s="524">
        <v>1000</v>
      </c>
      <c r="H61" s="524">
        <v>2</v>
      </c>
      <c r="I61" s="584">
        <f>'Quadro de horas'!$E$3*H61</f>
        <v>47.830357142857139</v>
      </c>
      <c r="J61" s="519">
        <f t="shared" si="1"/>
        <v>760.9809821428571</v>
      </c>
      <c r="K61" s="521">
        <f>(J61/G61)/44</f>
        <v>1.7295022321428571E-2</v>
      </c>
      <c r="L61" s="503"/>
      <c r="M61" s="525"/>
      <c r="N61" s="525"/>
      <c r="O61" s="525">
        <v>15.91</v>
      </c>
      <c r="P61" s="525"/>
      <c r="Q61" s="949"/>
      <c r="R61" s="944"/>
      <c r="S61" s="923"/>
    </row>
    <row r="62" spans="1:19" x14ac:dyDescent="0.25">
      <c r="A62" s="970"/>
      <c r="B62" s="526" t="s">
        <v>289</v>
      </c>
      <c r="C62" s="521">
        <v>3.6</v>
      </c>
      <c r="D62" s="521">
        <v>6.5</v>
      </c>
      <c r="E62" s="519">
        <f>C62*D62</f>
        <v>23.400000000000002</v>
      </c>
      <c r="F62" s="932"/>
      <c r="G62" s="524">
        <v>1000</v>
      </c>
      <c r="H62" s="524">
        <v>2</v>
      </c>
      <c r="I62" s="584">
        <f>'Quadro de horas'!$E$3*H62</f>
        <v>47.830357142857139</v>
      </c>
      <c r="J62" s="519">
        <f t="shared" si="1"/>
        <v>1119.2303571428572</v>
      </c>
      <c r="K62" s="521">
        <f>(J62/G62)/44</f>
        <v>2.5437053571428572E-2</v>
      </c>
      <c r="L62" s="503"/>
      <c r="M62" s="525"/>
      <c r="N62" s="525"/>
      <c r="O62" s="525">
        <v>23.400000000000002</v>
      </c>
      <c r="P62" s="525"/>
      <c r="Q62" s="949"/>
      <c r="R62" s="944"/>
      <c r="S62" s="923"/>
    </row>
    <row r="63" spans="1:19" x14ac:dyDescent="0.25">
      <c r="A63" s="970"/>
      <c r="B63" s="975" t="s">
        <v>281</v>
      </c>
      <c r="C63" s="458">
        <v>1.4</v>
      </c>
      <c r="D63" s="458">
        <v>18.5</v>
      </c>
      <c r="E63" s="915">
        <f>(C63*D63)+(C64*D64)+(C65*D65)+(C66*D66)</f>
        <v>60.302499999999995</v>
      </c>
      <c r="F63" s="880" t="s">
        <v>268</v>
      </c>
      <c r="G63" s="901">
        <v>800</v>
      </c>
      <c r="H63" s="901">
        <v>1</v>
      </c>
      <c r="I63" s="914">
        <f>'Quadro de horas'!$E$3*H63</f>
        <v>23.915178571428569</v>
      </c>
      <c r="J63" s="915">
        <f t="shared" si="1"/>
        <v>1442.1450558035713</v>
      </c>
      <c r="K63" s="916">
        <f t="shared" si="2"/>
        <v>8.194005998883927E-2</v>
      </c>
      <c r="L63" s="503"/>
      <c r="M63" s="939">
        <v>60.302499999999995</v>
      </c>
      <c r="N63" s="898"/>
      <c r="O63" s="510"/>
      <c r="P63" s="510"/>
      <c r="Q63" s="949"/>
      <c r="R63" s="944"/>
      <c r="S63" s="923"/>
    </row>
    <row r="64" spans="1:19" x14ac:dyDescent="0.25">
      <c r="A64" s="970"/>
      <c r="B64" s="975"/>
      <c r="C64" s="458">
        <v>1.2</v>
      </c>
      <c r="D64" s="458">
        <v>8.5</v>
      </c>
      <c r="E64" s="915"/>
      <c r="F64" s="917"/>
      <c r="G64" s="901"/>
      <c r="H64" s="901"/>
      <c r="I64" s="914">
        <f>'Quadro de horas'!$E$3*H64</f>
        <v>0</v>
      </c>
      <c r="J64" s="915"/>
      <c r="K64" s="916"/>
      <c r="L64" s="503"/>
      <c r="M64" s="939"/>
      <c r="N64" s="899"/>
      <c r="O64" s="500"/>
      <c r="P64" s="500"/>
      <c r="Q64" s="949"/>
      <c r="R64" s="944"/>
      <c r="S64" s="923"/>
    </row>
    <row r="65" spans="1:19" x14ac:dyDescent="0.25">
      <c r="A65" s="970"/>
      <c r="B65" s="975"/>
      <c r="C65" s="458">
        <v>3.65</v>
      </c>
      <c r="D65" s="458">
        <v>4.8499999999999996</v>
      </c>
      <c r="E65" s="915"/>
      <c r="F65" s="917"/>
      <c r="G65" s="901"/>
      <c r="H65" s="901"/>
      <c r="I65" s="914">
        <f>'Quadro de horas'!$E$3*H65</f>
        <v>0</v>
      </c>
      <c r="J65" s="915"/>
      <c r="K65" s="916"/>
      <c r="L65" s="503"/>
      <c r="M65" s="939"/>
      <c r="N65" s="899"/>
      <c r="O65" s="500"/>
      <c r="P65" s="500"/>
      <c r="Q65" s="949"/>
      <c r="R65" s="944"/>
      <c r="S65" s="923"/>
    </row>
    <row r="66" spans="1:19" x14ac:dyDescent="0.25">
      <c r="A66" s="971"/>
      <c r="B66" s="975"/>
      <c r="C66" s="458">
        <v>1.3</v>
      </c>
      <c r="D66" s="458">
        <v>5</v>
      </c>
      <c r="E66" s="915"/>
      <c r="F66" s="881"/>
      <c r="G66" s="901"/>
      <c r="H66" s="901"/>
      <c r="I66" s="914">
        <f>'Quadro de horas'!$E$3*H66</f>
        <v>0</v>
      </c>
      <c r="J66" s="915"/>
      <c r="K66" s="916"/>
      <c r="L66" s="503"/>
      <c r="M66" s="939"/>
      <c r="N66" s="900"/>
      <c r="O66" s="511"/>
      <c r="P66" s="511"/>
      <c r="Q66" s="949"/>
      <c r="R66" s="944"/>
      <c r="S66" s="923"/>
    </row>
    <row r="67" spans="1:19" x14ac:dyDescent="0.25">
      <c r="A67" s="969" t="s">
        <v>294</v>
      </c>
      <c r="B67" s="967" t="s">
        <v>478</v>
      </c>
      <c r="C67" s="456">
        <v>1.1000000000000001</v>
      </c>
      <c r="D67" s="456">
        <v>2.1</v>
      </c>
      <c r="E67" s="935">
        <f>(C67*D67)+(C68*D68)</f>
        <v>4.620000000000001</v>
      </c>
      <c r="F67" s="973" t="s">
        <v>270</v>
      </c>
      <c r="G67" s="973">
        <v>200</v>
      </c>
      <c r="H67" s="973">
        <v>2</v>
      </c>
      <c r="I67" s="974">
        <f>'Quadro de horas'!$E$3*H67</f>
        <v>47.830357142857139</v>
      </c>
      <c r="J67" s="935">
        <f t="shared" si="1"/>
        <v>220.97625000000002</v>
      </c>
      <c r="K67" s="913">
        <f>(J67/G67)/44</f>
        <v>2.51109375E-2</v>
      </c>
      <c r="L67" s="503"/>
      <c r="M67" s="951"/>
      <c r="N67" s="946"/>
      <c r="O67" s="507"/>
      <c r="P67" s="507"/>
      <c r="Q67" s="945">
        <v>4.620000000000001</v>
      </c>
      <c r="R67" s="944"/>
      <c r="S67" s="923"/>
    </row>
    <row r="68" spans="1:19" x14ac:dyDescent="0.25">
      <c r="A68" s="970"/>
      <c r="B68" s="967"/>
      <c r="C68" s="456">
        <v>1.1000000000000001</v>
      </c>
      <c r="D68" s="456">
        <v>2.1</v>
      </c>
      <c r="E68" s="935"/>
      <c r="F68" s="973"/>
      <c r="G68" s="973"/>
      <c r="H68" s="973"/>
      <c r="I68" s="974">
        <f>'Quadro de horas'!$E$3*H68</f>
        <v>0</v>
      </c>
      <c r="J68" s="935"/>
      <c r="K68" s="913"/>
      <c r="L68" s="503"/>
      <c r="M68" s="951"/>
      <c r="N68" s="947"/>
      <c r="O68" s="508"/>
      <c r="P68" s="508"/>
      <c r="Q68" s="945"/>
      <c r="R68" s="944"/>
      <c r="S68" s="923"/>
    </row>
    <row r="69" spans="1:19" x14ac:dyDescent="0.25">
      <c r="A69" s="970"/>
      <c r="B69" s="967" t="s">
        <v>479</v>
      </c>
      <c r="C69" s="456">
        <v>1.1000000000000001</v>
      </c>
      <c r="D69" s="456">
        <v>2.1</v>
      </c>
      <c r="E69" s="935">
        <f>(C69*D69)+(C70*D70)</f>
        <v>7.3100000000000005</v>
      </c>
      <c r="F69" s="973"/>
      <c r="G69" s="973">
        <v>200</v>
      </c>
      <c r="H69" s="973">
        <v>2</v>
      </c>
      <c r="I69" s="974">
        <f>'Quadro de horas'!$E$3*H69</f>
        <v>47.830357142857139</v>
      </c>
      <c r="J69" s="935">
        <f t="shared" si="1"/>
        <v>349.63991071428569</v>
      </c>
      <c r="K69" s="913">
        <f>(J69/G69)/44</f>
        <v>3.9731808035714286E-2</v>
      </c>
      <c r="L69" s="503"/>
      <c r="M69" s="951"/>
      <c r="N69" s="947"/>
      <c r="O69" s="508"/>
      <c r="P69" s="508"/>
      <c r="Q69" s="945">
        <v>7.3100000000000005</v>
      </c>
      <c r="R69" s="944"/>
      <c r="S69" s="923"/>
    </row>
    <row r="70" spans="1:19" x14ac:dyDescent="0.25">
      <c r="A70" s="970"/>
      <c r="B70" s="967"/>
      <c r="C70" s="456">
        <v>2</v>
      </c>
      <c r="D70" s="456">
        <v>2.5</v>
      </c>
      <c r="E70" s="935"/>
      <c r="F70" s="973"/>
      <c r="G70" s="973"/>
      <c r="H70" s="973"/>
      <c r="I70" s="974">
        <f>'Quadro de horas'!$E$3*H70</f>
        <v>0</v>
      </c>
      <c r="J70" s="935"/>
      <c r="K70" s="913"/>
      <c r="L70" s="503"/>
      <c r="M70" s="951"/>
      <c r="N70" s="947"/>
      <c r="O70" s="508"/>
      <c r="P70" s="508"/>
      <c r="Q70" s="945"/>
      <c r="R70" s="944"/>
      <c r="S70" s="923"/>
    </row>
    <row r="71" spans="1:19" x14ac:dyDescent="0.25">
      <c r="A71" s="970"/>
      <c r="B71" s="441" t="s">
        <v>283</v>
      </c>
      <c r="C71" s="456">
        <v>1.5</v>
      </c>
      <c r="D71" s="456">
        <v>1.85</v>
      </c>
      <c r="E71" s="443">
        <f t="shared" si="0"/>
        <v>2.7750000000000004</v>
      </c>
      <c r="F71" s="973"/>
      <c r="G71" s="457">
        <v>200</v>
      </c>
      <c r="H71" s="457">
        <v>2</v>
      </c>
      <c r="I71" s="581">
        <f>'Quadro de horas'!$E$3*H71</f>
        <v>47.830357142857139</v>
      </c>
      <c r="J71" s="443">
        <f t="shared" si="1"/>
        <v>132.72924107142859</v>
      </c>
      <c r="K71" s="456">
        <f>(J71/G71)/44</f>
        <v>1.5082868303571429E-2</v>
      </c>
      <c r="L71" s="503"/>
      <c r="M71" s="951"/>
      <c r="N71" s="948"/>
      <c r="O71" s="509"/>
      <c r="P71" s="509"/>
      <c r="Q71" s="486">
        <v>2.7750000000000004</v>
      </c>
      <c r="R71" s="944"/>
      <c r="S71" s="923"/>
    </row>
    <row r="72" spans="1:19" x14ac:dyDescent="0.25">
      <c r="A72" s="970"/>
      <c r="B72" s="466" t="s">
        <v>480</v>
      </c>
      <c r="C72" s="458">
        <v>4.9000000000000004</v>
      </c>
      <c r="D72" s="458">
        <v>4.3</v>
      </c>
      <c r="E72" s="446">
        <f>C72*D72</f>
        <v>21.07</v>
      </c>
      <c r="F72" s="880" t="s">
        <v>268</v>
      </c>
      <c r="G72" s="467">
        <v>800</v>
      </c>
      <c r="H72" s="459">
        <v>1</v>
      </c>
      <c r="I72" s="582">
        <f>'Quadro de horas'!$E$3*H72</f>
        <v>23.915178571428569</v>
      </c>
      <c r="J72" s="446">
        <f t="shared" si="1"/>
        <v>503.89281249999999</v>
      </c>
      <c r="K72" s="458">
        <f t="shared" si="2"/>
        <v>2.8630273437499999E-2</v>
      </c>
      <c r="L72" s="503"/>
      <c r="M72" s="487">
        <v>21.07</v>
      </c>
      <c r="N72" s="513"/>
      <c r="O72" s="513"/>
      <c r="P72" s="510"/>
      <c r="Q72" s="949"/>
      <c r="R72" s="944"/>
      <c r="S72" s="923"/>
    </row>
    <row r="73" spans="1:19" x14ac:dyDescent="0.25">
      <c r="A73" s="970"/>
      <c r="B73" s="466" t="s">
        <v>481</v>
      </c>
      <c r="C73" s="458">
        <v>3.3</v>
      </c>
      <c r="D73" s="458">
        <v>4.4000000000000004</v>
      </c>
      <c r="E73" s="446">
        <f t="shared" si="0"/>
        <v>14.52</v>
      </c>
      <c r="F73" s="917"/>
      <c r="G73" s="467">
        <v>800</v>
      </c>
      <c r="H73" s="459">
        <v>1</v>
      </c>
      <c r="I73" s="582">
        <f>'Quadro de horas'!$E$3*H73</f>
        <v>23.915178571428569</v>
      </c>
      <c r="J73" s="446">
        <f t="shared" si="1"/>
        <v>347.24839285714279</v>
      </c>
      <c r="K73" s="458">
        <f t="shared" si="2"/>
        <v>1.9730022321428568E-2</v>
      </c>
      <c r="L73" s="503"/>
      <c r="M73" s="487">
        <v>14.52</v>
      </c>
      <c r="N73" s="514"/>
      <c r="O73" s="514"/>
      <c r="P73" s="500"/>
      <c r="Q73" s="949"/>
      <c r="R73" s="944"/>
      <c r="S73" s="923"/>
    </row>
    <row r="74" spans="1:19" x14ac:dyDescent="0.25">
      <c r="A74" s="970"/>
      <c r="B74" s="466" t="s">
        <v>482</v>
      </c>
      <c r="C74" s="458">
        <v>7</v>
      </c>
      <c r="D74" s="458">
        <v>11</v>
      </c>
      <c r="E74" s="446">
        <f t="shared" si="0"/>
        <v>77</v>
      </c>
      <c r="F74" s="917"/>
      <c r="G74" s="467">
        <v>800</v>
      </c>
      <c r="H74" s="459">
        <v>1</v>
      </c>
      <c r="I74" s="582">
        <f>'Quadro de horas'!$E$3*H74</f>
        <v>23.915178571428569</v>
      </c>
      <c r="J74" s="446">
        <f t="shared" si="1"/>
        <v>1841.4687499999998</v>
      </c>
      <c r="K74" s="458">
        <f t="shared" si="2"/>
        <v>0.10462890625</v>
      </c>
      <c r="L74" s="503"/>
      <c r="M74" s="487">
        <v>77</v>
      </c>
      <c r="N74" s="514"/>
      <c r="O74" s="514"/>
      <c r="P74" s="500"/>
      <c r="Q74" s="949"/>
      <c r="R74" s="944"/>
      <c r="S74" s="923"/>
    </row>
    <row r="75" spans="1:19" x14ac:dyDescent="0.25">
      <c r="A75" s="970"/>
      <c r="B75" s="466" t="s">
        <v>483</v>
      </c>
      <c r="C75" s="458">
        <v>4.9000000000000004</v>
      </c>
      <c r="D75" s="458">
        <v>7.5</v>
      </c>
      <c r="E75" s="446">
        <f t="shared" si="0"/>
        <v>36.75</v>
      </c>
      <c r="F75" s="917"/>
      <c r="G75" s="467">
        <v>800</v>
      </c>
      <c r="H75" s="459">
        <v>1</v>
      </c>
      <c r="I75" s="582">
        <f>'Quadro de horas'!$E$3*H75</f>
        <v>23.915178571428569</v>
      </c>
      <c r="J75" s="446">
        <f t="shared" si="1"/>
        <v>878.88281249999989</v>
      </c>
      <c r="K75" s="458">
        <f t="shared" si="2"/>
        <v>4.9936523437499991E-2</v>
      </c>
      <c r="L75" s="503"/>
      <c r="M75" s="487">
        <v>36.75</v>
      </c>
      <c r="N75" s="514"/>
      <c r="O75" s="514"/>
      <c r="P75" s="500"/>
      <c r="Q75" s="949"/>
      <c r="R75" s="944"/>
      <c r="S75" s="923"/>
    </row>
    <row r="76" spans="1:19" x14ac:dyDescent="0.25">
      <c r="A76" s="970"/>
      <c r="B76" s="466" t="s">
        <v>484</v>
      </c>
      <c r="C76" s="458">
        <v>4.9000000000000004</v>
      </c>
      <c r="D76" s="458">
        <v>4.5999999999999996</v>
      </c>
      <c r="E76" s="446">
        <f t="shared" si="0"/>
        <v>22.54</v>
      </c>
      <c r="F76" s="917"/>
      <c r="G76" s="467">
        <v>800</v>
      </c>
      <c r="H76" s="459">
        <v>1</v>
      </c>
      <c r="I76" s="582">
        <f>'Quadro de horas'!$E$3*H76</f>
        <v>23.915178571428569</v>
      </c>
      <c r="J76" s="446">
        <f t="shared" si="1"/>
        <v>539.04812499999991</v>
      </c>
      <c r="K76" s="458">
        <f t="shared" si="2"/>
        <v>3.0627734374999993E-2</v>
      </c>
      <c r="L76" s="503"/>
      <c r="M76" s="487">
        <v>22.54</v>
      </c>
      <c r="N76" s="514"/>
      <c r="O76" s="514"/>
      <c r="P76" s="500"/>
      <c r="Q76" s="949"/>
      <c r="R76" s="944"/>
      <c r="S76" s="923"/>
    </row>
    <row r="77" spans="1:19" x14ac:dyDescent="0.25">
      <c r="A77" s="970"/>
      <c r="B77" s="466" t="s">
        <v>485</v>
      </c>
      <c r="C77" s="458">
        <v>4.5</v>
      </c>
      <c r="D77" s="458">
        <v>7.7</v>
      </c>
      <c r="E77" s="446">
        <f t="shared" si="0"/>
        <v>34.65</v>
      </c>
      <c r="F77" s="917"/>
      <c r="G77" s="467">
        <v>800</v>
      </c>
      <c r="H77" s="459">
        <v>1</v>
      </c>
      <c r="I77" s="582">
        <f>'Quadro de horas'!$E$3*H77</f>
        <v>23.915178571428569</v>
      </c>
      <c r="J77" s="446">
        <f t="shared" si="1"/>
        <v>828.66093749999993</v>
      </c>
      <c r="K77" s="458">
        <f t="shared" si="2"/>
        <v>4.7083007812499994E-2</v>
      </c>
      <c r="L77" s="503"/>
      <c r="M77" s="487">
        <v>34.65</v>
      </c>
      <c r="N77" s="514"/>
      <c r="O77" s="514"/>
      <c r="P77" s="500"/>
      <c r="Q77" s="949"/>
      <c r="R77" s="944"/>
      <c r="S77" s="923"/>
    </row>
    <row r="78" spans="1:19" x14ac:dyDescent="0.25">
      <c r="A78" s="970"/>
      <c r="B78" s="466" t="s">
        <v>486</v>
      </c>
      <c r="C78" s="458">
        <v>4.9000000000000004</v>
      </c>
      <c r="D78" s="458">
        <v>7.7</v>
      </c>
      <c r="E78" s="446">
        <f t="shared" si="0"/>
        <v>37.730000000000004</v>
      </c>
      <c r="F78" s="917"/>
      <c r="G78" s="467">
        <v>800</v>
      </c>
      <c r="H78" s="459">
        <v>1</v>
      </c>
      <c r="I78" s="582">
        <f>'Quadro de horas'!$E$3*H78</f>
        <v>23.915178571428569</v>
      </c>
      <c r="J78" s="446">
        <f t="shared" si="1"/>
        <v>902.31968749999999</v>
      </c>
      <c r="K78" s="458">
        <f t="shared" si="2"/>
        <v>5.1268164062500003E-2</v>
      </c>
      <c r="L78" s="503"/>
      <c r="M78" s="487">
        <v>37.730000000000004</v>
      </c>
      <c r="N78" s="514"/>
      <c r="O78" s="514"/>
      <c r="P78" s="500"/>
      <c r="Q78" s="949"/>
      <c r="R78" s="944"/>
      <c r="S78" s="923"/>
    </row>
    <row r="79" spans="1:19" x14ac:dyDescent="0.25">
      <c r="A79" s="970"/>
      <c r="B79" s="466" t="s">
        <v>487</v>
      </c>
      <c r="C79" s="458">
        <v>3.1</v>
      </c>
      <c r="D79" s="458">
        <v>6.4</v>
      </c>
      <c r="E79" s="446">
        <f t="shared" si="0"/>
        <v>19.840000000000003</v>
      </c>
      <c r="F79" s="917"/>
      <c r="G79" s="467">
        <v>800</v>
      </c>
      <c r="H79" s="459">
        <v>1</v>
      </c>
      <c r="I79" s="582">
        <f>'Quadro de horas'!$E$3*H79</f>
        <v>23.915178571428569</v>
      </c>
      <c r="J79" s="446">
        <f t="shared" si="1"/>
        <v>474.47714285714289</v>
      </c>
      <c r="K79" s="458">
        <f t="shared" si="2"/>
        <v>2.6958928571428575E-2</v>
      </c>
      <c r="L79" s="503"/>
      <c r="M79" s="487">
        <v>19.840000000000003</v>
      </c>
      <c r="N79" s="514"/>
      <c r="O79" s="514"/>
      <c r="P79" s="500"/>
      <c r="Q79" s="949"/>
      <c r="R79" s="944"/>
      <c r="S79" s="923"/>
    </row>
    <row r="80" spans="1:19" x14ac:dyDescent="0.25">
      <c r="A80" s="970"/>
      <c r="B80" s="466" t="s">
        <v>488</v>
      </c>
      <c r="C80" s="458">
        <v>4.25</v>
      </c>
      <c r="D80" s="458">
        <v>9.8000000000000007</v>
      </c>
      <c r="E80" s="446">
        <f t="shared" si="0"/>
        <v>41.650000000000006</v>
      </c>
      <c r="F80" s="917"/>
      <c r="G80" s="467">
        <v>800</v>
      </c>
      <c r="H80" s="459">
        <v>1</v>
      </c>
      <c r="I80" s="582">
        <f>'Quadro de horas'!$E$3*H80</f>
        <v>23.915178571428569</v>
      </c>
      <c r="J80" s="446">
        <f t="shared" si="1"/>
        <v>996.06718750000005</v>
      </c>
      <c r="K80" s="458">
        <f t="shared" si="2"/>
        <v>5.6594726562500003E-2</v>
      </c>
      <c r="L80" s="503"/>
      <c r="M80" s="487">
        <v>41.650000000000006</v>
      </c>
      <c r="N80" s="514"/>
      <c r="O80" s="514"/>
      <c r="P80" s="500"/>
      <c r="Q80" s="949"/>
      <c r="R80" s="944"/>
      <c r="S80" s="923"/>
    </row>
    <row r="81" spans="1:19" ht="30" x14ac:dyDescent="0.25">
      <c r="A81" s="970"/>
      <c r="B81" s="468" t="s">
        <v>295</v>
      </c>
      <c r="C81" s="458">
        <v>2.7</v>
      </c>
      <c r="D81" s="458">
        <v>7.7</v>
      </c>
      <c r="E81" s="446">
        <f t="shared" si="0"/>
        <v>20.790000000000003</v>
      </c>
      <c r="F81" s="917"/>
      <c r="G81" s="467">
        <v>800</v>
      </c>
      <c r="H81" s="459">
        <v>1</v>
      </c>
      <c r="I81" s="582">
        <f>'Quadro de horas'!$E$3*H81</f>
        <v>23.915178571428569</v>
      </c>
      <c r="J81" s="446">
        <f t="shared" si="1"/>
        <v>497.19656250000003</v>
      </c>
      <c r="K81" s="458">
        <f t="shared" si="2"/>
        <v>2.8249804687500001E-2</v>
      </c>
      <c r="L81" s="503"/>
      <c r="M81" s="487">
        <v>20.790000000000003</v>
      </c>
      <c r="N81" s="514"/>
      <c r="O81" s="514"/>
      <c r="P81" s="500"/>
      <c r="Q81" s="949"/>
      <c r="R81" s="944"/>
      <c r="S81" s="923"/>
    </row>
    <row r="82" spans="1:19" x14ac:dyDescent="0.25">
      <c r="A82" s="970"/>
      <c r="B82" s="468" t="s">
        <v>285</v>
      </c>
      <c r="C82" s="458">
        <v>2.1</v>
      </c>
      <c r="D82" s="458">
        <v>3.3</v>
      </c>
      <c r="E82" s="446">
        <f t="shared" si="0"/>
        <v>6.93</v>
      </c>
      <c r="F82" s="881"/>
      <c r="G82" s="459">
        <v>800</v>
      </c>
      <c r="H82" s="459">
        <v>1</v>
      </c>
      <c r="I82" s="582">
        <f>'Quadro de horas'!$E$3*H82</f>
        <v>23.915178571428569</v>
      </c>
      <c r="J82" s="446">
        <f t="shared" si="1"/>
        <v>165.73218749999998</v>
      </c>
      <c r="K82" s="458">
        <f t="shared" si="2"/>
        <v>9.4166015624999998E-3</v>
      </c>
      <c r="L82" s="503"/>
      <c r="M82" s="487">
        <v>6.93</v>
      </c>
      <c r="N82" s="514"/>
      <c r="O82" s="514"/>
      <c r="P82" s="500"/>
      <c r="Q82" s="949"/>
      <c r="R82" s="944"/>
      <c r="S82" s="923"/>
    </row>
    <row r="83" spans="1:19" x14ac:dyDescent="0.25">
      <c r="A83" s="970"/>
      <c r="B83" s="478" t="s">
        <v>286</v>
      </c>
      <c r="C83" s="461">
        <v>3.9</v>
      </c>
      <c r="D83" s="461">
        <v>4</v>
      </c>
      <c r="E83" s="454">
        <f t="shared" si="0"/>
        <v>15.6</v>
      </c>
      <c r="F83" s="462" t="s">
        <v>268</v>
      </c>
      <c r="G83" s="479">
        <v>200</v>
      </c>
      <c r="H83" s="462">
        <v>2</v>
      </c>
      <c r="I83" s="583">
        <f>'Quadro de horas'!$E$3*H83</f>
        <v>47.830357142857139</v>
      </c>
      <c r="J83" s="454">
        <f t="shared" si="1"/>
        <v>746.15357142857135</v>
      </c>
      <c r="K83" s="461">
        <f>(J83/G83)/44</f>
        <v>8.4790178571428565E-2</v>
      </c>
      <c r="L83" s="503"/>
      <c r="M83" s="489"/>
      <c r="N83" s="489"/>
      <c r="O83" s="489"/>
      <c r="P83" s="489">
        <v>15.6</v>
      </c>
      <c r="Q83" s="949"/>
      <c r="R83" s="944"/>
      <c r="S83" s="923"/>
    </row>
    <row r="84" spans="1:19" x14ac:dyDescent="0.25">
      <c r="A84" s="970"/>
      <c r="B84" s="527" t="s">
        <v>289</v>
      </c>
      <c r="C84" s="521">
        <v>3.6</v>
      </c>
      <c r="D84" s="521">
        <v>6.5</v>
      </c>
      <c r="E84" s="519">
        <f t="shared" si="0"/>
        <v>23.400000000000002</v>
      </c>
      <c r="F84" s="931" t="s">
        <v>268</v>
      </c>
      <c r="G84" s="528">
        <v>1000</v>
      </c>
      <c r="H84" s="524">
        <v>2</v>
      </c>
      <c r="I84" s="584">
        <f>'Quadro de horas'!$E$3*H84</f>
        <v>47.830357142857139</v>
      </c>
      <c r="J84" s="519">
        <f t="shared" si="1"/>
        <v>1119.2303571428572</v>
      </c>
      <c r="K84" s="521">
        <f>(J84/G84)/44</f>
        <v>2.5437053571428572E-2</v>
      </c>
      <c r="L84" s="503"/>
      <c r="M84" s="525"/>
      <c r="N84" s="525"/>
      <c r="O84" s="525">
        <v>23.400000000000002</v>
      </c>
      <c r="P84" s="525"/>
      <c r="Q84" s="949"/>
      <c r="R84" s="944"/>
      <c r="S84" s="923"/>
    </row>
    <row r="85" spans="1:19" x14ac:dyDescent="0.25">
      <c r="A85" s="970"/>
      <c r="B85" s="527" t="s">
        <v>280</v>
      </c>
      <c r="C85" s="521">
        <v>3.6</v>
      </c>
      <c r="D85" s="521">
        <v>5</v>
      </c>
      <c r="E85" s="519">
        <f t="shared" si="0"/>
        <v>18</v>
      </c>
      <c r="F85" s="932"/>
      <c r="G85" s="528">
        <v>1000</v>
      </c>
      <c r="H85" s="524">
        <v>2</v>
      </c>
      <c r="I85" s="584">
        <f>'Quadro de horas'!$E$3*H85</f>
        <v>47.830357142857139</v>
      </c>
      <c r="J85" s="519">
        <f t="shared" si="1"/>
        <v>860.94642857142844</v>
      </c>
      <c r="K85" s="521">
        <f>(J85/G85)/44</f>
        <v>1.9566964285714281E-2</v>
      </c>
      <c r="L85" s="503"/>
      <c r="M85" s="525"/>
      <c r="N85" s="525"/>
      <c r="O85" s="525">
        <v>18</v>
      </c>
      <c r="P85" s="525"/>
      <c r="Q85" s="949"/>
      <c r="R85" s="944"/>
      <c r="S85" s="923"/>
    </row>
    <row r="86" spans="1:19" x14ac:dyDescent="0.25">
      <c r="A86" s="970"/>
      <c r="B86" s="975" t="s">
        <v>281</v>
      </c>
      <c r="C86" s="458">
        <v>1.25</v>
      </c>
      <c r="D86" s="458">
        <v>26</v>
      </c>
      <c r="E86" s="915">
        <f>(C86*D86)+(C87*D87)+(C88*D88)+(C89*D89)</f>
        <v>67.45</v>
      </c>
      <c r="F86" s="880"/>
      <c r="G86" s="901">
        <v>800</v>
      </c>
      <c r="H86" s="901">
        <v>1</v>
      </c>
      <c r="I86" s="914">
        <f>'Quadro de horas'!$E$3*H86</f>
        <v>23.915178571428569</v>
      </c>
      <c r="J86" s="915">
        <f t="shared" si="1"/>
        <v>1613.078794642857</v>
      </c>
      <c r="K86" s="916">
        <f t="shared" si="2"/>
        <v>9.1652204241071414E-2</v>
      </c>
      <c r="L86" s="503"/>
      <c r="M86" s="939">
        <v>67.45</v>
      </c>
      <c r="N86" s="898"/>
      <c r="O86" s="510"/>
      <c r="P86" s="510"/>
      <c r="Q86" s="949"/>
      <c r="R86" s="944"/>
      <c r="S86" s="923"/>
    </row>
    <row r="87" spans="1:19" x14ac:dyDescent="0.25">
      <c r="A87" s="970"/>
      <c r="B87" s="975"/>
      <c r="C87" s="458">
        <v>1.2</v>
      </c>
      <c r="D87" s="458">
        <v>8.5</v>
      </c>
      <c r="E87" s="915"/>
      <c r="F87" s="917"/>
      <c r="G87" s="901"/>
      <c r="H87" s="901"/>
      <c r="I87" s="914">
        <f>'Quadro de horas'!$E$3*H87</f>
        <v>0</v>
      </c>
      <c r="J87" s="915"/>
      <c r="K87" s="916"/>
      <c r="L87" s="503"/>
      <c r="M87" s="939"/>
      <c r="N87" s="899"/>
      <c r="O87" s="500"/>
      <c r="P87" s="500"/>
      <c r="Q87" s="949"/>
      <c r="R87" s="944"/>
      <c r="S87" s="923"/>
    </row>
    <row r="88" spans="1:19" x14ac:dyDescent="0.25">
      <c r="A88" s="970"/>
      <c r="B88" s="975"/>
      <c r="C88" s="458">
        <v>3.6</v>
      </c>
      <c r="D88" s="458">
        <v>5</v>
      </c>
      <c r="E88" s="915"/>
      <c r="F88" s="917"/>
      <c r="G88" s="901"/>
      <c r="H88" s="901"/>
      <c r="I88" s="914">
        <f>'Quadro de horas'!$E$3*H88</f>
        <v>0</v>
      </c>
      <c r="J88" s="915"/>
      <c r="K88" s="916"/>
      <c r="L88" s="503"/>
      <c r="M88" s="939"/>
      <c r="N88" s="899"/>
      <c r="O88" s="500"/>
      <c r="P88" s="500"/>
      <c r="Q88" s="949"/>
      <c r="R88" s="944"/>
      <c r="S88" s="923"/>
    </row>
    <row r="89" spans="1:19" x14ac:dyDescent="0.25">
      <c r="A89" s="971"/>
      <c r="B89" s="975"/>
      <c r="C89" s="458">
        <v>1.35</v>
      </c>
      <c r="D89" s="458">
        <v>5</v>
      </c>
      <c r="E89" s="915"/>
      <c r="F89" s="881"/>
      <c r="G89" s="901"/>
      <c r="H89" s="901"/>
      <c r="I89" s="914">
        <f>'Quadro de horas'!$E$3*H89</f>
        <v>0</v>
      </c>
      <c r="J89" s="915"/>
      <c r="K89" s="916"/>
      <c r="L89" s="503"/>
      <c r="M89" s="939"/>
      <c r="N89" s="900"/>
      <c r="O89" s="511"/>
      <c r="P89" s="511"/>
      <c r="Q89" s="949"/>
      <c r="R89" s="944"/>
      <c r="S89" s="923"/>
    </row>
    <row r="90" spans="1:19" x14ac:dyDescent="0.25">
      <c r="A90" s="972" t="s">
        <v>296</v>
      </c>
      <c r="B90" s="967" t="s">
        <v>478</v>
      </c>
      <c r="C90" s="456">
        <v>1.1000000000000001</v>
      </c>
      <c r="D90" s="456">
        <v>2.1</v>
      </c>
      <c r="E90" s="935">
        <f>(C90*D90)+(C91*D91)</f>
        <v>4.7100000000000009</v>
      </c>
      <c r="F90" s="973" t="s">
        <v>270</v>
      </c>
      <c r="G90" s="973">
        <v>200</v>
      </c>
      <c r="H90" s="973">
        <v>2</v>
      </c>
      <c r="I90" s="974">
        <f>'Quadro de horas'!$E$3*H90</f>
        <v>47.830357142857139</v>
      </c>
      <c r="J90" s="935">
        <f t="shared" si="1"/>
        <v>225.28098214285717</v>
      </c>
      <c r="K90" s="913">
        <f>(J90/G90)/44</f>
        <v>2.5600111607142862E-2</v>
      </c>
      <c r="L90" s="503"/>
      <c r="M90" s="951"/>
      <c r="N90" s="946"/>
      <c r="O90" s="507"/>
      <c r="P90" s="507"/>
      <c r="Q90" s="945">
        <v>4.7100000000000009</v>
      </c>
      <c r="R90" s="944"/>
      <c r="S90" s="923"/>
    </row>
    <row r="91" spans="1:19" x14ac:dyDescent="0.25">
      <c r="A91" s="972"/>
      <c r="B91" s="967"/>
      <c r="C91" s="456">
        <v>1.2</v>
      </c>
      <c r="D91" s="456">
        <v>2</v>
      </c>
      <c r="E91" s="935"/>
      <c r="F91" s="973"/>
      <c r="G91" s="973"/>
      <c r="H91" s="973"/>
      <c r="I91" s="974">
        <f>'Quadro de horas'!$E$3*H91</f>
        <v>0</v>
      </c>
      <c r="J91" s="935"/>
      <c r="K91" s="913"/>
      <c r="L91" s="503"/>
      <c r="M91" s="951"/>
      <c r="N91" s="947"/>
      <c r="O91" s="508"/>
      <c r="P91" s="508"/>
      <c r="Q91" s="945"/>
      <c r="R91" s="944"/>
      <c r="S91" s="923"/>
    </row>
    <row r="92" spans="1:19" x14ac:dyDescent="0.25">
      <c r="A92" s="972"/>
      <c r="B92" s="967" t="s">
        <v>479</v>
      </c>
      <c r="C92" s="456">
        <v>1.1000000000000001</v>
      </c>
      <c r="D92" s="456">
        <v>2.1</v>
      </c>
      <c r="E92" s="935">
        <f>(C92*D92)+(C93*D93)</f>
        <v>7.3100000000000005</v>
      </c>
      <c r="F92" s="973"/>
      <c r="G92" s="973">
        <v>200</v>
      </c>
      <c r="H92" s="973">
        <v>2</v>
      </c>
      <c r="I92" s="974">
        <f>'Quadro de horas'!$E$3*H92</f>
        <v>47.830357142857139</v>
      </c>
      <c r="J92" s="935">
        <f t="shared" si="1"/>
        <v>349.63991071428569</v>
      </c>
      <c r="K92" s="913">
        <f>(J92/G92)/44</f>
        <v>3.9731808035714286E-2</v>
      </c>
      <c r="L92" s="503"/>
      <c r="M92" s="951"/>
      <c r="N92" s="947"/>
      <c r="O92" s="508"/>
      <c r="P92" s="508"/>
      <c r="Q92" s="945">
        <v>7.3100000000000005</v>
      </c>
      <c r="R92" s="944"/>
      <c r="S92" s="923"/>
    </row>
    <row r="93" spans="1:19" x14ac:dyDescent="0.25">
      <c r="A93" s="972"/>
      <c r="B93" s="967"/>
      <c r="C93" s="456">
        <v>2</v>
      </c>
      <c r="D93" s="456">
        <v>2.5</v>
      </c>
      <c r="E93" s="935"/>
      <c r="F93" s="973"/>
      <c r="G93" s="973"/>
      <c r="H93" s="973"/>
      <c r="I93" s="974">
        <f>'Quadro de horas'!$E$3*H93</f>
        <v>0</v>
      </c>
      <c r="J93" s="935"/>
      <c r="K93" s="913"/>
      <c r="L93" s="503"/>
      <c r="M93" s="951"/>
      <c r="N93" s="947"/>
      <c r="O93" s="508"/>
      <c r="P93" s="508"/>
      <c r="Q93" s="945"/>
      <c r="R93" s="944"/>
      <c r="S93" s="923"/>
    </row>
    <row r="94" spans="1:19" x14ac:dyDescent="0.25">
      <c r="A94" s="972"/>
      <c r="B94" s="441" t="s">
        <v>283</v>
      </c>
      <c r="C94" s="456">
        <v>1.5</v>
      </c>
      <c r="D94" s="456">
        <v>1.8</v>
      </c>
      <c r="E94" s="443">
        <f>C94*D94</f>
        <v>2.7</v>
      </c>
      <c r="F94" s="973"/>
      <c r="G94" s="463">
        <v>200</v>
      </c>
      <c r="H94" s="457">
        <v>2</v>
      </c>
      <c r="I94" s="581">
        <f>'Quadro de horas'!$E$3*H94</f>
        <v>47.830357142857139</v>
      </c>
      <c r="J94" s="443">
        <f t="shared" si="1"/>
        <v>129.14196428571429</v>
      </c>
      <c r="K94" s="456">
        <f>(J94/G94)/44</f>
        <v>1.4675223214285715E-2</v>
      </c>
      <c r="L94" s="503"/>
      <c r="M94" s="951"/>
      <c r="N94" s="948"/>
      <c r="O94" s="509"/>
      <c r="P94" s="509"/>
      <c r="Q94" s="486">
        <v>2.7</v>
      </c>
      <c r="R94" s="944"/>
      <c r="S94" s="923"/>
    </row>
    <row r="95" spans="1:19" x14ac:dyDescent="0.25">
      <c r="A95" s="972"/>
      <c r="B95" s="975" t="s">
        <v>297</v>
      </c>
      <c r="C95" s="458">
        <v>3.69</v>
      </c>
      <c r="D95" s="458">
        <v>4.45</v>
      </c>
      <c r="E95" s="915">
        <f>(C95*D95)+(C96*D96)+(C97*D97)+(C98*D98)+(C99*D99)+(C100*D100)</f>
        <v>171.57279999999997</v>
      </c>
      <c r="F95" s="880" t="s">
        <v>268</v>
      </c>
      <c r="G95" s="901">
        <v>800</v>
      </c>
      <c r="H95" s="901">
        <v>1</v>
      </c>
      <c r="I95" s="914">
        <f>'Quadro de horas'!$E$3*H95</f>
        <v>23.915178571428569</v>
      </c>
      <c r="J95" s="915">
        <f t="shared" si="1"/>
        <v>4103.1941499999994</v>
      </c>
      <c r="K95" s="916">
        <f t="shared" si="2"/>
        <v>0.23313603124999996</v>
      </c>
      <c r="L95" s="503"/>
      <c r="M95" s="939">
        <v>171.57279999999997</v>
      </c>
      <c r="N95" s="898"/>
      <c r="O95" s="510"/>
      <c r="P95" s="513"/>
      <c r="Q95" s="949"/>
      <c r="R95" s="944"/>
      <c r="S95" s="923"/>
    </row>
    <row r="96" spans="1:19" x14ac:dyDescent="0.25">
      <c r="A96" s="972"/>
      <c r="B96" s="975"/>
      <c r="C96" s="458">
        <v>6.24</v>
      </c>
      <c r="D96" s="458">
        <v>9.8000000000000007</v>
      </c>
      <c r="E96" s="915"/>
      <c r="F96" s="917"/>
      <c r="G96" s="901"/>
      <c r="H96" s="901"/>
      <c r="I96" s="914">
        <f>'Quadro de horas'!$E$3*H96</f>
        <v>0</v>
      </c>
      <c r="J96" s="915"/>
      <c r="K96" s="916"/>
      <c r="L96" s="503"/>
      <c r="M96" s="939"/>
      <c r="N96" s="899"/>
      <c r="O96" s="514"/>
      <c r="P96" s="514"/>
      <c r="Q96" s="949"/>
      <c r="R96" s="944"/>
      <c r="S96" s="923"/>
    </row>
    <row r="97" spans="1:19" ht="15" customHeight="1" x14ac:dyDescent="0.25">
      <c r="A97" s="972"/>
      <c r="B97" s="975"/>
      <c r="C97" s="458">
        <v>5.55</v>
      </c>
      <c r="D97" s="458">
        <v>9.4499999999999993</v>
      </c>
      <c r="E97" s="915"/>
      <c r="F97" s="917"/>
      <c r="G97" s="901"/>
      <c r="H97" s="901"/>
      <c r="I97" s="914">
        <f>'Quadro de horas'!$E$3*H97</f>
        <v>0</v>
      </c>
      <c r="J97" s="915"/>
      <c r="K97" s="916"/>
      <c r="L97" s="503"/>
      <c r="M97" s="939"/>
      <c r="N97" s="899"/>
      <c r="O97" s="514"/>
      <c r="P97" s="514"/>
      <c r="Q97" s="949"/>
      <c r="R97" s="944"/>
      <c r="S97" s="923"/>
    </row>
    <row r="98" spans="1:19" ht="60" customHeight="1" x14ac:dyDescent="0.25">
      <c r="A98" s="972"/>
      <c r="B98" s="975"/>
      <c r="C98" s="458">
        <v>3.35</v>
      </c>
      <c r="D98" s="458">
        <v>3.85</v>
      </c>
      <c r="E98" s="915"/>
      <c r="F98" s="917"/>
      <c r="G98" s="901"/>
      <c r="H98" s="901"/>
      <c r="I98" s="914">
        <f>'Quadro de horas'!$E$3*H98</f>
        <v>0</v>
      </c>
      <c r="J98" s="915"/>
      <c r="K98" s="916"/>
      <c r="L98" s="503"/>
      <c r="M98" s="939"/>
      <c r="N98" s="899"/>
      <c r="O98" s="514"/>
      <c r="P98" s="514"/>
      <c r="Q98" s="949"/>
      <c r="R98" s="944"/>
      <c r="S98" s="923"/>
    </row>
    <row r="99" spans="1:19" x14ac:dyDescent="0.25">
      <c r="A99" s="972"/>
      <c r="B99" s="975"/>
      <c r="C99" s="458">
        <v>2.1</v>
      </c>
      <c r="D99" s="458">
        <v>4.0430000000000001</v>
      </c>
      <c r="E99" s="915"/>
      <c r="F99" s="917"/>
      <c r="G99" s="901"/>
      <c r="H99" s="901"/>
      <c r="I99" s="914">
        <f>'Quadro de horas'!$E$3*H99</f>
        <v>0</v>
      </c>
      <c r="J99" s="915"/>
      <c r="K99" s="916"/>
      <c r="L99" s="503"/>
      <c r="M99" s="939"/>
      <c r="N99" s="899"/>
      <c r="O99" s="514"/>
      <c r="P99" s="514"/>
      <c r="Q99" s="949"/>
      <c r="R99" s="944"/>
      <c r="S99" s="923"/>
    </row>
    <row r="100" spans="1:19" x14ac:dyDescent="0.25">
      <c r="A100" s="972"/>
      <c r="B100" s="975"/>
      <c r="C100" s="458">
        <v>3.7</v>
      </c>
      <c r="D100" s="458">
        <v>5.45</v>
      </c>
      <c r="E100" s="915"/>
      <c r="F100" s="881"/>
      <c r="G100" s="901"/>
      <c r="H100" s="901"/>
      <c r="I100" s="914">
        <f>'Quadro de horas'!$E$3*H100</f>
        <v>0</v>
      </c>
      <c r="J100" s="915"/>
      <c r="K100" s="916"/>
      <c r="L100" s="503"/>
      <c r="M100" s="939"/>
      <c r="N100" s="899"/>
      <c r="O100" s="514"/>
      <c r="P100" s="514"/>
      <c r="Q100" s="949"/>
      <c r="R100" s="944"/>
      <c r="S100" s="923"/>
    </row>
    <row r="101" spans="1:19" ht="15.75" customHeight="1" x14ac:dyDescent="0.25">
      <c r="A101" s="972"/>
      <c r="B101" s="466" t="s">
        <v>285</v>
      </c>
      <c r="C101" s="458">
        <v>1.95</v>
      </c>
      <c r="D101" s="458">
        <v>3.4</v>
      </c>
      <c r="E101" s="446">
        <f t="shared" si="0"/>
        <v>6.63</v>
      </c>
      <c r="F101" s="880" t="s">
        <v>268</v>
      </c>
      <c r="G101" s="467">
        <v>800</v>
      </c>
      <c r="H101" s="459">
        <v>1</v>
      </c>
      <c r="I101" s="582">
        <f>'Quadro de horas'!$E$3*H101</f>
        <v>23.915178571428569</v>
      </c>
      <c r="J101" s="446">
        <f t="shared" si="1"/>
        <v>158.55763392857142</v>
      </c>
      <c r="K101" s="458">
        <f t="shared" si="2"/>
        <v>9.0089564732142857E-3</v>
      </c>
      <c r="L101" s="500"/>
      <c r="M101" s="487">
        <v>6.63</v>
      </c>
      <c r="N101" s="899"/>
      <c r="O101" s="514"/>
      <c r="P101" s="514"/>
      <c r="Q101" s="949"/>
      <c r="R101" s="944"/>
      <c r="S101" s="923"/>
    </row>
    <row r="102" spans="1:19" x14ac:dyDescent="0.25">
      <c r="A102" s="972"/>
      <c r="B102" s="444" t="s">
        <v>275</v>
      </c>
      <c r="C102" s="445">
        <v>3.1</v>
      </c>
      <c r="D102" s="445">
        <v>4.4000000000000004</v>
      </c>
      <c r="E102" s="446">
        <f t="shared" si="0"/>
        <v>13.640000000000002</v>
      </c>
      <c r="F102" s="881"/>
      <c r="G102" s="447">
        <v>800</v>
      </c>
      <c r="H102" s="447">
        <v>1</v>
      </c>
      <c r="I102" s="578">
        <f>'Quadro de horas'!$E$3*H102</f>
        <v>23.915178571428569</v>
      </c>
      <c r="J102" s="446">
        <f t="shared" si="1"/>
        <v>326.20303571428576</v>
      </c>
      <c r="K102" s="458">
        <f t="shared" si="2"/>
        <v>1.8534263392857145E-2</v>
      </c>
      <c r="L102" s="500"/>
      <c r="M102" s="487">
        <v>13.640000000000002</v>
      </c>
      <c r="N102" s="900"/>
      <c r="O102" s="515"/>
      <c r="P102" s="515"/>
      <c r="Q102" s="949"/>
      <c r="R102" s="944"/>
      <c r="S102" s="923"/>
    </row>
    <row r="103" spans="1:19" x14ac:dyDescent="0.25">
      <c r="A103" s="972"/>
      <c r="B103" s="452" t="s">
        <v>286</v>
      </c>
      <c r="C103" s="453">
        <v>2.1</v>
      </c>
      <c r="D103" s="453">
        <v>4.13</v>
      </c>
      <c r="E103" s="454">
        <f t="shared" si="0"/>
        <v>8.673</v>
      </c>
      <c r="F103" s="462" t="s">
        <v>268</v>
      </c>
      <c r="G103" s="455">
        <v>200</v>
      </c>
      <c r="H103" s="455">
        <v>2</v>
      </c>
      <c r="I103" s="585">
        <f>'Quadro de horas'!$E$3*H103</f>
        <v>47.830357142857139</v>
      </c>
      <c r="J103" s="454">
        <f t="shared" si="1"/>
        <v>414.83268749999996</v>
      </c>
      <c r="K103" s="461">
        <f>(J103/G103)/44</f>
        <v>4.7140078124999991E-2</v>
      </c>
      <c r="L103" s="503"/>
      <c r="M103" s="489"/>
      <c r="N103" s="489"/>
      <c r="O103" s="489"/>
      <c r="P103" s="489">
        <v>8.673</v>
      </c>
      <c r="Q103" s="949"/>
      <c r="R103" s="944"/>
      <c r="S103" s="923"/>
    </row>
    <row r="104" spans="1:19" x14ac:dyDescent="0.25">
      <c r="A104" s="972"/>
      <c r="B104" s="968" t="s">
        <v>298</v>
      </c>
      <c r="C104" s="445">
        <v>7.65</v>
      </c>
      <c r="D104" s="445">
        <v>9.6999999999999993</v>
      </c>
      <c r="E104" s="915">
        <f>(C104*D104)+(C105*D105)+(C106*D106)+(C107*D107)+(C108*D108)</f>
        <v>169.005</v>
      </c>
      <c r="F104" s="880" t="s">
        <v>268</v>
      </c>
      <c r="G104" s="919">
        <v>800</v>
      </c>
      <c r="H104" s="919">
        <v>1</v>
      </c>
      <c r="I104" s="918">
        <f>'Quadro de horas'!$E$3*H104</f>
        <v>23.915178571428569</v>
      </c>
      <c r="J104" s="915">
        <f t="shared" si="1"/>
        <v>4041.7847544642855</v>
      </c>
      <c r="K104" s="916">
        <f t="shared" si="2"/>
        <v>0.22964686104910711</v>
      </c>
      <c r="L104" s="503"/>
      <c r="M104" s="939">
        <v>169.005</v>
      </c>
      <c r="N104" s="514"/>
      <c r="O104" s="514"/>
      <c r="P104" s="500"/>
      <c r="Q104" s="949"/>
      <c r="R104" s="944"/>
      <c r="S104" s="923"/>
    </row>
    <row r="105" spans="1:19" ht="15" customHeight="1" x14ac:dyDescent="0.25">
      <c r="A105" s="972"/>
      <c r="B105" s="968"/>
      <c r="C105" s="445">
        <v>2.85</v>
      </c>
      <c r="D105" s="445">
        <v>10.8</v>
      </c>
      <c r="E105" s="915"/>
      <c r="F105" s="917"/>
      <c r="G105" s="919"/>
      <c r="H105" s="919"/>
      <c r="I105" s="918">
        <f>'Quadro de horas'!$E$3*H105</f>
        <v>0</v>
      </c>
      <c r="J105" s="915"/>
      <c r="K105" s="916"/>
      <c r="L105" s="503"/>
      <c r="M105" s="939"/>
      <c r="N105" s="514"/>
      <c r="O105" s="514"/>
      <c r="P105" s="500"/>
      <c r="Q105" s="949"/>
      <c r="R105" s="944"/>
      <c r="S105" s="923"/>
    </row>
    <row r="106" spans="1:19" ht="60" customHeight="1" x14ac:dyDescent="0.25">
      <c r="A106" s="972"/>
      <c r="B106" s="968"/>
      <c r="C106" s="445">
        <v>4.4000000000000004</v>
      </c>
      <c r="D106" s="445">
        <v>7.95</v>
      </c>
      <c r="E106" s="915"/>
      <c r="F106" s="917"/>
      <c r="G106" s="919"/>
      <c r="H106" s="919"/>
      <c r="I106" s="918">
        <f>'Quadro de horas'!$E$3*H106</f>
        <v>0</v>
      </c>
      <c r="J106" s="915"/>
      <c r="K106" s="916"/>
      <c r="L106" s="503"/>
      <c r="M106" s="939"/>
      <c r="N106" s="514"/>
      <c r="O106" s="514"/>
      <c r="P106" s="500"/>
      <c r="Q106" s="949"/>
      <c r="R106" s="944"/>
      <c r="S106" s="923"/>
    </row>
    <row r="107" spans="1:19" x14ac:dyDescent="0.25">
      <c r="A107" s="972"/>
      <c r="B107" s="968"/>
      <c r="C107" s="445">
        <v>2.85</v>
      </c>
      <c r="D107" s="445">
        <v>4.4000000000000004</v>
      </c>
      <c r="E107" s="915"/>
      <c r="F107" s="917"/>
      <c r="G107" s="919"/>
      <c r="H107" s="919"/>
      <c r="I107" s="918">
        <f>'Quadro de horas'!$E$3*H107</f>
        <v>0</v>
      </c>
      <c r="J107" s="915"/>
      <c r="K107" s="916"/>
      <c r="L107" s="503"/>
      <c r="M107" s="939"/>
      <c r="N107" s="514"/>
      <c r="O107" s="514"/>
      <c r="P107" s="500"/>
      <c r="Q107" s="949"/>
      <c r="R107" s="944"/>
      <c r="S107" s="923"/>
    </row>
    <row r="108" spans="1:19" ht="15.75" customHeight="1" x14ac:dyDescent="0.25">
      <c r="A108" s="972"/>
      <c r="B108" s="968"/>
      <c r="C108" s="445">
        <v>3.75</v>
      </c>
      <c r="D108" s="445">
        <v>4.4000000000000004</v>
      </c>
      <c r="E108" s="915"/>
      <c r="F108" s="881"/>
      <c r="G108" s="919"/>
      <c r="H108" s="919"/>
      <c r="I108" s="918">
        <f>'Quadro de horas'!$E$3*H108</f>
        <v>0</v>
      </c>
      <c r="J108" s="915"/>
      <c r="K108" s="916"/>
      <c r="L108" s="503"/>
      <c r="M108" s="939"/>
      <c r="N108" s="515"/>
      <c r="O108" s="515"/>
      <c r="P108" s="511"/>
      <c r="Q108" s="949"/>
      <c r="R108" s="944"/>
      <c r="S108" s="923"/>
    </row>
    <row r="109" spans="1:19" x14ac:dyDescent="0.25">
      <c r="A109" s="972"/>
      <c r="B109" s="517" t="s">
        <v>280</v>
      </c>
      <c r="C109" s="518">
        <v>3.4</v>
      </c>
      <c r="D109" s="518">
        <v>7</v>
      </c>
      <c r="E109" s="519">
        <f t="shared" si="0"/>
        <v>23.8</v>
      </c>
      <c r="F109" s="524" t="s">
        <v>268</v>
      </c>
      <c r="G109" s="520">
        <v>1000</v>
      </c>
      <c r="H109" s="520">
        <v>2</v>
      </c>
      <c r="I109" s="580">
        <f>'Quadro de horas'!$E$3*H109</f>
        <v>47.830357142857139</v>
      </c>
      <c r="J109" s="519">
        <f t="shared" si="1"/>
        <v>1138.3625</v>
      </c>
      <c r="K109" s="521">
        <f>(J109/G109)/44</f>
        <v>2.5871874999999999E-2</v>
      </c>
      <c r="L109" s="503"/>
      <c r="M109" s="525"/>
      <c r="N109" s="525"/>
      <c r="O109" s="525">
        <v>23.8</v>
      </c>
      <c r="P109" s="525"/>
      <c r="Q109" s="949"/>
      <c r="R109" s="944"/>
      <c r="S109" s="923"/>
    </row>
    <row r="110" spans="1:19" x14ac:dyDescent="0.25">
      <c r="A110" s="972"/>
      <c r="B110" s="968" t="s">
        <v>281</v>
      </c>
      <c r="C110" s="445">
        <v>1.4</v>
      </c>
      <c r="D110" s="445">
        <v>8</v>
      </c>
      <c r="E110" s="915">
        <f>(C110*D110)+(C111*D111)+(C112*D112)</f>
        <v>22.43</v>
      </c>
      <c r="F110" s="880" t="s">
        <v>268</v>
      </c>
      <c r="G110" s="919">
        <v>800</v>
      </c>
      <c r="H110" s="919">
        <v>1</v>
      </c>
      <c r="I110" s="918">
        <f>'Quadro de horas'!$E$3*H110</f>
        <v>23.915178571428569</v>
      </c>
      <c r="J110" s="915">
        <f t="shared" si="1"/>
        <v>536.41745535714279</v>
      </c>
      <c r="K110" s="916">
        <f t="shared" si="2"/>
        <v>3.0478264508928567E-2</v>
      </c>
      <c r="L110" s="503"/>
      <c r="M110" s="939">
        <v>22.43</v>
      </c>
      <c r="N110" s="898"/>
      <c r="O110" s="510"/>
      <c r="P110" s="510"/>
      <c r="Q110" s="949"/>
      <c r="R110" s="944"/>
      <c r="S110" s="923"/>
    </row>
    <row r="111" spans="1:19" x14ac:dyDescent="0.25">
      <c r="A111" s="972"/>
      <c r="B111" s="968"/>
      <c r="C111" s="445">
        <v>1.7</v>
      </c>
      <c r="D111" s="445">
        <v>1.1000000000000001</v>
      </c>
      <c r="E111" s="915"/>
      <c r="F111" s="917"/>
      <c r="G111" s="919"/>
      <c r="H111" s="919"/>
      <c r="I111" s="918">
        <f>'Quadro de horas'!$E$3*H111</f>
        <v>0</v>
      </c>
      <c r="J111" s="915"/>
      <c r="K111" s="916"/>
      <c r="L111" s="503"/>
      <c r="M111" s="939"/>
      <c r="N111" s="899"/>
      <c r="O111" s="500"/>
      <c r="P111" s="500"/>
      <c r="Q111" s="949"/>
      <c r="R111" s="944"/>
      <c r="S111" s="923"/>
    </row>
    <row r="112" spans="1:19" ht="15" customHeight="1" x14ac:dyDescent="0.25">
      <c r="A112" s="972"/>
      <c r="B112" s="968"/>
      <c r="C112" s="445">
        <v>1.2</v>
      </c>
      <c r="D112" s="445">
        <v>7.8</v>
      </c>
      <c r="E112" s="915"/>
      <c r="F112" s="881"/>
      <c r="G112" s="919"/>
      <c r="H112" s="919"/>
      <c r="I112" s="918">
        <f>'Quadro de horas'!$E$3*H112</f>
        <v>0</v>
      </c>
      <c r="J112" s="915"/>
      <c r="K112" s="916"/>
      <c r="L112" s="503"/>
      <c r="M112" s="939"/>
      <c r="N112" s="900"/>
      <c r="O112" s="511"/>
      <c r="P112" s="511"/>
      <c r="Q112" s="949"/>
      <c r="R112" s="944"/>
      <c r="S112" s="923"/>
    </row>
    <row r="113" spans="1:19" ht="60" customHeight="1" x14ac:dyDescent="0.25">
      <c r="A113" s="972"/>
      <c r="B113" s="517" t="s">
        <v>289</v>
      </c>
      <c r="C113" s="518">
        <v>3.6</v>
      </c>
      <c r="D113" s="518">
        <v>6.5</v>
      </c>
      <c r="E113" s="519">
        <f t="shared" si="0"/>
        <v>23.400000000000002</v>
      </c>
      <c r="F113" s="524" t="s">
        <v>268</v>
      </c>
      <c r="G113" s="520">
        <v>1000</v>
      </c>
      <c r="H113" s="520">
        <v>2</v>
      </c>
      <c r="I113" s="580">
        <f>'Quadro de horas'!$E$3*H113</f>
        <v>47.830357142857139</v>
      </c>
      <c r="J113" s="519">
        <f t="shared" si="1"/>
        <v>1119.2303571428572</v>
      </c>
      <c r="K113" s="521">
        <f>(J113/G113)/44</f>
        <v>2.5437053571428572E-2</v>
      </c>
      <c r="L113" s="503"/>
      <c r="M113" s="525"/>
      <c r="N113" s="525"/>
      <c r="O113" s="525">
        <v>23.400000000000002</v>
      </c>
      <c r="P113" s="525"/>
      <c r="Q113" s="949"/>
      <c r="R113" s="944"/>
      <c r="S113" s="923"/>
    </row>
    <row r="114" spans="1:19" x14ac:dyDescent="0.25">
      <c r="A114" s="972" t="s">
        <v>299</v>
      </c>
      <c r="B114" s="967" t="s">
        <v>478</v>
      </c>
      <c r="C114" s="456">
        <v>1.1000000000000001</v>
      </c>
      <c r="D114" s="456">
        <v>2.4</v>
      </c>
      <c r="E114" s="935">
        <f>(C114*D114)+(C115*D115)</f>
        <v>5.3195999999999994</v>
      </c>
      <c r="F114" s="933" t="s">
        <v>270</v>
      </c>
      <c r="G114" s="933">
        <v>200</v>
      </c>
      <c r="H114" s="933">
        <v>2</v>
      </c>
      <c r="I114" s="934">
        <f>'Quadro de horas'!$E$3*H114</f>
        <v>47.830357142857139</v>
      </c>
      <c r="J114" s="935">
        <f t="shared" si="1"/>
        <v>254.43836785714282</v>
      </c>
      <c r="K114" s="913">
        <f>(J114/G114)/44</f>
        <v>2.8913450892857139E-2</v>
      </c>
      <c r="L114" s="503"/>
      <c r="M114" s="951"/>
      <c r="N114" s="946"/>
      <c r="O114" s="507"/>
      <c r="P114" s="507"/>
      <c r="Q114" s="945">
        <v>5.3195999999999994</v>
      </c>
      <c r="R114" s="944"/>
      <c r="S114" s="923"/>
    </row>
    <row r="115" spans="1:19" ht="15.75" customHeight="1" x14ac:dyDescent="0.25">
      <c r="A115" s="972"/>
      <c r="B115" s="967"/>
      <c r="C115" s="456">
        <v>1.32</v>
      </c>
      <c r="D115" s="456">
        <v>2.0299999999999998</v>
      </c>
      <c r="E115" s="935"/>
      <c r="F115" s="933"/>
      <c r="G115" s="933"/>
      <c r="H115" s="933"/>
      <c r="I115" s="934">
        <f>'Quadro de horas'!$E$3*H115</f>
        <v>0</v>
      </c>
      <c r="J115" s="935"/>
      <c r="K115" s="913"/>
      <c r="L115" s="503"/>
      <c r="M115" s="951"/>
      <c r="N115" s="947"/>
      <c r="O115" s="508"/>
      <c r="P115" s="508"/>
      <c r="Q115" s="945"/>
      <c r="R115" s="944"/>
      <c r="S115" s="923"/>
    </row>
    <row r="116" spans="1:19" x14ac:dyDescent="0.25">
      <c r="A116" s="972"/>
      <c r="B116" s="967" t="s">
        <v>479</v>
      </c>
      <c r="C116" s="456">
        <v>1.1000000000000001</v>
      </c>
      <c r="D116" s="456">
        <v>2.1</v>
      </c>
      <c r="E116" s="935">
        <f>(C116*D116)+(C117*D117)</f>
        <v>7.41</v>
      </c>
      <c r="F116" s="933"/>
      <c r="G116" s="933">
        <v>200</v>
      </c>
      <c r="H116" s="933">
        <v>2</v>
      </c>
      <c r="I116" s="934">
        <f>'Quadro de horas'!$E$3*H116</f>
        <v>47.830357142857139</v>
      </c>
      <c r="J116" s="935">
        <f t="shared" si="1"/>
        <v>354.42294642857138</v>
      </c>
      <c r="K116" s="913">
        <f>(J116/G116)/44</f>
        <v>4.0275334821428567E-2</v>
      </c>
      <c r="L116" s="503"/>
      <c r="M116" s="951"/>
      <c r="N116" s="947"/>
      <c r="O116" s="508"/>
      <c r="P116" s="508"/>
      <c r="Q116" s="945">
        <v>7.41</v>
      </c>
      <c r="R116" s="944"/>
      <c r="S116" s="923"/>
    </row>
    <row r="117" spans="1:19" x14ac:dyDescent="0.25">
      <c r="A117" s="972"/>
      <c r="B117" s="967"/>
      <c r="C117" s="456">
        <v>2</v>
      </c>
      <c r="D117" s="456">
        <v>2.5499999999999998</v>
      </c>
      <c r="E117" s="935"/>
      <c r="F117" s="933"/>
      <c r="G117" s="933"/>
      <c r="H117" s="933"/>
      <c r="I117" s="934">
        <f>'Quadro de horas'!$E$3*H117</f>
        <v>0</v>
      </c>
      <c r="J117" s="935"/>
      <c r="K117" s="913"/>
      <c r="L117" s="503"/>
      <c r="M117" s="951"/>
      <c r="N117" s="947"/>
      <c r="O117" s="508"/>
      <c r="P117" s="508"/>
      <c r="Q117" s="945"/>
      <c r="R117" s="944"/>
      <c r="S117" s="923"/>
    </row>
    <row r="118" spans="1:19" x14ac:dyDescent="0.25">
      <c r="A118" s="972"/>
      <c r="B118" s="441" t="s">
        <v>283</v>
      </c>
      <c r="C118" s="456">
        <v>1.46</v>
      </c>
      <c r="D118" s="456">
        <v>1.85</v>
      </c>
      <c r="E118" s="443">
        <f t="shared" si="0"/>
        <v>2.7010000000000001</v>
      </c>
      <c r="F118" s="933"/>
      <c r="G118" s="442">
        <v>200</v>
      </c>
      <c r="H118" s="442">
        <v>2</v>
      </c>
      <c r="I118" s="577">
        <f>'Quadro de horas'!$E$3*H118</f>
        <v>47.830357142857139</v>
      </c>
      <c r="J118" s="443">
        <f t="shared" si="1"/>
        <v>129.18979464285712</v>
      </c>
      <c r="K118" s="456">
        <f>(J118/G118)/44</f>
        <v>1.4680658482142854E-2</v>
      </c>
      <c r="L118" s="503"/>
      <c r="M118" s="951"/>
      <c r="N118" s="948"/>
      <c r="O118" s="509"/>
      <c r="P118" s="509"/>
      <c r="Q118" s="486">
        <v>2.7010000000000001</v>
      </c>
      <c r="R118" s="944"/>
      <c r="S118" s="923"/>
    </row>
    <row r="119" spans="1:19" ht="15" customHeight="1" x14ac:dyDescent="0.25">
      <c r="A119" s="972"/>
      <c r="B119" s="919" t="s">
        <v>300</v>
      </c>
      <c r="C119" s="445">
        <v>4.5</v>
      </c>
      <c r="D119" s="445">
        <v>6.5</v>
      </c>
      <c r="E119" s="915">
        <f>(C119*D119)+(C120*D120)+(C121*D121)+(C122*D122)+(C123*D123)+(C124*C124)</f>
        <v>159.01749999999998</v>
      </c>
      <c r="F119" s="925" t="s">
        <v>268</v>
      </c>
      <c r="G119" s="919">
        <v>800</v>
      </c>
      <c r="H119" s="919">
        <v>1</v>
      </c>
      <c r="I119" s="918">
        <f>'Quadro de horas'!$E$3*H119</f>
        <v>23.915178571428569</v>
      </c>
      <c r="J119" s="915">
        <f t="shared" si="1"/>
        <v>3802.9319084821423</v>
      </c>
      <c r="K119" s="916">
        <f t="shared" si="2"/>
        <v>0.21607567661830354</v>
      </c>
      <c r="L119" s="503"/>
      <c r="M119" s="939">
        <v>159.01749999999998</v>
      </c>
      <c r="N119" s="898"/>
      <c r="O119" s="510"/>
      <c r="P119" s="510"/>
      <c r="Q119" s="949"/>
      <c r="R119" s="944"/>
      <c r="S119" s="923"/>
    </row>
    <row r="120" spans="1:19" ht="60" customHeight="1" x14ac:dyDescent="0.25">
      <c r="A120" s="972"/>
      <c r="B120" s="919"/>
      <c r="C120" s="445">
        <v>7.05</v>
      </c>
      <c r="D120" s="445">
        <v>11</v>
      </c>
      <c r="E120" s="915"/>
      <c r="F120" s="926"/>
      <c r="G120" s="919"/>
      <c r="H120" s="919"/>
      <c r="I120" s="918">
        <f>'Quadro de horas'!$E$3*H120</f>
        <v>0</v>
      </c>
      <c r="J120" s="915"/>
      <c r="K120" s="916"/>
      <c r="L120" s="503"/>
      <c r="M120" s="939"/>
      <c r="N120" s="899"/>
      <c r="O120" s="500"/>
      <c r="P120" s="500"/>
      <c r="Q120" s="949"/>
      <c r="R120" s="944"/>
      <c r="S120" s="923"/>
    </row>
    <row r="121" spans="1:19" x14ac:dyDescent="0.25">
      <c r="A121" s="972"/>
      <c r="B121" s="919"/>
      <c r="C121" s="445">
        <v>3</v>
      </c>
      <c r="D121" s="445">
        <v>3.35</v>
      </c>
      <c r="E121" s="915"/>
      <c r="F121" s="926"/>
      <c r="G121" s="919"/>
      <c r="H121" s="919"/>
      <c r="I121" s="918">
        <f>'Quadro de horas'!$E$3*H121</f>
        <v>0</v>
      </c>
      <c r="J121" s="915"/>
      <c r="K121" s="916"/>
      <c r="L121" s="503"/>
      <c r="M121" s="939"/>
      <c r="N121" s="899"/>
      <c r="O121" s="500"/>
      <c r="P121" s="500"/>
      <c r="Q121" s="949"/>
      <c r="R121" s="944"/>
      <c r="S121" s="923"/>
    </row>
    <row r="122" spans="1:19" ht="15.75" customHeight="1" x14ac:dyDescent="0.25">
      <c r="A122" s="972"/>
      <c r="B122" s="919"/>
      <c r="C122" s="445">
        <v>2.4500000000000002</v>
      </c>
      <c r="D122" s="445">
        <v>3.35</v>
      </c>
      <c r="E122" s="915"/>
      <c r="F122" s="926"/>
      <c r="G122" s="919"/>
      <c r="H122" s="919"/>
      <c r="I122" s="918">
        <f>'Quadro de horas'!$E$3*H122</f>
        <v>0</v>
      </c>
      <c r="J122" s="915"/>
      <c r="K122" s="916"/>
      <c r="L122" s="503"/>
      <c r="M122" s="939"/>
      <c r="N122" s="899"/>
      <c r="O122" s="500"/>
      <c r="P122" s="500"/>
      <c r="Q122" s="949"/>
      <c r="R122" s="944"/>
      <c r="S122" s="923"/>
    </row>
    <row r="123" spans="1:19" x14ac:dyDescent="0.25">
      <c r="A123" s="972"/>
      <c r="B123" s="919"/>
      <c r="C123" s="445">
        <v>3.05</v>
      </c>
      <c r="D123" s="445">
        <v>6.4</v>
      </c>
      <c r="E123" s="915"/>
      <c r="F123" s="926"/>
      <c r="G123" s="919"/>
      <c r="H123" s="919"/>
      <c r="I123" s="918">
        <f>'Quadro de horas'!$E$3*H123</f>
        <v>0</v>
      </c>
      <c r="J123" s="915"/>
      <c r="K123" s="916"/>
      <c r="L123" s="503"/>
      <c r="M123" s="939"/>
      <c r="N123" s="899"/>
      <c r="O123" s="500"/>
      <c r="P123" s="500"/>
      <c r="Q123" s="949"/>
      <c r="R123" s="944"/>
      <c r="S123" s="923"/>
    </row>
    <row r="124" spans="1:19" x14ac:dyDescent="0.25">
      <c r="A124" s="972"/>
      <c r="B124" s="919"/>
      <c r="C124" s="445">
        <v>3.8</v>
      </c>
      <c r="D124" s="445">
        <v>4.8</v>
      </c>
      <c r="E124" s="915"/>
      <c r="F124" s="926"/>
      <c r="G124" s="919"/>
      <c r="H124" s="919"/>
      <c r="I124" s="918">
        <f>'Quadro de horas'!$E$3*H124</f>
        <v>0</v>
      </c>
      <c r="J124" s="915"/>
      <c r="K124" s="916"/>
      <c r="L124" s="503"/>
      <c r="M124" s="939"/>
      <c r="N124" s="899"/>
      <c r="O124" s="500"/>
      <c r="P124" s="500"/>
      <c r="Q124" s="949"/>
      <c r="R124" s="944"/>
      <c r="S124" s="923"/>
    </row>
    <row r="125" spans="1:19" x14ac:dyDescent="0.25">
      <c r="A125" s="972"/>
      <c r="B125" s="444" t="s">
        <v>285</v>
      </c>
      <c r="C125" s="445">
        <v>2.0299999999999998</v>
      </c>
      <c r="D125" s="445">
        <v>3.01</v>
      </c>
      <c r="E125" s="446">
        <f t="shared" si="0"/>
        <v>6.1102999999999987</v>
      </c>
      <c r="F125" s="926"/>
      <c r="G125" s="447">
        <v>800</v>
      </c>
      <c r="H125" s="447">
        <v>1</v>
      </c>
      <c r="I125" s="578">
        <f>'Quadro de horas'!$E$3*H125</f>
        <v>23.915178571428569</v>
      </c>
      <c r="J125" s="446">
        <f t="shared" si="1"/>
        <v>146.12891562499996</v>
      </c>
      <c r="K125" s="458">
        <f t="shared" si="2"/>
        <v>8.3027792968749983E-3</v>
      </c>
      <c r="L125" s="503"/>
      <c r="M125" s="487">
        <v>6.1102999999999987</v>
      </c>
      <c r="N125" s="899"/>
      <c r="O125" s="500"/>
      <c r="P125" s="500"/>
      <c r="Q125" s="949"/>
      <c r="R125" s="944"/>
      <c r="S125" s="923"/>
    </row>
    <row r="126" spans="1:19" x14ac:dyDescent="0.25">
      <c r="A126" s="972"/>
      <c r="B126" s="444" t="s">
        <v>275</v>
      </c>
      <c r="C126" s="445">
        <v>2.8</v>
      </c>
      <c r="D126" s="445">
        <v>4</v>
      </c>
      <c r="E126" s="446">
        <f t="shared" si="0"/>
        <v>11.2</v>
      </c>
      <c r="F126" s="927"/>
      <c r="G126" s="447">
        <v>800</v>
      </c>
      <c r="H126" s="447">
        <v>1</v>
      </c>
      <c r="I126" s="578">
        <f>'Quadro de horas'!$E$3*H126</f>
        <v>23.915178571428569</v>
      </c>
      <c r="J126" s="446">
        <f t="shared" si="1"/>
        <v>267.84999999999997</v>
      </c>
      <c r="K126" s="458">
        <f t="shared" si="2"/>
        <v>1.5218749999999998E-2</v>
      </c>
      <c r="L126" s="503"/>
      <c r="M126" s="487">
        <v>11.2</v>
      </c>
      <c r="N126" s="900"/>
      <c r="O126" s="511"/>
      <c r="P126" s="511"/>
      <c r="Q126" s="949"/>
      <c r="R126" s="944"/>
      <c r="S126" s="923"/>
    </row>
    <row r="127" spans="1:19" x14ac:dyDescent="0.25">
      <c r="A127" s="972"/>
      <c r="B127" s="452" t="s">
        <v>286</v>
      </c>
      <c r="C127" s="453">
        <v>2</v>
      </c>
      <c r="D127" s="453">
        <v>4</v>
      </c>
      <c r="E127" s="454">
        <f t="shared" si="0"/>
        <v>8</v>
      </c>
      <c r="F127" s="485"/>
      <c r="G127" s="455">
        <v>200</v>
      </c>
      <c r="H127" s="455">
        <v>2</v>
      </c>
      <c r="I127" s="585">
        <f>'Quadro de horas'!$E$3*H127</f>
        <v>47.830357142857139</v>
      </c>
      <c r="J127" s="454">
        <f t="shared" si="1"/>
        <v>382.64285714285711</v>
      </c>
      <c r="K127" s="461">
        <f>(J127/G127)/44</f>
        <v>4.3482142857142851E-2</v>
      </c>
      <c r="L127" s="503"/>
      <c r="M127" s="489"/>
      <c r="N127" s="489"/>
      <c r="O127" s="489"/>
      <c r="P127" s="489">
        <v>8</v>
      </c>
      <c r="Q127" s="949"/>
      <c r="R127" s="944"/>
      <c r="S127" s="923"/>
    </row>
    <row r="128" spans="1:19" x14ac:dyDescent="0.25">
      <c r="A128" s="972"/>
      <c r="B128" s="968" t="s">
        <v>489</v>
      </c>
      <c r="C128" s="445">
        <v>5.25</v>
      </c>
      <c r="D128" s="445">
        <v>5.3</v>
      </c>
      <c r="E128" s="915">
        <f>(C128*D128)+(C129*D129)+(C130*D130)+(C131*D131)+(C132*D132)+(C133*D133)+(C134*D134)+(C135*D135)+(C136*D136)</f>
        <v>170.93</v>
      </c>
      <c r="F128" s="925" t="s">
        <v>268</v>
      </c>
      <c r="G128" s="919">
        <v>800</v>
      </c>
      <c r="H128" s="919">
        <v>1</v>
      </c>
      <c r="I128" s="918">
        <f>'Quadro de horas'!$E$3*H128</f>
        <v>23.915178571428569</v>
      </c>
      <c r="J128" s="915">
        <f t="shared" si="1"/>
        <v>4087.8214732142856</v>
      </c>
      <c r="K128" s="916">
        <f>(J128/G128)/22</f>
        <v>0.23226258370535716</v>
      </c>
      <c r="L128" s="503"/>
      <c r="M128" s="939">
        <v>170.93</v>
      </c>
      <c r="N128" s="898"/>
      <c r="O128" s="510"/>
      <c r="P128" s="510"/>
      <c r="Q128" s="949"/>
      <c r="R128" s="944"/>
      <c r="S128" s="923"/>
    </row>
    <row r="129" spans="1:19" x14ac:dyDescent="0.25">
      <c r="A129" s="972"/>
      <c r="B129" s="968"/>
      <c r="C129" s="445">
        <v>3.5</v>
      </c>
      <c r="D129" s="445">
        <v>4.5999999999999996</v>
      </c>
      <c r="E129" s="915"/>
      <c r="F129" s="926"/>
      <c r="G129" s="919"/>
      <c r="H129" s="919"/>
      <c r="I129" s="918">
        <f>'Quadro de horas'!$E$3*H129</f>
        <v>0</v>
      </c>
      <c r="J129" s="915"/>
      <c r="K129" s="916"/>
      <c r="L129" s="503"/>
      <c r="M129" s="939"/>
      <c r="N129" s="899"/>
      <c r="O129" s="500"/>
      <c r="P129" s="500"/>
      <c r="Q129" s="949"/>
      <c r="R129" s="944"/>
      <c r="S129" s="923"/>
    </row>
    <row r="130" spans="1:19" x14ac:dyDescent="0.25">
      <c r="A130" s="972"/>
      <c r="B130" s="968"/>
      <c r="C130" s="445">
        <v>3.8</v>
      </c>
      <c r="D130" s="445">
        <v>4</v>
      </c>
      <c r="E130" s="915"/>
      <c r="F130" s="926"/>
      <c r="G130" s="919"/>
      <c r="H130" s="919"/>
      <c r="I130" s="918">
        <f>'Quadro de horas'!$E$3*H130</f>
        <v>0</v>
      </c>
      <c r="J130" s="915"/>
      <c r="K130" s="916"/>
      <c r="L130" s="503"/>
      <c r="M130" s="939"/>
      <c r="N130" s="899"/>
      <c r="O130" s="500"/>
      <c r="P130" s="500"/>
      <c r="Q130" s="949"/>
      <c r="R130" s="944"/>
      <c r="S130" s="923"/>
    </row>
    <row r="131" spans="1:19" x14ac:dyDescent="0.25">
      <c r="A131" s="972"/>
      <c r="B131" s="968"/>
      <c r="C131" s="445">
        <v>3.9</v>
      </c>
      <c r="D131" s="445">
        <v>4.5</v>
      </c>
      <c r="E131" s="915"/>
      <c r="F131" s="926"/>
      <c r="G131" s="919"/>
      <c r="H131" s="919"/>
      <c r="I131" s="918">
        <f>'Quadro de horas'!$E$3*H131</f>
        <v>0</v>
      </c>
      <c r="J131" s="915"/>
      <c r="K131" s="916"/>
      <c r="L131" s="503"/>
      <c r="M131" s="939"/>
      <c r="N131" s="899"/>
      <c r="O131" s="500"/>
      <c r="P131" s="500"/>
      <c r="Q131" s="949"/>
      <c r="R131" s="944"/>
      <c r="S131" s="923"/>
    </row>
    <row r="132" spans="1:19" x14ac:dyDescent="0.25">
      <c r="A132" s="972"/>
      <c r="B132" s="968"/>
      <c r="C132" s="445">
        <v>3.25</v>
      </c>
      <c r="D132" s="445">
        <v>4</v>
      </c>
      <c r="E132" s="915"/>
      <c r="F132" s="926"/>
      <c r="G132" s="919"/>
      <c r="H132" s="919"/>
      <c r="I132" s="918">
        <f>'Quadro de horas'!$E$3*H132</f>
        <v>0</v>
      </c>
      <c r="J132" s="915"/>
      <c r="K132" s="916"/>
      <c r="L132" s="503"/>
      <c r="M132" s="939"/>
      <c r="N132" s="899"/>
      <c r="O132" s="500"/>
      <c r="P132" s="500"/>
      <c r="Q132" s="949"/>
      <c r="R132" s="944"/>
      <c r="S132" s="923"/>
    </row>
    <row r="133" spans="1:19" x14ac:dyDescent="0.25">
      <c r="A133" s="972"/>
      <c r="B133" s="968"/>
      <c r="C133" s="445">
        <v>3.25</v>
      </c>
      <c r="D133" s="445">
        <v>4.3</v>
      </c>
      <c r="E133" s="915"/>
      <c r="F133" s="926"/>
      <c r="G133" s="919"/>
      <c r="H133" s="919"/>
      <c r="I133" s="918">
        <f>'Quadro de horas'!$E$3*H133</f>
        <v>0</v>
      </c>
      <c r="J133" s="915"/>
      <c r="K133" s="916"/>
      <c r="L133" s="503"/>
      <c r="M133" s="939"/>
      <c r="N133" s="899"/>
      <c r="O133" s="500"/>
      <c r="P133" s="500"/>
      <c r="Q133" s="949"/>
      <c r="R133" s="944"/>
      <c r="S133" s="923"/>
    </row>
    <row r="134" spans="1:19" x14ac:dyDescent="0.25">
      <c r="A134" s="972"/>
      <c r="B134" s="968"/>
      <c r="C134" s="445">
        <v>3.2</v>
      </c>
      <c r="D134" s="445">
        <v>3.2</v>
      </c>
      <c r="E134" s="915"/>
      <c r="F134" s="926"/>
      <c r="G134" s="919"/>
      <c r="H134" s="919"/>
      <c r="I134" s="918">
        <f>'Quadro de horas'!$E$3*H134</f>
        <v>0</v>
      </c>
      <c r="J134" s="915"/>
      <c r="K134" s="916"/>
      <c r="L134" s="503"/>
      <c r="M134" s="939"/>
      <c r="N134" s="899"/>
      <c r="O134" s="500"/>
      <c r="P134" s="500"/>
      <c r="Q134" s="949"/>
      <c r="R134" s="944"/>
      <c r="S134" s="923"/>
    </row>
    <row r="135" spans="1:19" x14ac:dyDescent="0.25">
      <c r="A135" s="972"/>
      <c r="B135" s="968"/>
      <c r="C135" s="445">
        <v>3.2</v>
      </c>
      <c r="D135" s="445">
        <v>3.2</v>
      </c>
      <c r="E135" s="915"/>
      <c r="F135" s="926"/>
      <c r="G135" s="919"/>
      <c r="H135" s="919"/>
      <c r="I135" s="918">
        <f>'Quadro de horas'!$E$3*H135</f>
        <v>0</v>
      </c>
      <c r="J135" s="915"/>
      <c r="K135" s="916"/>
      <c r="L135" s="503"/>
      <c r="M135" s="939"/>
      <c r="N135" s="899"/>
      <c r="O135" s="500"/>
      <c r="P135" s="500"/>
      <c r="Q135" s="949"/>
      <c r="R135" s="944"/>
      <c r="S135" s="923"/>
    </row>
    <row r="136" spans="1:19" x14ac:dyDescent="0.25">
      <c r="A136" s="972"/>
      <c r="B136" s="968"/>
      <c r="C136" s="445">
        <v>6.5</v>
      </c>
      <c r="D136" s="445">
        <v>7.2</v>
      </c>
      <c r="E136" s="915"/>
      <c r="F136" s="927"/>
      <c r="G136" s="919"/>
      <c r="H136" s="919"/>
      <c r="I136" s="918">
        <f>'Quadro de horas'!$E$3*H136</f>
        <v>0</v>
      </c>
      <c r="J136" s="915"/>
      <c r="K136" s="916"/>
      <c r="L136" s="503"/>
      <c r="M136" s="939"/>
      <c r="N136" s="900"/>
      <c r="O136" s="511"/>
      <c r="P136" s="511"/>
      <c r="Q136" s="949"/>
      <c r="R136" s="944"/>
      <c r="S136" s="923"/>
    </row>
    <row r="137" spans="1:19" x14ac:dyDescent="0.25">
      <c r="A137" s="972"/>
      <c r="B137" s="517" t="s">
        <v>280</v>
      </c>
      <c r="C137" s="518">
        <v>3.6</v>
      </c>
      <c r="D137" s="518">
        <v>6.52</v>
      </c>
      <c r="E137" s="519">
        <f t="shared" ref="E137:E165" si="4">C137*D137</f>
        <v>23.471999999999998</v>
      </c>
      <c r="F137" s="520" t="s">
        <v>268</v>
      </c>
      <c r="G137" s="520">
        <v>1000</v>
      </c>
      <c r="H137" s="520">
        <v>2</v>
      </c>
      <c r="I137" s="580">
        <f>'Quadro de horas'!$E$3*H137</f>
        <v>47.830357142857139</v>
      </c>
      <c r="J137" s="519">
        <f t="shared" ref="J137:J166" si="5">E137*I137</f>
        <v>1122.6741428571427</v>
      </c>
      <c r="K137" s="521">
        <f>(J137/G137)/44</f>
        <v>2.5515321428571425E-2</v>
      </c>
      <c r="L137" s="503"/>
      <c r="M137" s="525"/>
      <c r="N137" s="525"/>
      <c r="O137" s="525">
        <v>23.471999999999998</v>
      </c>
      <c r="P137" s="525"/>
      <c r="Q137" s="949"/>
      <c r="R137" s="944"/>
      <c r="S137" s="923"/>
    </row>
    <row r="138" spans="1:19" x14ac:dyDescent="0.25">
      <c r="A138" s="972"/>
      <c r="B138" s="968" t="s">
        <v>281</v>
      </c>
      <c r="C138" s="445">
        <v>1.2</v>
      </c>
      <c r="D138" s="445">
        <v>7.7</v>
      </c>
      <c r="E138" s="915">
        <f>(C138*D138)+(C139*D139)+(C140*D140)</f>
        <v>25.68</v>
      </c>
      <c r="F138" s="925" t="s">
        <v>268</v>
      </c>
      <c r="G138" s="919">
        <v>800</v>
      </c>
      <c r="H138" s="919">
        <v>1</v>
      </c>
      <c r="I138" s="918">
        <f>'Quadro de horas'!$E$3*H138</f>
        <v>23.915178571428569</v>
      </c>
      <c r="J138" s="915">
        <f t="shared" si="5"/>
        <v>614.14178571428567</v>
      </c>
      <c r="K138" s="916">
        <f t="shared" ref="K138:K161" si="6">(J138/G138)/22</f>
        <v>3.4894419642857138E-2</v>
      </c>
      <c r="L138" s="503"/>
      <c r="M138" s="939">
        <v>25.68</v>
      </c>
      <c r="N138" s="898"/>
      <c r="O138" s="510"/>
      <c r="P138" s="510"/>
      <c r="Q138" s="949"/>
      <c r="R138" s="944"/>
      <c r="S138" s="923"/>
    </row>
    <row r="139" spans="1:19" x14ac:dyDescent="0.25">
      <c r="A139" s="972"/>
      <c r="B139" s="968"/>
      <c r="C139" s="445">
        <v>1.6</v>
      </c>
      <c r="D139" s="445">
        <v>5.9</v>
      </c>
      <c r="E139" s="915"/>
      <c r="F139" s="926"/>
      <c r="G139" s="919"/>
      <c r="H139" s="919"/>
      <c r="I139" s="918">
        <f>'Quadro de horas'!$E$3*H139</f>
        <v>0</v>
      </c>
      <c r="J139" s="915"/>
      <c r="K139" s="916"/>
      <c r="L139" s="503"/>
      <c r="M139" s="939"/>
      <c r="N139" s="899"/>
      <c r="O139" s="500"/>
      <c r="P139" s="500"/>
      <c r="Q139" s="949"/>
      <c r="R139" s="944"/>
      <c r="S139" s="923"/>
    </row>
    <row r="140" spans="1:19" x14ac:dyDescent="0.25">
      <c r="A140" s="972"/>
      <c r="B140" s="968"/>
      <c r="C140" s="445">
        <v>1.4</v>
      </c>
      <c r="D140" s="445">
        <v>5</v>
      </c>
      <c r="E140" s="915"/>
      <c r="F140" s="927"/>
      <c r="G140" s="919"/>
      <c r="H140" s="919"/>
      <c r="I140" s="918">
        <f>'Quadro de horas'!$E$3*H140</f>
        <v>0</v>
      </c>
      <c r="J140" s="915"/>
      <c r="K140" s="916"/>
      <c r="L140" s="503"/>
      <c r="M140" s="939"/>
      <c r="N140" s="900"/>
      <c r="O140" s="511"/>
      <c r="P140" s="511"/>
      <c r="Q140" s="949"/>
      <c r="R140" s="944"/>
      <c r="S140" s="923"/>
    </row>
    <row r="141" spans="1:19" x14ac:dyDescent="0.25">
      <c r="A141" s="972"/>
      <c r="B141" s="517" t="s">
        <v>289</v>
      </c>
      <c r="C141" s="518">
        <v>3.6</v>
      </c>
      <c r="D141" s="518">
        <v>6.5</v>
      </c>
      <c r="E141" s="519">
        <f t="shared" si="4"/>
        <v>23.400000000000002</v>
      </c>
      <c r="F141" s="520" t="s">
        <v>268</v>
      </c>
      <c r="G141" s="520">
        <v>1000</v>
      </c>
      <c r="H141" s="520">
        <v>2</v>
      </c>
      <c r="I141" s="580">
        <f>'Quadro de horas'!$E$3*H141</f>
        <v>47.830357142857139</v>
      </c>
      <c r="J141" s="519">
        <f t="shared" si="5"/>
        <v>1119.2303571428572</v>
      </c>
      <c r="K141" s="521">
        <f>(J141/G141)/44</f>
        <v>2.5437053571428572E-2</v>
      </c>
      <c r="L141" s="503"/>
      <c r="M141" s="525"/>
      <c r="N141" s="525"/>
      <c r="O141" s="525">
        <v>23.400000000000002</v>
      </c>
      <c r="P141" s="525"/>
      <c r="Q141" s="949"/>
      <c r="R141" s="944"/>
      <c r="S141" s="923"/>
    </row>
    <row r="142" spans="1:19" x14ac:dyDescent="0.25">
      <c r="A142" s="969" t="s">
        <v>301</v>
      </c>
      <c r="B142" s="967" t="s">
        <v>478</v>
      </c>
      <c r="C142" s="456">
        <v>1.1000000000000001</v>
      </c>
      <c r="D142" s="456">
        <v>2.1</v>
      </c>
      <c r="E142" s="935">
        <f>(C142*D142)+(C143*D143)</f>
        <v>4.7100000000000009</v>
      </c>
      <c r="F142" s="933" t="s">
        <v>491</v>
      </c>
      <c r="G142" s="933">
        <v>200</v>
      </c>
      <c r="H142" s="933">
        <v>2</v>
      </c>
      <c r="I142" s="934">
        <f>'Quadro de horas'!$E$3*H142</f>
        <v>47.830357142857139</v>
      </c>
      <c r="J142" s="935">
        <f t="shared" si="5"/>
        <v>225.28098214285717</v>
      </c>
      <c r="K142" s="913">
        <f>(J142/G142)/44</f>
        <v>2.5600111607142862E-2</v>
      </c>
      <c r="L142" s="503"/>
      <c r="M142" s="936"/>
      <c r="N142" s="946"/>
      <c r="O142" s="507"/>
      <c r="P142" s="507"/>
      <c r="Q142" s="945">
        <v>4.7100000000000009</v>
      </c>
      <c r="R142" s="944"/>
      <c r="S142" s="923"/>
    </row>
    <row r="143" spans="1:19" x14ac:dyDescent="0.25">
      <c r="A143" s="970"/>
      <c r="B143" s="967"/>
      <c r="C143" s="456">
        <v>1.2</v>
      </c>
      <c r="D143" s="456">
        <v>2</v>
      </c>
      <c r="E143" s="935"/>
      <c r="F143" s="933"/>
      <c r="G143" s="933"/>
      <c r="H143" s="933"/>
      <c r="I143" s="934">
        <f>'Quadro de horas'!$E$3*H143</f>
        <v>0</v>
      </c>
      <c r="J143" s="935"/>
      <c r="K143" s="913"/>
      <c r="L143" s="503"/>
      <c r="M143" s="937"/>
      <c r="N143" s="947"/>
      <c r="O143" s="508"/>
      <c r="P143" s="508"/>
      <c r="Q143" s="945"/>
      <c r="R143" s="944"/>
      <c r="S143" s="923"/>
    </row>
    <row r="144" spans="1:19" x14ac:dyDescent="0.25">
      <c r="A144" s="970"/>
      <c r="B144" s="967" t="s">
        <v>479</v>
      </c>
      <c r="C144" s="456">
        <v>1.1000000000000001</v>
      </c>
      <c r="D144" s="456">
        <v>2.1</v>
      </c>
      <c r="E144" s="935">
        <f>(C144*D144)+(C145*D145)</f>
        <v>7.3100000000000005</v>
      </c>
      <c r="F144" s="933"/>
      <c r="G144" s="933">
        <v>200</v>
      </c>
      <c r="H144" s="933">
        <v>2</v>
      </c>
      <c r="I144" s="934">
        <f>'Quadro de horas'!$E$3*H144</f>
        <v>47.830357142857139</v>
      </c>
      <c r="J144" s="935">
        <f>E144*I144</f>
        <v>349.63991071428569</v>
      </c>
      <c r="K144" s="913">
        <f>(J144/G144)/44</f>
        <v>3.9731808035714286E-2</v>
      </c>
      <c r="L144" s="503"/>
      <c r="M144" s="937"/>
      <c r="N144" s="947"/>
      <c r="O144" s="508"/>
      <c r="P144" s="508"/>
      <c r="Q144" s="945">
        <v>7.3100000000000005</v>
      </c>
      <c r="R144" s="944"/>
      <c r="S144" s="923"/>
    </row>
    <row r="145" spans="1:19" x14ac:dyDescent="0.25">
      <c r="A145" s="970"/>
      <c r="B145" s="967"/>
      <c r="C145" s="456">
        <v>2</v>
      </c>
      <c r="D145" s="456">
        <v>2.5</v>
      </c>
      <c r="E145" s="935"/>
      <c r="F145" s="933"/>
      <c r="G145" s="933"/>
      <c r="H145" s="933"/>
      <c r="I145" s="934">
        <f>'Quadro de horas'!$E$3*H145</f>
        <v>0</v>
      </c>
      <c r="J145" s="935"/>
      <c r="K145" s="913"/>
      <c r="L145" s="503"/>
      <c r="M145" s="937"/>
      <c r="N145" s="947"/>
      <c r="O145" s="508"/>
      <c r="P145" s="508"/>
      <c r="Q145" s="945"/>
      <c r="R145" s="944"/>
      <c r="S145" s="923"/>
    </row>
    <row r="146" spans="1:19" x14ac:dyDescent="0.25">
      <c r="A146" s="970"/>
      <c r="B146" s="441" t="s">
        <v>283</v>
      </c>
      <c r="C146" s="464">
        <v>1.46</v>
      </c>
      <c r="D146" s="464">
        <v>1.85</v>
      </c>
      <c r="E146" s="443">
        <f t="shared" si="4"/>
        <v>2.7010000000000001</v>
      </c>
      <c r="F146" s="933"/>
      <c r="G146" s="442">
        <v>200</v>
      </c>
      <c r="H146" s="442">
        <v>2</v>
      </c>
      <c r="I146" s="577">
        <f>'Quadro de horas'!$E$3*H146</f>
        <v>47.830357142857139</v>
      </c>
      <c r="J146" s="443">
        <f t="shared" si="5"/>
        <v>129.18979464285712</v>
      </c>
      <c r="K146" s="456">
        <f>(J146/G146)/44</f>
        <v>1.4680658482142854E-2</v>
      </c>
      <c r="L146" s="503"/>
      <c r="M146" s="938"/>
      <c r="N146" s="948"/>
      <c r="O146" s="509"/>
      <c r="P146" s="509"/>
      <c r="Q146" s="486">
        <v>2.7010000000000001</v>
      </c>
      <c r="R146" s="944"/>
      <c r="S146" s="923"/>
    </row>
    <row r="147" spans="1:19" x14ac:dyDescent="0.25">
      <c r="A147" s="970"/>
      <c r="B147" s="444" t="s">
        <v>302</v>
      </c>
      <c r="C147" s="445">
        <v>6.2</v>
      </c>
      <c r="D147" s="445">
        <v>7.3</v>
      </c>
      <c r="E147" s="446">
        <f t="shared" si="4"/>
        <v>45.26</v>
      </c>
      <c r="F147" s="925" t="s">
        <v>268</v>
      </c>
      <c r="G147" s="447">
        <v>800</v>
      </c>
      <c r="H147" s="447">
        <v>1</v>
      </c>
      <c r="I147" s="578">
        <f>'Quadro de horas'!$E$3*H147</f>
        <v>23.915178571428569</v>
      </c>
      <c r="J147" s="446">
        <f t="shared" si="5"/>
        <v>1082.4009821428569</v>
      </c>
      <c r="K147" s="458">
        <f t="shared" si="6"/>
        <v>6.1500055803571423E-2</v>
      </c>
      <c r="L147" s="503"/>
      <c r="M147" s="487">
        <v>45.26</v>
      </c>
      <c r="N147" s="898"/>
      <c r="O147" s="510"/>
      <c r="P147" s="510"/>
      <c r="Q147" s="949"/>
      <c r="R147" s="944"/>
      <c r="S147" s="923"/>
    </row>
    <row r="148" spans="1:19" x14ac:dyDescent="0.25">
      <c r="A148" s="970"/>
      <c r="B148" s="444" t="s">
        <v>285</v>
      </c>
      <c r="C148" s="445">
        <v>1.65</v>
      </c>
      <c r="D148" s="445">
        <v>4.55</v>
      </c>
      <c r="E148" s="446">
        <f t="shared" si="4"/>
        <v>7.5074999999999994</v>
      </c>
      <c r="F148" s="926"/>
      <c r="G148" s="447">
        <v>800</v>
      </c>
      <c r="H148" s="447">
        <v>1</v>
      </c>
      <c r="I148" s="578">
        <f>'Quadro de horas'!$E$3*H148</f>
        <v>23.915178571428569</v>
      </c>
      <c r="J148" s="446">
        <f t="shared" si="5"/>
        <v>179.54320312499996</v>
      </c>
      <c r="K148" s="458">
        <f t="shared" si="6"/>
        <v>1.0201318359374998E-2</v>
      </c>
      <c r="L148" s="503"/>
      <c r="M148" s="487">
        <v>7.5074999999999994</v>
      </c>
      <c r="N148" s="899"/>
      <c r="O148" s="500"/>
      <c r="P148" s="500"/>
      <c r="Q148" s="949"/>
      <c r="R148" s="944"/>
      <c r="S148" s="923"/>
    </row>
    <row r="149" spans="1:19" x14ac:dyDescent="0.25">
      <c r="A149" s="970"/>
      <c r="B149" s="444" t="s">
        <v>303</v>
      </c>
      <c r="C149" s="445">
        <v>4.5999999999999996</v>
      </c>
      <c r="D149" s="445">
        <v>11.7</v>
      </c>
      <c r="E149" s="446">
        <f t="shared" si="4"/>
        <v>53.819999999999993</v>
      </c>
      <c r="F149" s="926"/>
      <c r="G149" s="447">
        <v>800</v>
      </c>
      <c r="H149" s="447">
        <v>1</v>
      </c>
      <c r="I149" s="578">
        <f>'Quadro de horas'!$E$3*H149</f>
        <v>23.915178571428569</v>
      </c>
      <c r="J149" s="446">
        <f t="shared" si="5"/>
        <v>1287.1149107142855</v>
      </c>
      <c r="K149" s="458">
        <f t="shared" si="6"/>
        <v>7.3131529017857133E-2</v>
      </c>
      <c r="L149" s="503"/>
      <c r="M149" s="487">
        <v>53.819999999999993</v>
      </c>
      <c r="N149" s="899"/>
      <c r="O149" s="500"/>
      <c r="P149" s="500"/>
      <c r="Q149" s="949"/>
      <c r="R149" s="944"/>
      <c r="S149" s="923"/>
    </row>
    <row r="150" spans="1:19" ht="30" x14ac:dyDescent="0.25">
      <c r="A150" s="970"/>
      <c r="B150" s="444" t="s">
        <v>304</v>
      </c>
      <c r="C150" s="445">
        <v>3.55</v>
      </c>
      <c r="D150" s="445">
        <v>3.2</v>
      </c>
      <c r="E150" s="446">
        <f t="shared" si="4"/>
        <v>11.36</v>
      </c>
      <c r="F150" s="926"/>
      <c r="G150" s="447">
        <v>800</v>
      </c>
      <c r="H150" s="447">
        <v>1</v>
      </c>
      <c r="I150" s="578">
        <f>'Quadro de horas'!$E$3*H150</f>
        <v>23.915178571428569</v>
      </c>
      <c r="J150" s="446">
        <f t="shared" si="5"/>
        <v>271.67642857142852</v>
      </c>
      <c r="K150" s="458">
        <f t="shared" si="6"/>
        <v>1.5436160714285711E-2</v>
      </c>
      <c r="L150" s="503"/>
      <c r="M150" s="487">
        <v>11.36</v>
      </c>
      <c r="N150" s="899"/>
      <c r="O150" s="500"/>
      <c r="P150" s="500"/>
      <c r="Q150" s="949"/>
      <c r="R150" s="944"/>
      <c r="S150" s="923"/>
    </row>
    <row r="151" spans="1:19" x14ac:dyDescent="0.25">
      <c r="A151" s="970"/>
      <c r="B151" s="444" t="s">
        <v>275</v>
      </c>
      <c r="C151" s="445">
        <v>2.8</v>
      </c>
      <c r="D151" s="445">
        <v>6</v>
      </c>
      <c r="E151" s="446">
        <f t="shared" si="4"/>
        <v>16.799999999999997</v>
      </c>
      <c r="F151" s="927"/>
      <c r="G151" s="447">
        <v>800</v>
      </c>
      <c r="H151" s="447">
        <v>1</v>
      </c>
      <c r="I151" s="578">
        <f>'Quadro de horas'!$E$3*H151</f>
        <v>23.915178571428569</v>
      </c>
      <c r="J151" s="446">
        <f t="shared" si="5"/>
        <v>401.77499999999992</v>
      </c>
      <c r="K151" s="458">
        <f t="shared" si="6"/>
        <v>2.2828124999999998E-2</v>
      </c>
      <c r="L151" s="503"/>
      <c r="M151" s="487">
        <v>16.799999999999997</v>
      </c>
      <c r="N151" s="900"/>
      <c r="O151" s="511"/>
      <c r="P151" s="511"/>
      <c r="Q151" s="949"/>
      <c r="R151" s="944"/>
      <c r="S151" s="923"/>
    </row>
    <row r="152" spans="1:19" x14ac:dyDescent="0.25">
      <c r="A152" s="970"/>
      <c r="B152" s="452" t="s">
        <v>286</v>
      </c>
      <c r="C152" s="453">
        <v>1.9</v>
      </c>
      <c r="D152" s="453">
        <v>4</v>
      </c>
      <c r="E152" s="454">
        <f t="shared" si="4"/>
        <v>7.6</v>
      </c>
      <c r="F152" s="485"/>
      <c r="G152" s="455">
        <v>200</v>
      </c>
      <c r="H152" s="455">
        <v>2</v>
      </c>
      <c r="I152" s="585">
        <f>'Quadro de horas'!$E$3*H152</f>
        <v>47.830357142857139</v>
      </c>
      <c r="J152" s="454">
        <f t="shared" si="5"/>
        <v>363.51071428571424</v>
      </c>
      <c r="K152" s="461">
        <f>(J152/G152)/44</f>
        <v>4.1308035714285714E-2</v>
      </c>
      <c r="L152" s="503"/>
      <c r="M152" s="489"/>
      <c r="N152" s="489"/>
      <c r="O152" s="489"/>
      <c r="P152" s="489">
        <v>7.6</v>
      </c>
      <c r="Q152" s="949"/>
      <c r="R152" s="944"/>
      <c r="S152" s="923"/>
    </row>
    <row r="153" spans="1:19" x14ac:dyDescent="0.25">
      <c r="A153" s="970"/>
      <c r="B153" s="444" t="s">
        <v>305</v>
      </c>
      <c r="C153" s="445">
        <v>2.72</v>
      </c>
      <c r="D153" s="445">
        <v>4.25</v>
      </c>
      <c r="E153" s="446">
        <f t="shared" si="4"/>
        <v>11.56</v>
      </c>
      <c r="F153" s="925" t="s">
        <v>268</v>
      </c>
      <c r="G153" s="447">
        <v>800</v>
      </c>
      <c r="H153" s="447">
        <v>1</v>
      </c>
      <c r="I153" s="578">
        <f>'Quadro de horas'!$E$3*H153</f>
        <v>23.915178571428569</v>
      </c>
      <c r="J153" s="446">
        <f t="shared" si="5"/>
        <v>276.45946428571426</v>
      </c>
      <c r="K153" s="458">
        <f t="shared" si="6"/>
        <v>1.5707924107142855E-2</v>
      </c>
      <c r="L153" s="503"/>
      <c r="M153" s="487">
        <v>11.56</v>
      </c>
      <c r="N153" s="898"/>
      <c r="O153" s="510"/>
      <c r="P153" s="510"/>
      <c r="Q153" s="949"/>
      <c r="R153" s="944"/>
      <c r="S153" s="923"/>
    </row>
    <row r="154" spans="1:19" ht="75" x14ac:dyDescent="0.25">
      <c r="A154" s="970"/>
      <c r="B154" s="444" t="s">
        <v>306</v>
      </c>
      <c r="C154" s="445">
        <v>4.33</v>
      </c>
      <c r="D154" s="445">
        <v>6.12</v>
      </c>
      <c r="E154" s="446">
        <f t="shared" si="4"/>
        <v>26.499600000000001</v>
      </c>
      <c r="F154" s="926"/>
      <c r="G154" s="447">
        <v>800</v>
      </c>
      <c r="H154" s="447">
        <v>1</v>
      </c>
      <c r="I154" s="578">
        <f>'Quadro de horas'!$E$3*H154</f>
        <v>23.915178571428569</v>
      </c>
      <c r="J154" s="446">
        <f t="shared" si="5"/>
        <v>633.74266607142852</v>
      </c>
      <c r="K154" s="458">
        <f t="shared" si="6"/>
        <v>3.6008106026785711E-2</v>
      </c>
      <c r="L154" s="503"/>
      <c r="M154" s="487">
        <v>26.499600000000001</v>
      </c>
      <c r="N154" s="899"/>
      <c r="O154" s="500"/>
      <c r="P154" s="500"/>
      <c r="Q154" s="949"/>
      <c r="R154" s="944"/>
      <c r="S154" s="923"/>
    </row>
    <row r="155" spans="1:19" ht="30" x14ac:dyDescent="0.25">
      <c r="A155" s="970"/>
      <c r="B155" s="444" t="s">
        <v>307</v>
      </c>
      <c r="C155" s="445">
        <v>4.3</v>
      </c>
      <c r="D155" s="445">
        <v>4.45</v>
      </c>
      <c r="E155" s="446">
        <f t="shared" si="4"/>
        <v>19.135000000000002</v>
      </c>
      <c r="F155" s="926"/>
      <c r="G155" s="447">
        <v>800</v>
      </c>
      <c r="H155" s="447">
        <v>1</v>
      </c>
      <c r="I155" s="578">
        <f>'Quadro de horas'!$E$3*H155</f>
        <v>23.915178571428569</v>
      </c>
      <c r="J155" s="446">
        <f t="shared" si="5"/>
        <v>457.61694196428573</v>
      </c>
      <c r="K155" s="458">
        <f t="shared" si="6"/>
        <v>2.6000962611607146E-2</v>
      </c>
      <c r="L155" s="503"/>
      <c r="M155" s="487">
        <v>19.135000000000002</v>
      </c>
      <c r="N155" s="899"/>
      <c r="O155" s="500"/>
      <c r="P155" s="500"/>
      <c r="Q155" s="949"/>
      <c r="R155" s="944"/>
      <c r="S155" s="923"/>
    </row>
    <row r="156" spans="1:19" x14ac:dyDescent="0.25">
      <c r="A156" s="970"/>
      <c r="B156" s="444" t="s">
        <v>308</v>
      </c>
      <c r="C156" s="445">
        <v>4</v>
      </c>
      <c r="D156" s="445">
        <v>14.45</v>
      </c>
      <c r="E156" s="446">
        <f t="shared" si="4"/>
        <v>57.8</v>
      </c>
      <c r="F156" s="926"/>
      <c r="G156" s="447">
        <v>800</v>
      </c>
      <c r="H156" s="447">
        <v>1</v>
      </c>
      <c r="I156" s="578">
        <f>'Quadro de horas'!$E$3*H156</f>
        <v>23.915178571428569</v>
      </c>
      <c r="J156" s="446">
        <f t="shared" si="5"/>
        <v>1382.2973214285712</v>
      </c>
      <c r="K156" s="458">
        <f t="shared" si="6"/>
        <v>7.8539620535714269E-2</v>
      </c>
      <c r="L156" s="503"/>
      <c r="M156" s="487">
        <v>57.8</v>
      </c>
      <c r="N156" s="899"/>
      <c r="O156" s="500"/>
      <c r="P156" s="500"/>
      <c r="Q156" s="949"/>
      <c r="R156" s="944"/>
      <c r="S156" s="923"/>
    </row>
    <row r="157" spans="1:19" x14ac:dyDescent="0.25">
      <c r="A157" s="970"/>
      <c r="B157" s="444" t="s">
        <v>309</v>
      </c>
      <c r="C157" s="445">
        <v>5.08</v>
      </c>
      <c r="D157" s="445">
        <v>7.1</v>
      </c>
      <c r="E157" s="446">
        <f t="shared" si="4"/>
        <v>36.067999999999998</v>
      </c>
      <c r="F157" s="926"/>
      <c r="G157" s="447">
        <v>800</v>
      </c>
      <c r="H157" s="447">
        <v>1</v>
      </c>
      <c r="I157" s="578">
        <f>'Quadro de horas'!$E$3*H157</f>
        <v>23.915178571428569</v>
      </c>
      <c r="J157" s="446">
        <f t="shared" si="5"/>
        <v>862.57266071428558</v>
      </c>
      <c r="K157" s="458">
        <f t="shared" si="6"/>
        <v>4.9009810267857133E-2</v>
      </c>
      <c r="L157" s="503"/>
      <c r="M157" s="487">
        <v>36.067999999999998</v>
      </c>
      <c r="N157" s="899"/>
      <c r="O157" s="500"/>
      <c r="P157" s="500"/>
      <c r="Q157" s="949"/>
      <c r="R157" s="944"/>
      <c r="S157" s="923"/>
    </row>
    <row r="158" spans="1:19" ht="30" x14ac:dyDescent="0.25">
      <c r="A158" s="970"/>
      <c r="B158" s="444" t="s">
        <v>310</v>
      </c>
      <c r="C158" s="445">
        <v>6</v>
      </c>
      <c r="D158" s="445">
        <v>9</v>
      </c>
      <c r="E158" s="446">
        <f t="shared" si="4"/>
        <v>54</v>
      </c>
      <c r="F158" s="927"/>
      <c r="G158" s="447">
        <v>800</v>
      </c>
      <c r="H158" s="447">
        <v>1</v>
      </c>
      <c r="I158" s="578">
        <f>'Quadro de horas'!$E$3*H158</f>
        <v>23.915178571428569</v>
      </c>
      <c r="J158" s="446">
        <f t="shared" si="5"/>
        <v>1291.4196428571427</v>
      </c>
      <c r="K158" s="458">
        <f t="shared" si="6"/>
        <v>7.3376116071428563E-2</v>
      </c>
      <c r="L158" s="503"/>
      <c r="M158" s="487">
        <v>54</v>
      </c>
      <c r="N158" s="900"/>
      <c r="O158" s="511"/>
      <c r="P158" s="511"/>
      <c r="Q158" s="949"/>
      <c r="R158" s="944"/>
      <c r="S158" s="923"/>
    </row>
    <row r="159" spans="1:19" x14ac:dyDescent="0.25">
      <c r="A159" s="970"/>
      <c r="B159" s="517" t="s">
        <v>280</v>
      </c>
      <c r="C159" s="518">
        <v>3.9</v>
      </c>
      <c r="D159" s="518">
        <v>4</v>
      </c>
      <c r="E159" s="519">
        <f t="shared" si="4"/>
        <v>15.6</v>
      </c>
      <c r="F159" s="520" t="s">
        <v>268</v>
      </c>
      <c r="G159" s="520">
        <v>1000</v>
      </c>
      <c r="H159" s="520">
        <v>2</v>
      </c>
      <c r="I159" s="580">
        <f>'Quadro de horas'!$E$3*H159</f>
        <v>47.830357142857139</v>
      </c>
      <c r="J159" s="519">
        <f t="shared" si="5"/>
        <v>746.15357142857135</v>
      </c>
      <c r="K159" s="521">
        <f>(J159/G159)/44</f>
        <v>1.695803571428571E-2</v>
      </c>
      <c r="L159" s="503"/>
      <c r="M159" s="525"/>
      <c r="N159" s="525"/>
      <c r="O159" s="525">
        <v>15.6</v>
      </c>
      <c r="P159" s="525"/>
      <c r="Q159" s="949"/>
      <c r="R159" s="944"/>
      <c r="S159" s="923"/>
    </row>
    <row r="160" spans="1:19" x14ac:dyDescent="0.25">
      <c r="A160" s="970"/>
      <c r="B160" s="448" t="s">
        <v>311</v>
      </c>
      <c r="C160" s="449">
        <v>2.5499999999999998</v>
      </c>
      <c r="D160" s="449">
        <v>4</v>
      </c>
      <c r="E160" s="450">
        <f t="shared" si="4"/>
        <v>10.199999999999999</v>
      </c>
      <c r="F160" s="451" t="s">
        <v>268</v>
      </c>
      <c r="G160" s="451">
        <v>800</v>
      </c>
      <c r="H160" s="451">
        <v>2</v>
      </c>
      <c r="I160" s="579">
        <f>'Quadro de horas'!$E$3*H160</f>
        <v>47.830357142857139</v>
      </c>
      <c r="J160" s="450">
        <f t="shared" si="5"/>
        <v>487.86964285714276</v>
      </c>
      <c r="K160" s="460">
        <f>(J160/G160)/44</f>
        <v>1.3859933035714284E-2</v>
      </c>
      <c r="L160" s="503"/>
      <c r="M160" s="512"/>
      <c r="N160" s="512">
        <v>10.199999999999999</v>
      </c>
      <c r="O160" s="512"/>
      <c r="P160" s="512"/>
      <c r="Q160" s="949"/>
      <c r="R160" s="944"/>
      <c r="S160" s="923"/>
    </row>
    <row r="161" spans="1:19" x14ac:dyDescent="0.25">
      <c r="A161" s="970"/>
      <c r="B161" s="968" t="s">
        <v>281</v>
      </c>
      <c r="C161" s="458">
        <v>1.4</v>
      </c>
      <c r="D161" s="458">
        <v>20</v>
      </c>
      <c r="E161" s="915">
        <f>(C161*D161)+(C162*D162)+(C163*D163)+(C164*D164)</f>
        <v>58.820000000000007</v>
      </c>
      <c r="F161" s="925" t="s">
        <v>268</v>
      </c>
      <c r="G161" s="919">
        <v>800</v>
      </c>
      <c r="H161" s="919">
        <v>1</v>
      </c>
      <c r="I161" s="918">
        <f>'Quadro de horas'!$E$3*H161</f>
        <v>23.915178571428569</v>
      </c>
      <c r="J161" s="915">
        <f t="shared" si="5"/>
        <v>1406.6908035714287</v>
      </c>
      <c r="K161" s="916">
        <f t="shared" si="6"/>
        <v>7.9925613839285717E-2</v>
      </c>
      <c r="L161" s="503"/>
      <c r="M161" s="939">
        <v>58.820000000000007</v>
      </c>
      <c r="N161" s="898"/>
      <c r="O161" s="510"/>
      <c r="P161" s="510"/>
      <c r="Q161" s="949"/>
      <c r="R161" s="944"/>
      <c r="S161" s="923"/>
    </row>
    <row r="162" spans="1:19" x14ac:dyDescent="0.25">
      <c r="A162" s="970"/>
      <c r="B162" s="968"/>
      <c r="C162" s="458">
        <v>1.24</v>
      </c>
      <c r="D162" s="458">
        <v>8</v>
      </c>
      <c r="E162" s="915"/>
      <c r="F162" s="926"/>
      <c r="G162" s="919"/>
      <c r="H162" s="919"/>
      <c r="I162" s="918">
        <f>'Quadro de horas'!$E$3*H162</f>
        <v>0</v>
      </c>
      <c r="J162" s="915"/>
      <c r="K162" s="916"/>
      <c r="L162" s="503"/>
      <c r="M162" s="939"/>
      <c r="N162" s="899"/>
      <c r="O162" s="500"/>
      <c r="P162" s="500"/>
      <c r="Q162" s="949"/>
      <c r="R162" s="944"/>
      <c r="S162" s="923"/>
    </row>
    <row r="163" spans="1:19" x14ac:dyDescent="0.25">
      <c r="A163" s="970"/>
      <c r="B163" s="968"/>
      <c r="C163" s="458">
        <v>3.55</v>
      </c>
      <c r="D163" s="458">
        <v>4</v>
      </c>
      <c r="E163" s="915"/>
      <c r="F163" s="926"/>
      <c r="G163" s="919"/>
      <c r="H163" s="919"/>
      <c r="I163" s="918">
        <f>'Quadro de horas'!$E$3*H163</f>
        <v>0</v>
      </c>
      <c r="J163" s="915"/>
      <c r="K163" s="916"/>
      <c r="L163" s="503"/>
      <c r="M163" s="939"/>
      <c r="N163" s="899"/>
      <c r="O163" s="500"/>
      <c r="P163" s="500"/>
      <c r="Q163" s="949"/>
      <c r="R163" s="944"/>
      <c r="S163" s="923"/>
    </row>
    <row r="164" spans="1:19" x14ac:dyDescent="0.25">
      <c r="A164" s="970"/>
      <c r="B164" s="968"/>
      <c r="C164" s="458">
        <v>1.34</v>
      </c>
      <c r="D164" s="458">
        <v>5</v>
      </c>
      <c r="E164" s="915"/>
      <c r="F164" s="927"/>
      <c r="G164" s="919"/>
      <c r="H164" s="919"/>
      <c r="I164" s="918">
        <f>'Quadro de horas'!$E$3*H164</f>
        <v>0</v>
      </c>
      <c r="J164" s="915"/>
      <c r="K164" s="916"/>
      <c r="L164" s="503"/>
      <c r="M164" s="939"/>
      <c r="N164" s="900"/>
      <c r="O164" s="511"/>
      <c r="P164" s="511"/>
      <c r="Q164" s="949"/>
      <c r="R164" s="944"/>
      <c r="S164" s="923"/>
    </row>
    <row r="165" spans="1:19" x14ac:dyDescent="0.25">
      <c r="A165" s="971"/>
      <c r="B165" s="517" t="s">
        <v>289</v>
      </c>
      <c r="C165" s="518">
        <v>2.87</v>
      </c>
      <c r="D165" s="518">
        <v>6.1</v>
      </c>
      <c r="E165" s="519">
        <f t="shared" si="4"/>
        <v>17.506999999999998</v>
      </c>
      <c r="F165" s="520" t="s">
        <v>268</v>
      </c>
      <c r="G165" s="520">
        <v>1000</v>
      </c>
      <c r="H165" s="520">
        <v>2</v>
      </c>
      <c r="I165" s="580">
        <f>'Quadro de horas'!$E$3*H165</f>
        <v>47.830357142857139</v>
      </c>
      <c r="J165" s="519">
        <f t="shared" si="5"/>
        <v>837.36606249999988</v>
      </c>
      <c r="K165" s="521">
        <f>(J165/G165)/44</f>
        <v>1.9031046874999999E-2</v>
      </c>
      <c r="L165" s="503"/>
      <c r="M165" s="525"/>
      <c r="N165" s="525"/>
      <c r="O165" s="525">
        <v>17.506999999999998</v>
      </c>
      <c r="P165" s="525"/>
      <c r="Q165" s="949"/>
      <c r="R165" s="944"/>
      <c r="S165" s="923"/>
    </row>
    <row r="166" spans="1:19" ht="45.75" thickBot="1" x14ac:dyDescent="0.3">
      <c r="A166" s="427"/>
      <c r="B166" s="469" t="s">
        <v>312</v>
      </c>
      <c r="C166" s="964"/>
      <c r="D166" s="964"/>
      <c r="E166" s="530">
        <f>'[1]Esquadrias&amp;Janelas'!D34</f>
        <v>741.00000000000023</v>
      </c>
      <c r="F166" s="470" t="s">
        <v>313</v>
      </c>
      <c r="G166" s="471">
        <v>300</v>
      </c>
      <c r="H166" s="586">
        <v>8.3628896780000003E-2</v>
      </c>
      <c r="I166" s="587">
        <f>'Quadro de horas'!$E$3*H166</f>
        <v>2.0000000002252678</v>
      </c>
      <c r="J166" s="439">
        <f t="shared" si="5"/>
        <v>1482.0000001669239</v>
      </c>
      <c r="K166" s="490">
        <f>(J166/G166)/2</f>
        <v>2.4700000002782065</v>
      </c>
      <c r="L166" s="503"/>
      <c r="M166" s="490"/>
      <c r="N166" s="490"/>
      <c r="O166" s="490"/>
      <c r="P166" s="490"/>
      <c r="Q166" s="490"/>
      <c r="R166" s="557">
        <v>741</v>
      </c>
      <c r="S166" s="924"/>
    </row>
    <row r="167" spans="1:19" ht="21.75" thickBot="1" x14ac:dyDescent="0.4">
      <c r="A167" s="427"/>
      <c r="B167" s="965" t="s">
        <v>314</v>
      </c>
      <c r="C167" s="965"/>
      <c r="D167" s="965"/>
      <c r="E167" s="430">
        <f>SUM(E5:E166)</f>
        <v>3913.1944000000012</v>
      </c>
      <c r="F167" s="400"/>
      <c r="G167" s="400"/>
      <c r="H167" s="400"/>
      <c r="I167" s="406"/>
      <c r="J167" s="551"/>
      <c r="K167" s="407"/>
      <c r="L167" s="503"/>
      <c r="M167" s="473">
        <f>SUM(M5:M166)</f>
        <v>2614.833700000002</v>
      </c>
      <c r="N167" s="475">
        <f>SUM(N5:N166)</f>
        <v>124.825</v>
      </c>
      <c r="O167" s="523">
        <f>SUM(O5:O166)</f>
        <v>274.17400000000004</v>
      </c>
      <c r="P167" s="474">
        <f>SUM(P5:P166)</f>
        <v>57.155100000000004</v>
      </c>
      <c r="Q167" s="498">
        <f>SUM(Q5:Q166)</f>
        <v>101.20659999999998</v>
      </c>
      <c r="R167" s="557">
        <f>SUM(R166)</f>
        <v>741</v>
      </c>
      <c r="S167" s="593">
        <f>SUM(M167:R167)</f>
        <v>3913.1944000000017</v>
      </c>
    </row>
    <row r="168" spans="1:19" ht="15.75" thickBot="1" x14ac:dyDescent="0.3">
      <c r="A168" s="428"/>
      <c r="B168" s="966" t="s">
        <v>315</v>
      </c>
      <c r="C168" s="966"/>
      <c r="D168" s="966"/>
      <c r="E168" s="966"/>
      <c r="F168" s="966"/>
      <c r="G168" s="966"/>
      <c r="H168" s="966"/>
      <c r="I168" s="966"/>
      <c r="J168" s="556">
        <f>SUM(J5:J166)</f>
        <v>90674.976208649037</v>
      </c>
      <c r="K168" s="410"/>
      <c r="L168" s="504"/>
      <c r="M168" s="558">
        <v>8</v>
      </c>
      <c r="N168" s="558">
        <f>$M168*2</f>
        <v>16</v>
      </c>
      <c r="O168" s="558">
        <f t="shared" ref="O168:Q168" si="7">$M168*2</f>
        <v>16</v>
      </c>
      <c r="P168" s="558">
        <f t="shared" si="7"/>
        <v>16</v>
      </c>
      <c r="Q168" s="558">
        <f t="shared" si="7"/>
        <v>16</v>
      </c>
      <c r="R168" s="574">
        <v>2</v>
      </c>
      <c r="S168" s="410"/>
    </row>
    <row r="169" spans="1:19" ht="15.75" thickBot="1" x14ac:dyDescent="0.3">
      <c r="A169" s="411"/>
      <c r="B169" s="959" t="s">
        <v>316</v>
      </c>
      <c r="C169" s="959"/>
      <c r="D169" s="959"/>
      <c r="E169" s="959"/>
      <c r="F169" s="959"/>
      <c r="G169" s="959"/>
      <c r="H169" s="959"/>
      <c r="I169" s="959"/>
      <c r="J169" s="959"/>
      <c r="K169" s="412">
        <f>SUM(K5:K166)</f>
        <v>7.3514748018965079</v>
      </c>
      <c r="L169" s="575"/>
      <c r="M169" s="558">
        <v>1</v>
      </c>
      <c r="N169" s="558">
        <v>2</v>
      </c>
      <c r="O169" s="558">
        <v>2</v>
      </c>
      <c r="P169" s="558">
        <v>2</v>
      </c>
      <c r="Q169" s="558">
        <v>2</v>
      </c>
      <c r="R169" s="574" t="s">
        <v>511</v>
      </c>
      <c r="S169" s="410"/>
    </row>
    <row r="170" spans="1:19" ht="15.75" thickBot="1" x14ac:dyDescent="0.3">
      <c r="A170" s="404"/>
      <c r="B170" s="405"/>
      <c r="C170" s="405"/>
      <c r="D170" s="405"/>
      <c r="E170" s="405"/>
      <c r="F170" s="405"/>
      <c r="G170" s="405"/>
      <c r="H170" s="405"/>
      <c r="I170" s="405"/>
      <c r="J170" s="405"/>
      <c r="K170" s="409"/>
      <c r="L170" s="505"/>
      <c r="M170" s="438">
        <f>M167*M168</f>
        <v>20918.669600000016</v>
      </c>
      <c r="N170" s="438">
        <f t="shared" ref="N170:R170" si="8">N167*N168</f>
        <v>1997.2</v>
      </c>
      <c r="O170" s="438">
        <f t="shared" si="8"/>
        <v>4386.7840000000006</v>
      </c>
      <c r="P170" s="438">
        <f t="shared" si="8"/>
        <v>914.48160000000007</v>
      </c>
      <c r="Q170" s="438">
        <f t="shared" si="8"/>
        <v>1619.3055999999997</v>
      </c>
      <c r="R170" s="438">
        <f t="shared" si="8"/>
        <v>1482</v>
      </c>
      <c r="S170" s="437"/>
    </row>
    <row r="171" spans="1:19" ht="16.5" thickBot="1" x14ac:dyDescent="0.3">
      <c r="A171" s="404"/>
      <c r="B171" s="961" t="s">
        <v>317</v>
      </c>
      <c r="C171" s="962"/>
      <c r="D171" s="962"/>
      <c r="E171" s="962"/>
      <c r="F171" s="963"/>
      <c r="G171" s="405"/>
      <c r="H171" s="405"/>
      <c r="I171" s="405"/>
      <c r="J171" s="405"/>
      <c r="K171" s="409"/>
      <c r="L171" s="505"/>
      <c r="M171" s="565">
        <v>800</v>
      </c>
      <c r="N171" s="565">
        <v>800</v>
      </c>
      <c r="O171" s="565">
        <v>1000</v>
      </c>
      <c r="P171" s="565">
        <v>200</v>
      </c>
      <c r="Q171" s="566">
        <v>200</v>
      </c>
      <c r="R171" s="566">
        <v>300</v>
      </c>
      <c r="S171" s="499"/>
    </row>
    <row r="172" spans="1:19" ht="21.75" thickBot="1" x14ac:dyDescent="0.4">
      <c r="A172" s="404"/>
      <c r="G172" s="405"/>
      <c r="H172" s="405"/>
      <c r="I172" s="405"/>
      <c r="J172" s="405"/>
      <c r="K172" s="409"/>
      <c r="L172" s="505"/>
      <c r="M172" s="588">
        <f>M167/M171/8*M168</f>
        <v>3.2685421250000024</v>
      </c>
      <c r="N172" s="588">
        <f>N167/N171/8*N168</f>
        <v>0.31206250000000002</v>
      </c>
      <c r="O172" s="588">
        <f>O167/O171/8*O168</f>
        <v>0.54834800000000006</v>
      </c>
      <c r="P172" s="588">
        <f>P167/P171/8*P168</f>
        <v>0.57155100000000003</v>
      </c>
      <c r="Q172" s="588">
        <f>Q167/Q171/8*Q168</f>
        <v>1.0120659999999999</v>
      </c>
      <c r="R172" s="588">
        <f>R167/R171*R168/'Quadro de horas'!E3</f>
        <v>0.20656337502333399</v>
      </c>
      <c r="S172" s="592">
        <f>SUM(M172:R172)</f>
        <v>5.9191330000233373</v>
      </c>
    </row>
    <row r="173" spans="1:19" x14ac:dyDescent="0.25">
      <c r="A173" s="404"/>
      <c r="B173" s="953" t="s">
        <v>318</v>
      </c>
      <c r="C173" s="954"/>
      <c r="D173" s="954"/>
      <c r="E173" s="954"/>
      <c r="F173" s="955"/>
      <c r="G173" s="405"/>
      <c r="H173" s="405"/>
      <c r="I173" s="405"/>
      <c r="J173" s="405"/>
      <c r="K173" s="409"/>
      <c r="L173" s="505"/>
    </row>
    <row r="174" spans="1:19" ht="60" x14ac:dyDescent="0.25">
      <c r="A174" s="404"/>
      <c r="B174" s="402" t="s">
        <v>319</v>
      </c>
      <c r="C174" s="401" t="s">
        <v>320</v>
      </c>
      <c r="D174" s="401" t="s">
        <v>321</v>
      </c>
      <c r="E174" s="431" t="s">
        <v>588</v>
      </c>
      <c r="F174" s="403" t="s">
        <v>322</v>
      </c>
      <c r="G174" s="405"/>
      <c r="H174" s="405"/>
      <c r="I174" s="405"/>
      <c r="J174" s="405"/>
      <c r="K174" s="409"/>
      <c r="L174" s="505"/>
    </row>
    <row r="175" spans="1:19" ht="15.75" thickBot="1" x14ac:dyDescent="0.3">
      <c r="A175" s="404"/>
      <c r="B175" s="552" t="s">
        <v>323</v>
      </c>
      <c r="C175" s="553">
        <f>J8+J9+J20+J22+J24+J41+J43+J45+J67+J69+J71+J90+J92+J94+J114+J116+J118+J142+J144+J146</f>
        <v>4840.7478232142857</v>
      </c>
      <c r="D175" s="554">
        <v>400</v>
      </c>
      <c r="E175" s="555">
        <f>(((200*C175)/D175)/'Quadro de horas'!E3/2)</f>
        <v>50.603300000000004</v>
      </c>
      <c r="F175" s="589">
        <f>2*(E175/200)</f>
        <v>0.50603300000000007</v>
      </c>
      <c r="G175" s="432"/>
      <c r="H175" s="405"/>
      <c r="I175" s="405"/>
      <c r="J175" s="405"/>
      <c r="K175" s="409"/>
      <c r="L175" s="505"/>
    </row>
    <row r="176" spans="1:19" ht="15.75" thickBot="1" x14ac:dyDescent="0.3">
      <c r="A176" s="404"/>
      <c r="B176" s="537" t="s">
        <v>324</v>
      </c>
      <c r="C176" s="538">
        <f>J28+J54+J83+J103+J127+J152</f>
        <v>2733.7488455357138</v>
      </c>
      <c r="D176" s="539">
        <v>200</v>
      </c>
      <c r="E176" s="540">
        <f>((200*C176)/D176)/'Quadro de horas'!E3/2</f>
        <v>57.155100000000004</v>
      </c>
      <c r="F176" s="589">
        <f>2*(E176/200)</f>
        <v>0.57155100000000003</v>
      </c>
      <c r="G176" s="432"/>
      <c r="H176" s="405"/>
      <c r="I176" s="405"/>
      <c r="J176" s="405"/>
      <c r="K176" s="409"/>
      <c r="L176" s="505"/>
    </row>
    <row r="177" spans="1:13" ht="15.75" thickBot="1" x14ac:dyDescent="0.3">
      <c r="A177" s="404"/>
      <c r="B177" s="956" t="s">
        <v>325</v>
      </c>
      <c r="C177" s="957"/>
      <c r="D177" s="957"/>
      <c r="E177" s="433">
        <f>SUM(E175:E176)</f>
        <v>107.75840000000001</v>
      </c>
      <c r="F177" s="589">
        <f>SUM(F175:F176)</f>
        <v>1.0775840000000001</v>
      </c>
      <c r="G177" s="405"/>
      <c r="H177" s="405"/>
      <c r="I177" s="405"/>
      <c r="J177" s="405"/>
      <c r="K177" s="409"/>
      <c r="L177" s="505"/>
    </row>
    <row r="178" spans="1:13" ht="15.75" thickBot="1" x14ac:dyDescent="0.3">
      <c r="A178" s="404"/>
      <c r="B178" s="405"/>
      <c r="C178" s="405"/>
      <c r="D178" s="405"/>
      <c r="E178" s="405"/>
      <c r="F178" s="405"/>
      <c r="G178" s="405"/>
      <c r="H178" s="405"/>
      <c r="I178" s="405"/>
      <c r="J178" s="405"/>
      <c r="K178" s="409"/>
      <c r="L178" s="505"/>
    </row>
    <row r="179" spans="1:13" ht="16.5" thickBot="1" x14ac:dyDescent="0.3">
      <c r="A179" s="404"/>
      <c r="B179" s="961" t="s">
        <v>317</v>
      </c>
      <c r="C179" s="962"/>
      <c r="D179" s="962"/>
      <c r="E179" s="962"/>
      <c r="F179" s="963"/>
      <c r="G179" s="405"/>
      <c r="H179" s="405"/>
      <c r="I179" s="405"/>
      <c r="J179" s="405"/>
      <c r="K179" s="409"/>
      <c r="L179" s="505"/>
    </row>
    <row r="180" spans="1:13" ht="15.75" thickBot="1" x14ac:dyDescent="0.3">
      <c r="A180" s="404"/>
      <c r="G180" s="405"/>
      <c r="H180" s="405"/>
      <c r="I180" s="405"/>
      <c r="J180" s="405"/>
      <c r="K180" s="409"/>
      <c r="L180" s="505"/>
    </row>
    <row r="181" spans="1:13" x14ac:dyDescent="0.25">
      <c r="A181" s="404"/>
      <c r="B181" s="953" t="s">
        <v>326</v>
      </c>
      <c r="C181" s="954"/>
      <c r="D181" s="954"/>
      <c r="E181" s="954"/>
      <c r="F181" s="955"/>
      <c r="G181" s="405"/>
      <c r="H181" s="405"/>
      <c r="I181" s="405"/>
      <c r="J181" s="405"/>
      <c r="K181" s="409"/>
      <c r="L181" s="505"/>
    </row>
    <row r="182" spans="1:13" ht="60" x14ac:dyDescent="0.25">
      <c r="A182" s="404"/>
      <c r="B182" s="402" t="s">
        <v>319</v>
      </c>
      <c r="C182" s="401" t="s">
        <v>320</v>
      </c>
      <c r="D182" s="401" t="s">
        <v>321</v>
      </c>
      <c r="E182" s="431" t="s">
        <v>588</v>
      </c>
      <c r="F182" s="403" t="s">
        <v>322</v>
      </c>
      <c r="G182" s="405"/>
      <c r="H182" s="405"/>
      <c r="I182" s="405"/>
      <c r="J182" s="405"/>
      <c r="K182" s="409"/>
      <c r="L182" s="505"/>
    </row>
    <row r="183" spans="1:13" ht="30" x14ac:dyDescent="0.25">
      <c r="A183" s="404"/>
      <c r="B183" s="546" t="s">
        <v>327</v>
      </c>
      <c r="C183" s="547">
        <f>J166</f>
        <v>1482.0000001669239</v>
      </c>
      <c r="D183" s="548">
        <v>400</v>
      </c>
      <c r="E183" s="549">
        <f>((300*C183)/D183)/'Quadro de horas'!E3</f>
        <v>46.476759385485018</v>
      </c>
      <c r="F183" s="550"/>
      <c r="G183" s="405"/>
      <c r="H183" s="529"/>
      <c r="I183" s="405"/>
      <c r="J183" s="405"/>
      <c r="K183" s="409"/>
      <c r="L183" s="505"/>
    </row>
    <row r="184" spans="1:13" ht="15.75" thickBot="1" x14ac:dyDescent="0.3">
      <c r="A184" s="404"/>
      <c r="B184" s="956" t="s">
        <v>328</v>
      </c>
      <c r="C184" s="957"/>
      <c r="D184" s="957"/>
      <c r="E184" s="433">
        <f>SUM(E183:E183)</f>
        <v>46.476759385485018</v>
      </c>
      <c r="F184" s="589">
        <f>E184/300</f>
        <v>0.15492253128495007</v>
      </c>
      <c r="G184" s="405"/>
      <c r="H184" s="405"/>
      <c r="I184" s="405"/>
      <c r="J184" s="405"/>
      <c r="K184" s="409"/>
      <c r="L184" s="505"/>
    </row>
    <row r="185" spans="1:13" ht="15.75" thickBot="1" x14ac:dyDescent="0.3">
      <c r="A185" s="404"/>
      <c r="B185" s="405"/>
      <c r="C185" s="405"/>
      <c r="D185" s="405"/>
      <c r="E185" s="405"/>
      <c r="F185" s="405"/>
      <c r="G185" s="405"/>
      <c r="H185" s="405"/>
      <c r="I185" s="405"/>
      <c r="J185" s="405"/>
      <c r="K185" s="409"/>
      <c r="L185" s="505"/>
    </row>
    <row r="186" spans="1:13" ht="16.5" thickBot="1" x14ac:dyDescent="0.3">
      <c r="A186" s="404"/>
      <c r="B186" s="961" t="s">
        <v>317</v>
      </c>
      <c r="C186" s="962"/>
      <c r="D186" s="962"/>
      <c r="E186" s="962"/>
      <c r="F186" s="963"/>
      <c r="G186" s="405"/>
      <c r="H186" s="405"/>
      <c r="I186" s="405" t="s">
        <v>510</v>
      </c>
      <c r="J186" s="405"/>
      <c r="K186" s="409"/>
      <c r="L186" s="505"/>
    </row>
    <row r="187" spans="1:13" ht="15.75" thickBot="1" x14ac:dyDescent="0.3">
      <c r="A187" s="404"/>
      <c r="G187" s="405"/>
      <c r="H187" s="405"/>
      <c r="I187" s="405"/>
      <c r="J187" s="405"/>
      <c r="K187" s="409"/>
      <c r="L187" s="505"/>
    </row>
    <row r="188" spans="1:13" x14ac:dyDescent="0.25">
      <c r="A188" s="404"/>
      <c r="B188" s="953" t="s">
        <v>329</v>
      </c>
      <c r="C188" s="954"/>
      <c r="D188" s="954"/>
      <c r="E188" s="954"/>
      <c r="F188" s="955"/>
      <c r="G188" s="405"/>
      <c r="H188" s="405"/>
      <c r="I188" s="405"/>
      <c r="J188" s="405"/>
      <c r="K188" s="409"/>
      <c r="L188" s="505"/>
    </row>
    <row r="189" spans="1:13" ht="60" x14ac:dyDescent="0.25">
      <c r="A189" s="404"/>
      <c r="B189" s="402" t="s">
        <v>319</v>
      </c>
      <c r="C189" s="401" t="s">
        <v>320</v>
      </c>
      <c r="D189" s="401" t="s">
        <v>321</v>
      </c>
      <c r="E189" s="431" t="s">
        <v>330</v>
      </c>
      <c r="F189" s="403" t="s">
        <v>322</v>
      </c>
      <c r="G189" s="405"/>
      <c r="H189" s="405"/>
      <c r="I189" s="405"/>
      <c r="J189" s="405"/>
      <c r="K189" s="409"/>
      <c r="L189" s="505"/>
    </row>
    <row r="190" spans="1:13" x14ac:dyDescent="0.25">
      <c r="A190" s="404"/>
      <c r="B190" s="541" t="s">
        <v>331</v>
      </c>
      <c r="C190" s="542">
        <f>J5+J6+J10+J11+J12+J13+J19+J25+J26+J27+J29+J31+J37+J46+J52+J53+J55+J58+J63+J72+J73+J74+J75+J76+J77+J78+J79+J80+J81+J82+J86+J95+J101+J102+J104+J110+J119+J125+J126+J128+J138+J147+J148+J149+J150+J151+J153+J154+J155+J156+J157+J158+J161</f>
        <v>62534.214870089272</v>
      </c>
      <c r="D190" s="543">
        <v>800</v>
      </c>
      <c r="E190" s="544">
        <f>((800*C190)/D190)/'Quadro de horas'!E3</f>
        <v>2614.8336999999997</v>
      </c>
      <c r="F190" s="545"/>
      <c r="G190" s="432"/>
      <c r="H190" s="529"/>
      <c r="I190" s="405"/>
      <c r="J190" s="405"/>
      <c r="K190" s="409"/>
      <c r="L190" s="505"/>
    </row>
    <row r="191" spans="1:13" ht="15.75" thickBot="1" x14ac:dyDescent="0.3">
      <c r="A191" s="404"/>
      <c r="B191" s="956" t="s">
        <v>332</v>
      </c>
      <c r="C191" s="957"/>
      <c r="D191" s="957"/>
      <c r="E191" s="433">
        <f>SUM(E190:E190)</f>
        <v>2614.8336999999997</v>
      </c>
      <c r="F191" s="589">
        <f>E191/800</f>
        <v>3.2685421249999997</v>
      </c>
      <c r="G191" s="405"/>
      <c r="H191" s="405"/>
      <c r="I191" s="405"/>
      <c r="J191" s="405"/>
      <c r="K191" s="409"/>
      <c r="L191" s="505"/>
      <c r="M191" s="497"/>
    </row>
    <row r="192" spans="1:13" ht="15.75" thickBot="1" x14ac:dyDescent="0.3">
      <c r="A192" s="404"/>
      <c r="B192" s="405"/>
      <c r="C192" s="405"/>
      <c r="D192" s="405"/>
      <c r="E192" s="405"/>
      <c r="F192" s="405"/>
      <c r="G192" s="405"/>
      <c r="H192" s="405"/>
      <c r="I192" s="405"/>
      <c r="J192" s="405"/>
      <c r="K192" s="409"/>
      <c r="L192" s="505"/>
      <c r="M192" s="497"/>
    </row>
    <row r="193" spans="1:19" s="398" customFormat="1" ht="16.5" thickBot="1" x14ac:dyDescent="0.3">
      <c r="A193" s="404"/>
      <c r="B193" s="961" t="s">
        <v>317</v>
      </c>
      <c r="C193" s="962"/>
      <c r="D193" s="962"/>
      <c r="E193" s="962"/>
      <c r="F193" s="963"/>
      <c r="G193" s="405"/>
      <c r="H193" s="405"/>
      <c r="I193" s="405"/>
      <c r="J193" s="405"/>
      <c r="K193" s="409"/>
      <c r="L193" s="505"/>
      <c r="M193" s="531"/>
      <c r="Q193"/>
      <c r="R193"/>
      <c r="S193"/>
    </row>
    <row r="194" spans="1:19" s="398" customFormat="1" ht="15.75" thickBot="1" x14ac:dyDescent="0.3">
      <c r="A194" s="404"/>
      <c r="C194" s="399"/>
      <c r="D194" s="399"/>
      <c r="E194" s="342"/>
      <c r="F194" s="399"/>
      <c r="G194" s="405"/>
      <c r="H194" s="405"/>
      <c r="I194" s="405"/>
      <c r="J194" s="405"/>
      <c r="K194" s="409"/>
      <c r="L194" s="505"/>
      <c r="M194" s="531"/>
    </row>
    <row r="195" spans="1:19" x14ac:dyDescent="0.25">
      <c r="A195" s="404"/>
      <c r="B195" s="953" t="s">
        <v>329</v>
      </c>
      <c r="C195" s="954"/>
      <c r="D195" s="954"/>
      <c r="E195" s="954"/>
      <c r="F195" s="955"/>
      <c r="G195" s="405"/>
      <c r="H195" s="405"/>
      <c r="I195" s="405"/>
      <c r="J195" s="405"/>
      <c r="K195" s="409"/>
      <c r="L195" s="505"/>
      <c r="M195" s="531"/>
      <c r="Q195" s="398"/>
      <c r="R195" s="398"/>
      <c r="S195" s="398"/>
    </row>
    <row r="196" spans="1:19" ht="60" x14ac:dyDescent="0.25">
      <c r="A196" s="404"/>
      <c r="B196" s="402" t="s">
        <v>319</v>
      </c>
      <c r="C196" s="401" t="s">
        <v>320</v>
      </c>
      <c r="D196" s="401" t="s">
        <v>321</v>
      </c>
      <c r="E196" s="431" t="s">
        <v>330</v>
      </c>
      <c r="F196" s="403" t="s">
        <v>322</v>
      </c>
      <c r="G196" s="405"/>
      <c r="H196" s="405"/>
      <c r="I196" s="405"/>
      <c r="J196" s="405"/>
      <c r="K196" s="409"/>
      <c r="L196" s="505"/>
    </row>
    <row r="197" spans="1:19" x14ac:dyDescent="0.25">
      <c r="A197" s="404"/>
      <c r="B197" s="541" t="s">
        <v>331</v>
      </c>
      <c r="C197" s="542">
        <f>J14+J15+J16+J17+J160</f>
        <v>5970.4243303571429</v>
      </c>
      <c r="D197" s="543">
        <v>800</v>
      </c>
      <c r="E197" s="544">
        <f>((800*C197)/D197)/'Quadro de horas'!E3</f>
        <v>249.65000000000003</v>
      </c>
      <c r="F197" s="545"/>
      <c r="G197" s="405"/>
      <c r="H197" s="405"/>
      <c r="I197" s="405"/>
      <c r="J197" s="405"/>
      <c r="K197" s="409"/>
      <c r="L197" s="505"/>
    </row>
    <row r="198" spans="1:19" ht="15.75" thickBot="1" x14ac:dyDescent="0.3">
      <c r="A198" s="404"/>
      <c r="B198" s="956" t="s">
        <v>332</v>
      </c>
      <c r="C198" s="957"/>
      <c r="D198" s="957"/>
      <c r="E198" s="433">
        <f>SUM(E197:E197)</f>
        <v>249.65000000000003</v>
      </c>
      <c r="F198" s="589">
        <f>E198/800</f>
        <v>0.31206250000000002</v>
      </c>
      <c r="G198" s="405"/>
      <c r="H198" s="405"/>
      <c r="I198" s="405"/>
      <c r="J198" s="405"/>
      <c r="K198" s="409"/>
      <c r="L198" s="505"/>
    </row>
    <row r="199" spans="1:19" x14ac:dyDescent="0.25">
      <c r="A199" s="404"/>
      <c r="B199" s="405"/>
      <c r="C199" s="405"/>
      <c r="D199" s="405"/>
      <c r="E199" s="405"/>
      <c r="F199" s="405"/>
      <c r="G199" s="529"/>
      <c r="H199" s="529"/>
      <c r="I199" s="405"/>
      <c r="J199" s="405"/>
      <c r="K199" s="409"/>
      <c r="L199" s="505"/>
    </row>
    <row r="200" spans="1:19" ht="15.75" thickBot="1" x14ac:dyDescent="0.3">
      <c r="A200" s="404"/>
      <c r="B200" s="405"/>
      <c r="C200" s="405"/>
      <c r="D200" s="405"/>
      <c r="E200" s="405"/>
      <c r="F200" s="405"/>
      <c r="G200" s="405"/>
      <c r="H200" s="529"/>
      <c r="I200" s="405"/>
      <c r="J200" s="405"/>
      <c r="K200" s="409"/>
      <c r="L200" s="505"/>
    </row>
    <row r="201" spans="1:19" ht="16.5" thickBot="1" x14ac:dyDescent="0.3">
      <c r="A201" s="404"/>
      <c r="B201" s="961" t="s">
        <v>317</v>
      </c>
      <c r="C201" s="962"/>
      <c r="D201" s="962"/>
      <c r="E201" s="962"/>
      <c r="F201" s="963"/>
      <c r="G201" s="405"/>
      <c r="H201" s="405"/>
      <c r="I201" s="405"/>
      <c r="J201" s="405"/>
      <c r="K201" s="409"/>
      <c r="L201" s="505"/>
    </row>
    <row r="202" spans="1:19" ht="15.75" thickBot="1" x14ac:dyDescent="0.3">
      <c r="A202" s="404"/>
      <c r="G202" s="529"/>
      <c r="H202" s="405"/>
      <c r="I202" s="405"/>
      <c r="J202" s="405"/>
      <c r="K202" s="409"/>
      <c r="L202" s="505"/>
    </row>
    <row r="203" spans="1:19" x14ac:dyDescent="0.25">
      <c r="A203" s="404"/>
      <c r="B203" s="953" t="s">
        <v>333</v>
      </c>
      <c r="C203" s="954"/>
      <c r="D203" s="954"/>
      <c r="E203" s="954"/>
      <c r="F203" s="955"/>
      <c r="G203" s="405"/>
      <c r="H203" s="405"/>
      <c r="I203" s="405"/>
      <c r="J203" s="405"/>
      <c r="K203" s="409"/>
      <c r="L203" s="505"/>
    </row>
    <row r="204" spans="1:19" ht="60" x14ac:dyDescent="0.25">
      <c r="A204" s="404"/>
      <c r="B204" s="402" t="s">
        <v>319</v>
      </c>
      <c r="C204" s="401" t="s">
        <v>320</v>
      </c>
      <c r="D204" s="401" t="s">
        <v>321</v>
      </c>
      <c r="E204" s="431" t="s">
        <v>334</v>
      </c>
      <c r="F204" s="403" t="s">
        <v>322</v>
      </c>
      <c r="G204" s="405"/>
      <c r="H204" s="405"/>
      <c r="I204" s="405"/>
      <c r="J204" s="405"/>
      <c r="K204" s="409"/>
      <c r="L204" s="505"/>
    </row>
    <row r="205" spans="1:19" x14ac:dyDescent="0.25">
      <c r="A205" s="404"/>
      <c r="B205" s="532" t="s">
        <v>335</v>
      </c>
      <c r="C205" s="533">
        <f>J18+J35+J36+J61+J62+J84+J85+J109+J113+J137+J141+J159+J165</f>
        <v>13113.840339285713</v>
      </c>
      <c r="D205" s="534">
        <v>1000</v>
      </c>
      <c r="E205" s="535">
        <f>((1000*C205)/D205)/'Quadro de horas'!E3</f>
        <v>548.34799999999996</v>
      </c>
      <c r="F205" s="536"/>
      <c r="G205" s="405"/>
      <c r="H205" s="405"/>
      <c r="I205" s="405"/>
      <c r="J205" s="405"/>
      <c r="K205" s="409"/>
      <c r="L205" s="505"/>
    </row>
    <row r="206" spans="1:19" ht="15.75" thickBot="1" x14ac:dyDescent="0.3">
      <c r="A206" s="404"/>
      <c r="B206" s="956" t="s">
        <v>336</v>
      </c>
      <c r="C206" s="957"/>
      <c r="D206" s="957"/>
      <c r="E206" s="433">
        <f>SUM(E205:E205)</f>
        <v>548.34799999999996</v>
      </c>
      <c r="F206" s="590">
        <f>E206/1000</f>
        <v>0.54834799999999995</v>
      </c>
      <c r="G206" s="405"/>
      <c r="H206" s="405"/>
      <c r="I206" s="405"/>
      <c r="J206" s="405"/>
      <c r="K206" s="409"/>
      <c r="L206" s="505"/>
    </row>
    <row r="207" spans="1:19" ht="15.75" thickBot="1" x14ac:dyDescent="0.3">
      <c r="A207" s="404"/>
      <c r="B207" s="405"/>
      <c r="C207" s="405"/>
      <c r="D207" s="405"/>
      <c r="E207" s="405"/>
      <c r="F207" s="405"/>
      <c r="G207" s="405"/>
      <c r="H207" s="405"/>
      <c r="I207" s="405"/>
      <c r="J207" s="405"/>
      <c r="K207" s="409"/>
      <c r="L207" s="505"/>
    </row>
    <row r="208" spans="1:19" ht="15.75" thickBot="1" x14ac:dyDescent="0.3">
      <c r="A208" s="404"/>
      <c r="B208" s="958" t="s">
        <v>316</v>
      </c>
      <c r="C208" s="959"/>
      <c r="D208" s="959"/>
      <c r="E208" s="959"/>
      <c r="F208" s="591">
        <f>F206+F198+F191+F184+F177</f>
        <v>5.3614591562849503</v>
      </c>
      <c r="G208" s="405"/>
      <c r="H208" s="405"/>
      <c r="I208" s="405"/>
      <c r="J208" s="405"/>
      <c r="K208" s="409"/>
      <c r="L208" s="505"/>
    </row>
    <row r="209" spans="1:12" x14ac:dyDescent="0.25">
      <c r="A209" s="404"/>
      <c r="B209" s="405"/>
      <c r="C209" s="405"/>
      <c r="D209" s="405"/>
      <c r="E209" s="405"/>
      <c r="F209" s="405"/>
      <c r="G209" s="405"/>
      <c r="H209" s="405"/>
      <c r="I209" s="405"/>
      <c r="J209" s="405"/>
      <c r="K209" s="409"/>
      <c r="L209" s="505"/>
    </row>
  </sheetData>
  <mergeCells count="329">
    <mergeCell ref="K6:K7"/>
    <mergeCell ref="A8:A19"/>
    <mergeCell ref="A41:A66"/>
    <mergeCell ref="A5:A7"/>
    <mergeCell ref="B6:B7"/>
    <mergeCell ref="E6:E7"/>
    <mergeCell ref="F6:F7"/>
    <mergeCell ref="H6:H7"/>
    <mergeCell ref="I6:I7"/>
    <mergeCell ref="J6:J7"/>
    <mergeCell ref="G6:G7"/>
    <mergeCell ref="G20:G21"/>
    <mergeCell ref="H20:H21"/>
    <mergeCell ref="I20:I21"/>
    <mergeCell ref="J20:J21"/>
    <mergeCell ref="K20:K21"/>
    <mergeCell ref="F8:F9"/>
    <mergeCell ref="A20:A40"/>
    <mergeCell ref="B20:B21"/>
    <mergeCell ref="E20:E21"/>
    <mergeCell ref="F20:F24"/>
    <mergeCell ref="B22:B23"/>
    <mergeCell ref="E22:E23"/>
    <mergeCell ref="B29:B30"/>
    <mergeCell ref="B193:F193"/>
    <mergeCell ref="B195:F195"/>
    <mergeCell ref="B198:D198"/>
    <mergeCell ref="A67:A89"/>
    <mergeCell ref="B67:B68"/>
    <mergeCell ref="E67:E68"/>
    <mergeCell ref="F67:F71"/>
    <mergeCell ref="G67:G68"/>
    <mergeCell ref="B86:B89"/>
    <mergeCell ref="E86:E89"/>
    <mergeCell ref="G86:G89"/>
    <mergeCell ref="F86:F89"/>
    <mergeCell ref="B69:B70"/>
    <mergeCell ref="E69:E70"/>
    <mergeCell ref="G69:G70"/>
    <mergeCell ref="A90:A113"/>
    <mergeCell ref="B90:B91"/>
    <mergeCell ref="E90:E91"/>
    <mergeCell ref="F90:F94"/>
    <mergeCell ref="G90:G91"/>
    <mergeCell ref="G104:G108"/>
    <mergeCell ref="F101:F102"/>
    <mergeCell ref="F104:F108"/>
    <mergeCell ref="F128:F136"/>
    <mergeCell ref="E29:E30"/>
    <mergeCell ref="B31:B34"/>
    <mergeCell ref="E31:E34"/>
    <mergeCell ref="B37:B40"/>
    <mergeCell ref="E37:E40"/>
    <mergeCell ref="G29:G30"/>
    <mergeCell ref="H29:H30"/>
    <mergeCell ref="I29:I30"/>
    <mergeCell ref="J29:J30"/>
    <mergeCell ref="K29:K30"/>
    <mergeCell ref="G22:G23"/>
    <mergeCell ref="H22:H23"/>
    <mergeCell ref="I22:I23"/>
    <mergeCell ref="J22:J23"/>
    <mergeCell ref="K22:K23"/>
    <mergeCell ref="G37:G40"/>
    <mergeCell ref="H37:H40"/>
    <mergeCell ref="I37:I40"/>
    <mergeCell ref="J37:J40"/>
    <mergeCell ref="K37:K40"/>
    <mergeCell ref="G31:G34"/>
    <mergeCell ref="H31:H34"/>
    <mergeCell ref="I31:I34"/>
    <mergeCell ref="J31:J34"/>
    <mergeCell ref="K31:K34"/>
    <mergeCell ref="I41:I42"/>
    <mergeCell ref="J41:J42"/>
    <mergeCell ref="K41:K42"/>
    <mergeCell ref="B43:B44"/>
    <mergeCell ref="E43:E44"/>
    <mergeCell ref="G43:G44"/>
    <mergeCell ref="H43:H44"/>
    <mergeCell ref="I43:I44"/>
    <mergeCell ref="J43:J44"/>
    <mergeCell ref="K43:K44"/>
    <mergeCell ref="B41:B42"/>
    <mergeCell ref="E41:E42"/>
    <mergeCell ref="F41:F45"/>
    <mergeCell ref="G41:G42"/>
    <mergeCell ref="H41:H42"/>
    <mergeCell ref="B55:B57"/>
    <mergeCell ref="E55:E57"/>
    <mergeCell ref="G55:G57"/>
    <mergeCell ref="H55:H57"/>
    <mergeCell ref="I55:I57"/>
    <mergeCell ref="J55:J57"/>
    <mergeCell ref="K55:K57"/>
    <mergeCell ref="B46:B51"/>
    <mergeCell ref="E46:E51"/>
    <mergeCell ref="G46:G51"/>
    <mergeCell ref="H46:H51"/>
    <mergeCell ref="F46:F52"/>
    <mergeCell ref="F55:F57"/>
    <mergeCell ref="H69:H70"/>
    <mergeCell ref="I69:I70"/>
    <mergeCell ref="J69:J70"/>
    <mergeCell ref="K69:K70"/>
    <mergeCell ref="I58:I60"/>
    <mergeCell ref="J58:J60"/>
    <mergeCell ref="K58:K60"/>
    <mergeCell ref="B63:B66"/>
    <mergeCell ref="E63:E66"/>
    <mergeCell ref="G63:G66"/>
    <mergeCell ref="H63:H66"/>
    <mergeCell ref="I63:I66"/>
    <mergeCell ref="J63:J66"/>
    <mergeCell ref="K63:K66"/>
    <mergeCell ref="B58:B60"/>
    <mergeCell ref="E58:E60"/>
    <mergeCell ref="G58:G60"/>
    <mergeCell ref="H58:H60"/>
    <mergeCell ref="H67:H68"/>
    <mergeCell ref="I67:I68"/>
    <mergeCell ref="J67:J68"/>
    <mergeCell ref="F58:F60"/>
    <mergeCell ref="F61:F62"/>
    <mergeCell ref="F63:F66"/>
    <mergeCell ref="H90:H91"/>
    <mergeCell ref="I90:I91"/>
    <mergeCell ref="J90:J91"/>
    <mergeCell ref="K90:K91"/>
    <mergeCell ref="B92:B93"/>
    <mergeCell ref="E92:E93"/>
    <mergeCell ref="G92:G93"/>
    <mergeCell ref="F95:F100"/>
    <mergeCell ref="B110:B112"/>
    <mergeCell ref="E110:E112"/>
    <mergeCell ref="G110:G112"/>
    <mergeCell ref="H110:H112"/>
    <mergeCell ref="I110:I112"/>
    <mergeCell ref="J110:J112"/>
    <mergeCell ref="K110:K112"/>
    <mergeCell ref="H92:H93"/>
    <mergeCell ref="I92:I93"/>
    <mergeCell ref="J92:J93"/>
    <mergeCell ref="K92:K93"/>
    <mergeCell ref="B95:B100"/>
    <mergeCell ref="E95:E100"/>
    <mergeCell ref="G95:G100"/>
    <mergeCell ref="B104:B108"/>
    <mergeCell ref="E104:E108"/>
    <mergeCell ref="A114:A141"/>
    <mergeCell ref="B114:B115"/>
    <mergeCell ref="E114:E115"/>
    <mergeCell ref="F114:F118"/>
    <mergeCell ref="G114:G115"/>
    <mergeCell ref="B119:B124"/>
    <mergeCell ref="E119:E124"/>
    <mergeCell ref="G119:G124"/>
    <mergeCell ref="B138:B140"/>
    <mergeCell ref="E138:E140"/>
    <mergeCell ref="G138:G140"/>
    <mergeCell ref="B128:B136"/>
    <mergeCell ref="E128:E136"/>
    <mergeCell ref="A142:A165"/>
    <mergeCell ref="B142:B143"/>
    <mergeCell ref="E142:E143"/>
    <mergeCell ref="G142:G143"/>
    <mergeCell ref="H142:H143"/>
    <mergeCell ref="I142:I143"/>
    <mergeCell ref="J142:J143"/>
    <mergeCell ref="B144:B145"/>
    <mergeCell ref="E144:E145"/>
    <mergeCell ref="G144:G145"/>
    <mergeCell ref="F161:F164"/>
    <mergeCell ref="K142:K143"/>
    <mergeCell ref="G128:G136"/>
    <mergeCell ref="F138:F140"/>
    <mergeCell ref="B116:B117"/>
    <mergeCell ref="E116:E117"/>
    <mergeCell ref="G116:G117"/>
    <mergeCell ref="B169:J169"/>
    <mergeCell ref="B171:F171"/>
    <mergeCell ref="H144:H145"/>
    <mergeCell ref="I144:I145"/>
    <mergeCell ref="J144:J145"/>
    <mergeCell ref="H116:H117"/>
    <mergeCell ref="I116:I117"/>
    <mergeCell ref="J116:J117"/>
    <mergeCell ref="F119:F126"/>
    <mergeCell ref="B161:B164"/>
    <mergeCell ref="E161:E164"/>
    <mergeCell ref="G161:G164"/>
    <mergeCell ref="H161:H164"/>
    <mergeCell ref="I161:I164"/>
    <mergeCell ref="J161:J164"/>
    <mergeCell ref="K161:K164"/>
    <mergeCell ref="F147:F151"/>
    <mergeCell ref="F153:F158"/>
    <mergeCell ref="B203:F203"/>
    <mergeCell ref="B206:D206"/>
    <mergeCell ref="B208:E208"/>
    <mergeCell ref="M6:M7"/>
    <mergeCell ref="M29:M30"/>
    <mergeCell ref="M31:M34"/>
    <mergeCell ref="M37:M40"/>
    <mergeCell ref="M46:M51"/>
    <mergeCell ref="M55:M57"/>
    <mergeCell ref="M58:M60"/>
    <mergeCell ref="M63:M66"/>
    <mergeCell ref="B184:D184"/>
    <mergeCell ref="B186:F186"/>
    <mergeCell ref="B188:F188"/>
    <mergeCell ref="B191:D191"/>
    <mergeCell ref="B201:F201"/>
    <mergeCell ref="B173:F173"/>
    <mergeCell ref="B177:D177"/>
    <mergeCell ref="B179:F179"/>
    <mergeCell ref="B181:F181"/>
    <mergeCell ref="C166:D166"/>
    <mergeCell ref="M86:M89"/>
    <mergeCell ref="B167:D167"/>
    <mergeCell ref="B168:I168"/>
    <mergeCell ref="Q43:Q44"/>
    <mergeCell ref="Q67:Q68"/>
    <mergeCell ref="K116:K117"/>
    <mergeCell ref="H95:H100"/>
    <mergeCell ref="I95:I100"/>
    <mergeCell ref="J95:J100"/>
    <mergeCell ref="K95:K100"/>
    <mergeCell ref="Q69:Q70"/>
    <mergeCell ref="M8:M9"/>
    <mergeCell ref="M20:M24"/>
    <mergeCell ref="M41:M45"/>
    <mergeCell ref="M67:M71"/>
    <mergeCell ref="M90:M94"/>
    <mergeCell ref="M114:M118"/>
    <mergeCell ref="Q46:Q66"/>
    <mergeCell ref="Q72:Q89"/>
    <mergeCell ref="Q95:Q113"/>
    <mergeCell ref="Q114:Q115"/>
    <mergeCell ref="Q116:Q117"/>
    <mergeCell ref="Q10:Q19"/>
    <mergeCell ref="N20:N24"/>
    <mergeCell ref="N25:N27"/>
    <mergeCell ref="N29:N34"/>
    <mergeCell ref="N10:N13"/>
    <mergeCell ref="M161:M164"/>
    <mergeCell ref="M128:M136"/>
    <mergeCell ref="M138:M140"/>
    <mergeCell ref="M119:M124"/>
    <mergeCell ref="N161:N164"/>
    <mergeCell ref="N110:N112"/>
    <mergeCell ref="N114:N118"/>
    <mergeCell ref="N119:N126"/>
    <mergeCell ref="N138:N140"/>
    <mergeCell ref="N142:N146"/>
    <mergeCell ref="N128:N136"/>
    <mergeCell ref="M110:M112"/>
    <mergeCell ref="N5:N7"/>
    <mergeCell ref="R5:R165"/>
    <mergeCell ref="Q142:Q143"/>
    <mergeCell ref="Q144:Q145"/>
    <mergeCell ref="N37:N40"/>
    <mergeCell ref="N41:N45"/>
    <mergeCell ref="N55:N60"/>
    <mergeCell ref="N63:N66"/>
    <mergeCell ref="N67:N71"/>
    <mergeCell ref="N86:N89"/>
    <mergeCell ref="N90:N94"/>
    <mergeCell ref="N95:N102"/>
    <mergeCell ref="Q119:Q141"/>
    <mergeCell ref="Q5:Q7"/>
    <mergeCell ref="N46:N53"/>
    <mergeCell ref="O46:O53"/>
    <mergeCell ref="P46:P53"/>
    <mergeCell ref="Q147:Q165"/>
    <mergeCell ref="Q25:Q40"/>
    <mergeCell ref="Q90:Q91"/>
    <mergeCell ref="Q92:Q93"/>
    <mergeCell ref="Q20:Q21"/>
    <mergeCell ref="Q22:Q23"/>
    <mergeCell ref="Q41:Q42"/>
    <mergeCell ref="F72:F82"/>
    <mergeCell ref="F84:F85"/>
    <mergeCell ref="N147:N151"/>
    <mergeCell ref="N153:N158"/>
    <mergeCell ref="H138:H140"/>
    <mergeCell ref="I138:I140"/>
    <mergeCell ref="J138:J140"/>
    <mergeCell ref="K138:K140"/>
    <mergeCell ref="H119:H124"/>
    <mergeCell ref="I119:I124"/>
    <mergeCell ref="J119:J124"/>
    <mergeCell ref="H128:H136"/>
    <mergeCell ref="I128:I136"/>
    <mergeCell ref="J128:J136"/>
    <mergeCell ref="K128:K136"/>
    <mergeCell ref="H114:H115"/>
    <mergeCell ref="I114:I115"/>
    <mergeCell ref="J114:J115"/>
    <mergeCell ref="K114:K115"/>
    <mergeCell ref="M142:M146"/>
    <mergeCell ref="M95:M100"/>
    <mergeCell ref="M104:M108"/>
    <mergeCell ref="K144:K145"/>
    <mergeCell ref="F142:F146"/>
    <mergeCell ref="A2:S2"/>
    <mergeCell ref="A1:S1"/>
    <mergeCell ref="K67:K68"/>
    <mergeCell ref="I46:I51"/>
    <mergeCell ref="J46:J51"/>
    <mergeCell ref="K46:K51"/>
    <mergeCell ref="F110:F112"/>
    <mergeCell ref="K119:K124"/>
    <mergeCell ref="I104:I108"/>
    <mergeCell ref="J104:J108"/>
    <mergeCell ref="K104:K108"/>
    <mergeCell ref="H86:H89"/>
    <mergeCell ref="I86:I89"/>
    <mergeCell ref="J86:J89"/>
    <mergeCell ref="K86:K89"/>
    <mergeCell ref="H104:H108"/>
    <mergeCell ref="M3:S3"/>
    <mergeCell ref="S5:S166"/>
    <mergeCell ref="F10:F13"/>
    <mergeCell ref="F14:F17"/>
    <mergeCell ref="F25:F27"/>
    <mergeCell ref="F29:F34"/>
    <mergeCell ref="F37:F40"/>
    <mergeCell ref="F35:F36"/>
  </mergeCells>
  <pageMargins left="0.51181102362204722" right="0.51181102362204722" top="0.39370078740157483" bottom="0.39370078740157483" header="0.31496062992125984" footer="0.31496062992125984"/>
  <pageSetup paperSize="9" scale="43" fitToHeight="3" orientation="landscape" r:id="rId1"/>
  <headerFooter>
    <oddFooter>&amp;L&amp;F&amp;C&amp;A&amp;R&amp;P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61"/>
  <sheetViews>
    <sheetView topLeftCell="A42" zoomScaleNormal="100" workbookViewId="0">
      <selection activeCell="D22" sqref="D22"/>
    </sheetView>
  </sheetViews>
  <sheetFormatPr defaultColWidth="8.7109375" defaultRowHeight="12.75" x14ac:dyDescent="0.2"/>
  <cols>
    <col min="1" max="1" width="9.140625" style="212" customWidth="1"/>
    <col min="2" max="2" width="89" style="255" customWidth="1"/>
    <col min="3" max="3" width="17.5703125" style="255" bestFit="1" customWidth="1"/>
    <col min="4" max="4" width="24.140625" style="255" bestFit="1" customWidth="1"/>
    <col min="5" max="16384" width="8.7109375" style="61"/>
  </cols>
  <sheetData>
    <row r="1" spans="1:4" x14ac:dyDescent="0.2">
      <c r="A1" s="754" t="s">
        <v>560</v>
      </c>
      <c r="B1" s="754"/>
      <c r="C1" s="754"/>
      <c r="D1" s="754"/>
    </row>
    <row r="2" spans="1:4" x14ac:dyDescent="0.2">
      <c r="A2" s="754" t="s">
        <v>9</v>
      </c>
      <c r="B2" s="754"/>
      <c r="C2" s="754"/>
      <c r="D2" s="754"/>
    </row>
    <row r="3" spans="1:4" x14ac:dyDescent="0.2">
      <c r="A3" s="754" t="s">
        <v>558</v>
      </c>
      <c r="B3" s="754"/>
      <c r="C3" s="754"/>
      <c r="D3" s="754"/>
    </row>
    <row r="4" spans="1:4" ht="13.5" thickBot="1" x14ac:dyDescent="0.25">
      <c r="B4" s="18" t="s">
        <v>0</v>
      </c>
      <c r="C4" s="19" t="s">
        <v>0</v>
      </c>
      <c r="D4" s="19" t="s">
        <v>0</v>
      </c>
    </row>
    <row r="5" spans="1:4" ht="13.5" thickTop="1" x14ac:dyDescent="0.2">
      <c r="A5" s="721" t="s">
        <v>16</v>
      </c>
      <c r="B5" s="722"/>
      <c r="C5" s="723"/>
      <c r="D5" s="204" t="s">
        <v>170</v>
      </c>
    </row>
    <row r="6" spans="1:4" x14ac:dyDescent="0.2">
      <c r="A6" s="724" t="s">
        <v>134</v>
      </c>
      <c r="B6" s="725"/>
      <c r="C6" s="726"/>
      <c r="D6" s="276"/>
    </row>
    <row r="7" spans="1:4" ht="13.5" thickBot="1" x14ac:dyDescent="0.25">
      <c r="A7" s="732" t="s">
        <v>18</v>
      </c>
      <c r="B7" s="733"/>
      <c r="C7" s="735"/>
      <c r="D7" s="277" t="s">
        <v>17</v>
      </c>
    </row>
    <row r="8" spans="1:4" ht="14.25" thickTop="1" thickBot="1" x14ac:dyDescent="0.25">
      <c r="B8" s="145"/>
      <c r="C8" s="20"/>
      <c r="D8" s="21"/>
    </row>
    <row r="9" spans="1:4" ht="14.25" thickTop="1" thickBot="1" x14ac:dyDescent="0.25">
      <c r="A9" s="738" t="s">
        <v>41</v>
      </c>
      <c r="B9" s="739"/>
      <c r="C9" s="739"/>
      <c r="D9" s="740"/>
    </row>
    <row r="10" spans="1:4" ht="13.5" thickTop="1" x14ac:dyDescent="0.2">
      <c r="A10" s="751" t="s">
        <v>43</v>
      </c>
      <c r="B10" s="752"/>
      <c r="C10" s="753"/>
      <c r="D10" s="278" t="s">
        <v>51</v>
      </c>
    </row>
    <row r="11" spans="1:4" x14ac:dyDescent="0.2">
      <c r="A11" s="724" t="s">
        <v>19</v>
      </c>
      <c r="B11" s="725"/>
      <c r="C11" s="726"/>
      <c r="D11" s="205" t="s">
        <v>50</v>
      </c>
    </row>
    <row r="12" spans="1:4" ht="25.5" x14ac:dyDescent="0.2">
      <c r="A12" s="724" t="s">
        <v>42</v>
      </c>
      <c r="B12" s="725"/>
      <c r="C12" s="726"/>
      <c r="D12" s="278" t="s">
        <v>172</v>
      </c>
    </row>
    <row r="13" spans="1:4" ht="13.5" thickBot="1" x14ac:dyDescent="0.25">
      <c r="A13" s="732" t="s">
        <v>20</v>
      </c>
      <c r="B13" s="733"/>
      <c r="C13" s="735"/>
      <c r="D13" s="206">
        <v>12</v>
      </c>
    </row>
    <row r="14" spans="1:4" ht="14.25" thickTop="1" thickBot="1" x14ac:dyDescent="0.25">
      <c r="B14" s="145"/>
      <c r="C14" s="20"/>
      <c r="D14" s="20"/>
    </row>
    <row r="15" spans="1:4" ht="14.25" thickTop="1" thickBot="1" x14ac:dyDescent="0.25">
      <c r="A15" s="746" t="s">
        <v>21</v>
      </c>
      <c r="B15" s="747"/>
      <c r="C15" s="747"/>
      <c r="D15" s="748"/>
    </row>
    <row r="16" spans="1:4" ht="15" customHeight="1" thickTop="1" thickBot="1" x14ac:dyDescent="0.25">
      <c r="A16" s="749" t="s">
        <v>22</v>
      </c>
      <c r="B16" s="749"/>
      <c r="C16" s="300" t="s">
        <v>23</v>
      </c>
      <c r="D16" s="22" t="s">
        <v>24</v>
      </c>
    </row>
    <row r="17" spans="1:4" ht="14.25" thickTop="1" thickBot="1" x14ac:dyDescent="0.25">
      <c r="A17" s="750" t="s">
        <v>387</v>
      </c>
      <c r="B17" s="750"/>
      <c r="C17" s="301" t="s">
        <v>135</v>
      </c>
      <c r="D17" s="305" t="s">
        <v>176</v>
      </c>
    </row>
    <row r="18" spans="1:4" ht="14.25" thickTop="1" thickBot="1" x14ac:dyDescent="0.25">
      <c r="A18" s="213"/>
      <c r="B18" s="146"/>
      <c r="C18" s="23"/>
      <c r="D18" s="23"/>
    </row>
    <row r="19" spans="1:4" ht="14.25" thickTop="1" thickBot="1" x14ac:dyDescent="0.25">
      <c r="A19" s="738" t="s">
        <v>45</v>
      </c>
      <c r="B19" s="739"/>
      <c r="C19" s="739"/>
      <c r="D19" s="740"/>
    </row>
    <row r="20" spans="1:4" ht="13.5" thickTop="1" x14ac:dyDescent="0.2">
      <c r="A20" s="721" t="s">
        <v>102</v>
      </c>
      <c r="B20" s="722"/>
      <c r="C20" s="723"/>
      <c r="D20" s="207" t="s">
        <v>387</v>
      </c>
    </row>
    <row r="21" spans="1:4" x14ac:dyDescent="0.2">
      <c r="A21" s="724" t="s">
        <v>47</v>
      </c>
      <c r="B21" s="725"/>
      <c r="C21" s="726"/>
      <c r="D21" s="208" t="s">
        <v>556</v>
      </c>
    </row>
    <row r="22" spans="1:4" x14ac:dyDescent="0.2">
      <c r="A22" s="724" t="s">
        <v>46</v>
      </c>
      <c r="B22" s="725"/>
      <c r="C22" s="726"/>
      <c r="D22" s="279">
        <v>1901.53</v>
      </c>
    </row>
    <row r="23" spans="1:4" ht="25.5" x14ac:dyDescent="0.2">
      <c r="A23" s="724" t="s">
        <v>48</v>
      </c>
      <c r="B23" s="725"/>
      <c r="C23" s="726"/>
      <c r="D23" s="208" t="s">
        <v>567</v>
      </c>
    </row>
    <row r="24" spans="1:4" ht="13.5" thickBot="1" x14ac:dyDescent="0.25">
      <c r="A24" s="732" t="s">
        <v>49</v>
      </c>
      <c r="B24" s="733"/>
      <c r="C24" s="735"/>
      <c r="D24" s="280">
        <v>43466</v>
      </c>
    </row>
    <row r="25" spans="1:4" ht="14.25" thickTop="1" thickBot="1" x14ac:dyDescent="0.25">
      <c r="B25" s="145"/>
      <c r="C25" s="20"/>
      <c r="D25" s="20"/>
    </row>
    <row r="26" spans="1:4" ht="14.25" thickTop="1" thickBot="1" x14ac:dyDescent="0.25">
      <c r="A26" s="738" t="s">
        <v>44</v>
      </c>
      <c r="B26" s="739"/>
      <c r="C26" s="739"/>
      <c r="D26" s="740"/>
    </row>
    <row r="27" spans="1:4" ht="13.5" thickTop="1" x14ac:dyDescent="0.2">
      <c r="A27" s="721" t="s">
        <v>12</v>
      </c>
      <c r="B27" s="722"/>
      <c r="C27" s="737"/>
      <c r="D27" s="281">
        <v>5.5</v>
      </c>
    </row>
    <row r="28" spans="1:4" x14ac:dyDescent="0.2">
      <c r="A28" s="724" t="s">
        <v>14</v>
      </c>
      <c r="B28" s="725"/>
      <c r="C28" s="736"/>
      <c r="D28" s="282">
        <v>35</v>
      </c>
    </row>
    <row r="29" spans="1:4" ht="14.45" customHeight="1" x14ac:dyDescent="0.2">
      <c r="A29" s="724" t="s">
        <v>13</v>
      </c>
      <c r="B29" s="725"/>
      <c r="C29" s="736"/>
      <c r="D29" s="282">
        <v>0</v>
      </c>
    </row>
    <row r="30" spans="1:4" x14ac:dyDescent="0.2">
      <c r="A30" s="724" t="s">
        <v>125</v>
      </c>
      <c r="B30" s="725"/>
      <c r="C30" s="736"/>
      <c r="D30" s="283">
        <v>0</v>
      </c>
    </row>
    <row r="31" spans="1:4" x14ac:dyDescent="0.2">
      <c r="A31" s="724" t="s">
        <v>26</v>
      </c>
      <c r="B31" s="725"/>
      <c r="C31" s="736"/>
      <c r="D31" s="282">
        <v>0</v>
      </c>
    </row>
    <row r="32" spans="1:4" x14ac:dyDescent="0.2">
      <c r="A32" s="724" t="s">
        <v>169</v>
      </c>
      <c r="B32" s="725"/>
      <c r="C32" s="736"/>
      <c r="D32" s="283">
        <v>2</v>
      </c>
    </row>
    <row r="33" spans="1:4" x14ac:dyDescent="0.2">
      <c r="A33" s="743" t="s">
        <v>167</v>
      </c>
      <c r="B33" s="744"/>
      <c r="C33" s="745"/>
      <c r="D33" s="283">
        <v>0</v>
      </c>
    </row>
    <row r="34" spans="1:4" ht="13.5" thickBot="1" x14ac:dyDescent="0.25">
      <c r="A34" s="732" t="s">
        <v>25</v>
      </c>
      <c r="B34" s="733"/>
      <c r="C34" s="734"/>
      <c r="D34" s="284">
        <v>21</v>
      </c>
    </row>
    <row r="35" spans="1:4" ht="14.25" thickTop="1" thickBot="1" x14ac:dyDescent="0.25">
      <c r="A35" s="20"/>
      <c r="B35" s="145"/>
      <c r="C35" s="20"/>
      <c r="D35" s="24"/>
    </row>
    <row r="36" spans="1:4" ht="13.5" thickBot="1" x14ac:dyDescent="0.25">
      <c r="A36" s="25" t="s">
        <v>109</v>
      </c>
      <c r="B36" s="729" t="s">
        <v>123</v>
      </c>
      <c r="C36" s="730"/>
      <c r="D36" s="731"/>
    </row>
    <row r="37" spans="1:4" ht="15.75" customHeight="1" thickBot="1" x14ac:dyDescent="0.25">
      <c r="B37" s="145"/>
      <c r="C37" s="20"/>
      <c r="D37" s="20"/>
    </row>
    <row r="38" spans="1:4" ht="39" thickBot="1" x14ac:dyDescent="0.25">
      <c r="A38" s="214"/>
      <c r="B38" s="256" t="s">
        <v>1</v>
      </c>
      <c r="C38" s="257" t="s">
        <v>2</v>
      </c>
      <c r="D38" s="257" t="s">
        <v>175</v>
      </c>
    </row>
    <row r="39" spans="1:4" ht="13.5" thickBot="1" x14ac:dyDescent="0.25">
      <c r="A39" s="741" t="s">
        <v>3</v>
      </c>
      <c r="B39" s="742"/>
      <c r="C39" s="727" t="s">
        <v>0</v>
      </c>
      <c r="D39" s="728"/>
    </row>
    <row r="40" spans="1:4" ht="13.5" thickBot="1" x14ac:dyDescent="0.25">
      <c r="A40" s="26">
        <v>1</v>
      </c>
      <c r="B40" s="147" t="s">
        <v>10</v>
      </c>
      <c r="C40" s="27" t="s">
        <v>0</v>
      </c>
      <c r="D40" s="28" t="s">
        <v>11</v>
      </c>
    </row>
    <row r="41" spans="1:4" x14ac:dyDescent="0.2">
      <c r="A41" s="215" t="s">
        <v>32</v>
      </c>
      <c r="B41" s="148" t="s">
        <v>64</v>
      </c>
      <c r="C41" s="29" t="s">
        <v>0</v>
      </c>
      <c r="D41" s="286">
        <f>D22</f>
        <v>1901.53</v>
      </c>
    </row>
    <row r="42" spans="1:4" x14ac:dyDescent="0.2">
      <c r="A42" s="215" t="s">
        <v>33</v>
      </c>
      <c r="B42" s="149" t="s">
        <v>104</v>
      </c>
      <c r="C42" s="31" t="s">
        <v>0</v>
      </c>
      <c r="D42" s="287">
        <v>0</v>
      </c>
    </row>
    <row r="43" spans="1:4" x14ac:dyDescent="0.2">
      <c r="A43" s="215" t="s">
        <v>34</v>
      </c>
      <c r="B43" s="149" t="s">
        <v>105</v>
      </c>
      <c r="C43" s="31" t="s">
        <v>0</v>
      </c>
      <c r="D43" s="287">
        <v>0</v>
      </c>
    </row>
    <row r="44" spans="1:4" x14ac:dyDescent="0.2">
      <c r="A44" s="215" t="s">
        <v>35</v>
      </c>
      <c r="B44" s="149" t="s">
        <v>106</v>
      </c>
      <c r="C44" s="33" t="s">
        <v>0</v>
      </c>
      <c r="D44" s="287">
        <v>0</v>
      </c>
    </row>
    <row r="45" spans="1:4" x14ac:dyDescent="0.2">
      <c r="A45" s="215" t="s">
        <v>36</v>
      </c>
      <c r="B45" s="149" t="s">
        <v>107</v>
      </c>
      <c r="C45" s="33" t="s">
        <v>0</v>
      </c>
      <c r="D45" s="287">
        <v>0</v>
      </c>
    </row>
    <row r="46" spans="1:4" ht="13.5" thickBot="1" x14ac:dyDescent="0.25">
      <c r="A46" s="216" t="s">
        <v>63</v>
      </c>
      <c r="B46" s="150" t="s">
        <v>65</v>
      </c>
      <c r="C46" s="34" t="s">
        <v>0</v>
      </c>
      <c r="D46" s="288">
        <v>0</v>
      </c>
    </row>
    <row r="47" spans="1:4" ht="15.75" customHeight="1" thickBot="1" x14ac:dyDescent="0.25">
      <c r="A47" s="765" t="s">
        <v>4</v>
      </c>
      <c r="B47" s="766"/>
      <c r="C47" s="767"/>
      <c r="D47" s="68">
        <f>SUM(D41:D46)</f>
        <v>1901.53</v>
      </c>
    </row>
    <row r="48" spans="1:4" ht="13.5" thickBot="1" x14ac:dyDescent="0.25">
      <c r="B48" s="151" t="s">
        <v>0</v>
      </c>
      <c r="C48" s="36" t="s">
        <v>0</v>
      </c>
      <c r="D48" s="37" t="s">
        <v>0</v>
      </c>
    </row>
    <row r="49" spans="1:4" ht="13.5" thickBot="1" x14ac:dyDescent="0.25">
      <c r="A49" s="770" t="s">
        <v>55</v>
      </c>
      <c r="B49" s="771"/>
      <c r="C49" s="258"/>
      <c r="D49" s="259"/>
    </row>
    <row r="50" spans="1:4" ht="13.5" thickBot="1" x14ac:dyDescent="0.25">
      <c r="A50" s="56" t="s">
        <v>57</v>
      </c>
      <c r="B50" s="772" t="s">
        <v>52</v>
      </c>
      <c r="C50" s="772"/>
      <c r="D50" s="773"/>
    </row>
    <row r="51" spans="1:4" ht="15.75" customHeight="1" x14ac:dyDescent="0.2">
      <c r="A51" s="217" t="s">
        <v>32</v>
      </c>
      <c r="B51" s="178" t="s">
        <v>152</v>
      </c>
      <c r="C51" s="135">
        <v>8.3333000000000004E-2</v>
      </c>
      <c r="D51" s="77">
        <f>C51*D47</f>
        <v>158.46019949000001</v>
      </c>
    </row>
    <row r="52" spans="1:4" ht="29.25" customHeight="1" thickBot="1" x14ac:dyDescent="0.25">
      <c r="A52" s="218" t="s">
        <v>33</v>
      </c>
      <c r="B52" s="179" t="s">
        <v>156</v>
      </c>
      <c r="C52" s="136">
        <v>0.121</v>
      </c>
      <c r="D52" s="79">
        <f>C52*D47</f>
        <v>230.08512999999999</v>
      </c>
    </row>
    <row r="53" spans="1:4" ht="13.5" thickBot="1" x14ac:dyDescent="0.25">
      <c r="A53" s="765" t="s">
        <v>130</v>
      </c>
      <c r="B53" s="767"/>
      <c r="C53" s="121">
        <f>SUM(C51:C52)</f>
        <v>0.20433299999999999</v>
      </c>
      <c r="D53" s="68">
        <f>SUM(D51:D52)</f>
        <v>388.54532948999997</v>
      </c>
    </row>
    <row r="54" spans="1:4" x14ac:dyDescent="0.2">
      <c r="A54" s="769" t="s">
        <v>160</v>
      </c>
      <c r="B54" s="769"/>
      <c r="C54" s="769"/>
      <c r="D54" s="769"/>
    </row>
    <row r="55" spans="1:4" ht="13.5" thickBot="1" x14ac:dyDescent="0.25">
      <c r="A55" s="213"/>
      <c r="B55" s="152"/>
      <c r="C55" s="40"/>
      <c r="D55" s="40"/>
    </row>
    <row r="56" spans="1:4" ht="13.5" thickBot="1" x14ac:dyDescent="0.25">
      <c r="A56" s="38" t="s">
        <v>58</v>
      </c>
      <c r="B56" s="303" t="s">
        <v>54</v>
      </c>
      <c r="C56" s="41"/>
      <c r="D56" s="28" t="s">
        <v>11</v>
      </c>
    </row>
    <row r="57" spans="1:4" x14ac:dyDescent="0.2">
      <c r="A57" s="219" t="s">
        <v>32</v>
      </c>
      <c r="B57" s="154" t="s">
        <v>67</v>
      </c>
      <c r="C57" s="42">
        <v>0.2</v>
      </c>
      <c r="D57" s="30">
        <f>$D$47*C57</f>
        <v>380.30600000000004</v>
      </c>
    </row>
    <row r="58" spans="1:4" x14ac:dyDescent="0.2">
      <c r="A58" s="127" t="s">
        <v>33</v>
      </c>
      <c r="B58" s="155" t="s">
        <v>68</v>
      </c>
      <c r="C58" s="43">
        <v>1.4999999999999999E-2</v>
      </c>
      <c r="D58" s="32">
        <f>($D$47*C58)</f>
        <v>28.522949999999998</v>
      </c>
    </row>
    <row r="59" spans="1:4" x14ac:dyDescent="0.2">
      <c r="A59" s="127" t="s">
        <v>34</v>
      </c>
      <c r="B59" s="155" t="s">
        <v>69</v>
      </c>
      <c r="C59" s="43">
        <v>0.01</v>
      </c>
      <c r="D59" s="32">
        <f t="shared" ref="D59:D61" si="0">($D$47*C59)</f>
        <v>19.0153</v>
      </c>
    </row>
    <row r="60" spans="1:4" s="142" customFormat="1" x14ac:dyDescent="0.2">
      <c r="A60" s="127" t="s">
        <v>35</v>
      </c>
      <c r="B60" s="155" t="s">
        <v>70</v>
      </c>
      <c r="C60" s="43">
        <v>2E-3</v>
      </c>
      <c r="D60" s="32">
        <f t="shared" si="0"/>
        <v>3.8030599999999999</v>
      </c>
    </row>
    <row r="61" spans="1:4" x14ac:dyDescent="0.2">
      <c r="A61" s="127" t="s">
        <v>36</v>
      </c>
      <c r="B61" s="155" t="s">
        <v>71</v>
      </c>
      <c r="C61" s="43">
        <v>2.5000000000000001E-2</v>
      </c>
      <c r="D61" s="32">
        <f t="shared" si="0"/>
        <v>47.538250000000005</v>
      </c>
    </row>
    <row r="62" spans="1:4" x14ac:dyDescent="0.2">
      <c r="A62" s="220" t="s">
        <v>61</v>
      </c>
      <c r="B62" s="156" t="s">
        <v>72</v>
      </c>
      <c r="C62" s="119">
        <v>0.08</v>
      </c>
      <c r="D62" s="120">
        <f>$D$47*C62</f>
        <v>152.1224</v>
      </c>
    </row>
    <row r="63" spans="1:4" x14ac:dyDescent="0.2">
      <c r="A63" s="289" t="s">
        <v>62</v>
      </c>
      <c r="B63" s="290" t="s">
        <v>73</v>
      </c>
      <c r="C63" s="291">
        <v>0.03</v>
      </c>
      <c r="D63" s="285">
        <f>($D$47*C63)</f>
        <v>57.045899999999996</v>
      </c>
    </row>
    <row r="64" spans="1:4" ht="13.5" thickBot="1" x14ac:dyDescent="0.25">
      <c r="A64" s="221" t="s">
        <v>63</v>
      </c>
      <c r="B64" s="157" t="s">
        <v>74</v>
      </c>
      <c r="C64" s="70">
        <v>6.0000000000000001E-3</v>
      </c>
      <c r="D64" s="32">
        <f>($D$47*C64)</f>
        <v>11.409179999999999</v>
      </c>
    </row>
    <row r="65" spans="1:4" ht="13.5" thickBot="1" x14ac:dyDescent="0.25">
      <c r="A65" s="765" t="s">
        <v>130</v>
      </c>
      <c r="B65" s="767"/>
      <c r="C65" s="71">
        <f>SUM(C57:C64)</f>
        <v>0.3680000000000001</v>
      </c>
      <c r="D65" s="72">
        <f>SUM(D57:D64)</f>
        <v>699.76304000000005</v>
      </c>
    </row>
    <row r="66" spans="1:4" x14ac:dyDescent="0.2">
      <c r="A66" s="758" t="s">
        <v>158</v>
      </c>
      <c r="B66" s="758"/>
      <c r="C66" s="758"/>
      <c r="D66" s="758"/>
    </row>
    <row r="67" spans="1:4" x14ac:dyDescent="0.2">
      <c r="A67" s="759" t="s">
        <v>159</v>
      </c>
      <c r="B67" s="759"/>
      <c r="C67" s="759"/>
      <c r="D67" s="759"/>
    </row>
    <row r="68" spans="1:4" ht="13.5" thickBot="1" x14ac:dyDescent="0.25">
      <c r="B68" s="151"/>
      <c r="C68" s="36"/>
      <c r="D68" s="37"/>
    </row>
    <row r="69" spans="1:4" ht="13.5" thickBot="1" x14ac:dyDescent="0.25">
      <c r="A69" s="38" t="s">
        <v>59</v>
      </c>
      <c r="B69" s="202" t="s">
        <v>56</v>
      </c>
      <c r="C69" s="45" t="s">
        <v>0</v>
      </c>
      <c r="D69" s="46" t="s">
        <v>11</v>
      </c>
    </row>
    <row r="70" spans="1:4" x14ac:dyDescent="0.2">
      <c r="A70" s="222" t="s">
        <v>32</v>
      </c>
      <c r="B70" s="180" t="s">
        <v>150</v>
      </c>
      <c r="C70" s="29" t="s">
        <v>0</v>
      </c>
      <c r="D70" s="286">
        <f>IF(((D27*2*D34)-D47*0.06)&lt;0,0,(D27*2*D34)-D47*0.06)</f>
        <v>116.90820000000001</v>
      </c>
    </row>
    <row r="71" spans="1:4" x14ac:dyDescent="0.2">
      <c r="A71" s="223" t="s">
        <v>33</v>
      </c>
      <c r="B71" s="181" t="s">
        <v>389</v>
      </c>
      <c r="C71" s="47" t="s">
        <v>0</v>
      </c>
      <c r="D71" s="287">
        <f>(D28*D34)</f>
        <v>735</v>
      </c>
    </row>
    <row r="72" spans="1:4" x14ac:dyDescent="0.2">
      <c r="A72" s="223" t="s">
        <v>34</v>
      </c>
      <c r="B72" s="181" t="s">
        <v>148</v>
      </c>
      <c r="C72" s="47" t="s">
        <v>0</v>
      </c>
      <c r="D72" s="287">
        <f>D29</f>
        <v>0</v>
      </c>
    </row>
    <row r="73" spans="1:4" x14ac:dyDescent="0.2">
      <c r="A73" s="223" t="s">
        <v>35</v>
      </c>
      <c r="B73" s="181" t="s">
        <v>75</v>
      </c>
      <c r="C73" s="47" t="s">
        <v>0</v>
      </c>
      <c r="D73" s="287">
        <f>D30</f>
        <v>0</v>
      </c>
    </row>
    <row r="74" spans="1:4" x14ac:dyDescent="0.2">
      <c r="A74" s="223" t="s">
        <v>36</v>
      </c>
      <c r="B74" s="181" t="s">
        <v>149</v>
      </c>
      <c r="C74" s="47" t="s">
        <v>0</v>
      </c>
      <c r="D74" s="287">
        <f>D31</f>
        <v>0</v>
      </c>
    </row>
    <row r="75" spans="1:4" x14ac:dyDescent="0.2">
      <c r="A75" s="223" t="s">
        <v>62</v>
      </c>
      <c r="B75" s="181" t="s">
        <v>168</v>
      </c>
      <c r="C75" s="47" t="s">
        <v>0</v>
      </c>
      <c r="D75" s="287">
        <f>D32</f>
        <v>2</v>
      </c>
    </row>
    <row r="76" spans="1:4" ht="13.5" thickBot="1" x14ac:dyDescent="0.25">
      <c r="A76" s="224" t="s">
        <v>63</v>
      </c>
      <c r="B76" s="182" t="s">
        <v>65</v>
      </c>
      <c r="C76" s="48" t="s">
        <v>0</v>
      </c>
      <c r="D76" s="299">
        <f>D33</f>
        <v>0</v>
      </c>
    </row>
    <row r="77" spans="1:4" ht="15.75" customHeight="1" thickBot="1" x14ac:dyDescent="0.25">
      <c r="A77" s="765" t="s">
        <v>130</v>
      </c>
      <c r="B77" s="767"/>
      <c r="C77" s="73" t="s">
        <v>0</v>
      </c>
      <c r="D77" s="74">
        <f>SUM(D70:D76)</f>
        <v>853.90819999999997</v>
      </c>
    </row>
    <row r="78" spans="1:4" ht="13.5" thickBot="1" x14ac:dyDescent="0.25">
      <c r="A78" s="270"/>
      <c r="B78" s="271"/>
      <c r="C78" s="272"/>
      <c r="D78" s="273"/>
    </row>
    <row r="79" spans="1:4" ht="13.5" thickBot="1" x14ac:dyDescent="0.25">
      <c r="A79" s="741" t="s">
        <v>131</v>
      </c>
      <c r="B79" s="742"/>
      <c r="C79" s="742"/>
      <c r="D79" s="764"/>
    </row>
    <row r="80" spans="1:4" ht="13.5" thickBot="1" x14ac:dyDescent="0.25">
      <c r="A80" s="260">
        <v>2</v>
      </c>
      <c r="B80" s="302" t="s">
        <v>53</v>
      </c>
      <c r="C80" s="41" t="s">
        <v>0</v>
      </c>
      <c r="D80" s="28" t="s">
        <v>11</v>
      </c>
    </row>
    <row r="81" spans="1:4" x14ac:dyDescent="0.2">
      <c r="A81" s="225" t="s">
        <v>57</v>
      </c>
      <c r="B81" s="183" t="s">
        <v>76</v>
      </c>
      <c r="C81" s="63"/>
      <c r="D81" s="30">
        <f>D53</f>
        <v>388.54532948999997</v>
      </c>
    </row>
    <row r="82" spans="1:4" x14ac:dyDescent="0.2">
      <c r="A82" s="225" t="s">
        <v>58</v>
      </c>
      <c r="B82" s="184" t="s">
        <v>77</v>
      </c>
      <c r="C82" s="49"/>
      <c r="D82" s="32">
        <f>D65</f>
        <v>699.76304000000005</v>
      </c>
    </row>
    <row r="83" spans="1:4" ht="13.5" thickBot="1" x14ac:dyDescent="0.25">
      <c r="A83" s="226" t="s">
        <v>59</v>
      </c>
      <c r="B83" s="185" t="s">
        <v>110</v>
      </c>
      <c r="C83" s="62"/>
      <c r="D83" s="35">
        <f>D77</f>
        <v>853.90819999999997</v>
      </c>
    </row>
    <row r="84" spans="1:4" ht="15.75" customHeight="1" thickBot="1" x14ac:dyDescent="0.25">
      <c r="A84" s="227"/>
      <c r="B84" s="159" t="s">
        <v>5</v>
      </c>
      <c r="C84" s="76" t="s">
        <v>0</v>
      </c>
      <c r="D84" s="78">
        <f>SUM(D81:D83)</f>
        <v>1942.21656949</v>
      </c>
    </row>
    <row r="85" spans="1:4" ht="13.5" thickBot="1" x14ac:dyDescent="0.25">
      <c r="A85" s="213"/>
      <c r="B85" s="160"/>
      <c r="C85" s="50"/>
      <c r="D85" s="51"/>
    </row>
    <row r="86" spans="1:4" ht="13.5" thickBot="1" x14ac:dyDescent="0.25">
      <c r="A86" s="760" t="s">
        <v>155</v>
      </c>
      <c r="B86" s="761"/>
      <c r="C86" s="761"/>
      <c r="D86" s="762"/>
    </row>
    <row r="87" spans="1:4" s="142" customFormat="1" ht="13.5" thickBot="1" x14ac:dyDescent="0.25">
      <c r="A87" s="260">
        <v>3</v>
      </c>
      <c r="B87" s="774" t="s">
        <v>60</v>
      </c>
      <c r="C87" s="774"/>
      <c r="D87" s="775"/>
    </row>
    <row r="88" spans="1:4" ht="30" customHeight="1" x14ac:dyDescent="0.2">
      <c r="A88" s="127" t="s">
        <v>32</v>
      </c>
      <c r="B88" s="183" t="s">
        <v>390</v>
      </c>
      <c r="C88" s="292">
        <f>33/365*0.2</f>
        <v>1.8082191780821918E-2</v>
      </c>
      <c r="D88" s="30">
        <f>C88*D47</f>
        <v>34.383830136986305</v>
      </c>
    </row>
    <row r="89" spans="1:4" x14ac:dyDescent="0.2">
      <c r="A89" s="220" t="s">
        <v>33</v>
      </c>
      <c r="B89" s="186" t="s">
        <v>391</v>
      </c>
      <c r="C89" s="133">
        <f>C88*8%</f>
        <v>1.4465753424657535E-3</v>
      </c>
      <c r="D89" s="120">
        <f>C89*D47</f>
        <v>2.7507064109589043</v>
      </c>
    </row>
    <row r="90" spans="1:4" ht="25.5" x14ac:dyDescent="0.2">
      <c r="A90" s="228" t="s">
        <v>34</v>
      </c>
      <c r="B90" s="177" t="s">
        <v>392</v>
      </c>
      <c r="C90" s="134">
        <v>4.0500000000000001E-2</v>
      </c>
      <c r="D90" s="39">
        <f>C90*D47</f>
        <v>77.011965000000004</v>
      </c>
    </row>
    <row r="91" spans="1:4" x14ac:dyDescent="0.2">
      <c r="A91" s="127" t="s">
        <v>35</v>
      </c>
      <c r="B91" s="187" t="s">
        <v>393</v>
      </c>
      <c r="C91" s="293">
        <v>1.944E-3</v>
      </c>
      <c r="D91" s="32">
        <f>C91*D47</f>
        <v>3.6965743199999999</v>
      </c>
    </row>
    <row r="92" spans="1:4" ht="25.5" x14ac:dyDescent="0.2">
      <c r="A92" s="229" t="s">
        <v>36</v>
      </c>
      <c r="B92" s="187" t="s">
        <v>154</v>
      </c>
      <c r="C92" s="117">
        <f>C91*C65</f>
        <v>7.1539200000000024E-4</v>
      </c>
      <c r="D92" s="67">
        <f>C92*D47</f>
        <v>1.3603393497600005</v>
      </c>
    </row>
    <row r="93" spans="1:4" ht="26.25" thickBot="1" x14ac:dyDescent="0.25">
      <c r="A93" s="230" t="s">
        <v>61</v>
      </c>
      <c r="B93" s="188" t="s">
        <v>394</v>
      </c>
      <c r="C93" s="118">
        <v>4.4999999999999997E-3</v>
      </c>
      <c r="D93" s="115">
        <f>C93*D47</f>
        <v>8.5568849999999994</v>
      </c>
    </row>
    <row r="94" spans="1:4" ht="13.5" thickBot="1" x14ac:dyDescent="0.25">
      <c r="A94" s="231"/>
      <c r="B94" s="161" t="s">
        <v>78</v>
      </c>
      <c r="C94" s="125">
        <f>SUM(C88:C93)</f>
        <v>6.7188159123287669E-2</v>
      </c>
      <c r="D94" s="126">
        <f>SUM(D88:D93)</f>
        <v>127.76030021770519</v>
      </c>
    </row>
    <row r="95" spans="1:4" x14ac:dyDescent="0.2">
      <c r="A95" s="758" t="s">
        <v>161</v>
      </c>
      <c r="B95" s="758"/>
      <c r="C95" s="758"/>
      <c r="D95" s="758"/>
    </row>
    <row r="96" spans="1:4" ht="15.75" customHeight="1" x14ac:dyDescent="0.2">
      <c r="A96" s="759" t="s">
        <v>162</v>
      </c>
      <c r="B96" s="759"/>
      <c r="C96" s="759"/>
      <c r="D96" s="759"/>
    </row>
    <row r="97" spans="1:4" ht="13.5" thickBot="1" x14ac:dyDescent="0.25">
      <c r="A97" s="232"/>
      <c r="B97" s="261"/>
      <c r="C97" s="262"/>
      <c r="D97" s="263"/>
    </row>
    <row r="98" spans="1:4" ht="13.5" thickBot="1" x14ac:dyDescent="0.25">
      <c r="A98" s="760" t="s">
        <v>103</v>
      </c>
      <c r="B98" s="761"/>
      <c r="C98" s="761"/>
      <c r="D98" s="762"/>
    </row>
    <row r="99" spans="1:4" ht="13.5" thickBot="1" x14ac:dyDescent="0.25">
      <c r="A99" s="52" t="s">
        <v>81</v>
      </c>
      <c r="B99" s="302" t="s">
        <v>116</v>
      </c>
      <c r="C99" s="264" t="s">
        <v>0</v>
      </c>
      <c r="D99" s="265" t="s">
        <v>11</v>
      </c>
    </row>
    <row r="100" spans="1:4" ht="25.5" x14ac:dyDescent="0.2">
      <c r="A100" s="127" t="s">
        <v>32</v>
      </c>
      <c r="B100" s="183" t="s">
        <v>395</v>
      </c>
      <c r="C100" s="294">
        <v>9.4999999999999998E-3</v>
      </c>
      <c r="D100" s="128">
        <f>C100*$D$47</f>
        <v>18.064534999999999</v>
      </c>
    </row>
    <row r="101" spans="1:4" x14ac:dyDescent="0.2">
      <c r="A101" s="127" t="s">
        <v>33</v>
      </c>
      <c r="B101" s="184" t="s">
        <v>396</v>
      </c>
      <c r="C101" s="293">
        <v>4.1700000000000001E-2</v>
      </c>
      <c r="D101" s="233">
        <f t="shared" ref="D101:D105" si="1">C101*$D$47</f>
        <v>79.293801000000002</v>
      </c>
    </row>
    <row r="102" spans="1:4" ht="15.75" customHeight="1" x14ac:dyDescent="0.2">
      <c r="A102" s="127" t="s">
        <v>34</v>
      </c>
      <c r="B102" s="184" t="s">
        <v>397</v>
      </c>
      <c r="C102" s="295">
        <v>1E-3</v>
      </c>
      <c r="D102" s="233">
        <f t="shared" si="1"/>
        <v>1.9015299999999999</v>
      </c>
    </row>
    <row r="103" spans="1:4" x14ac:dyDescent="0.2">
      <c r="A103" s="127" t="s">
        <v>35</v>
      </c>
      <c r="B103" s="184" t="s">
        <v>398</v>
      </c>
      <c r="C103" s="295">
        <v>6.3E-3</v>
      </c>
      <c r="D103" s="233">
        <f t="shared" si="1"/>
        <v>11.979639000000001</v>
      </c>
    </row>
    <row r="104" spans="1:4" x14ac:dyDescent="0.2">
      <c r="A104" s="127" t="s">
        <v>36</v>
      </c>
      <c r="B104" s="184" t="s">
        <v>399</v>
      </c>
      <c r="C104" s="295">
        <v>2.0000000000000001E-4</v>
      </c>
      <c r="D104" s="233">
        <f t="shared" si="1"/>
        <v>0.38030600000000003</v>
      </c>
    </row>
    <row r="105" spans="1:4" ht="13.5" thickBot="1" x14ac:dyDescent="0.25">
      <c r="A105" s="234" t="s">
        <v>61</v>
      </c>
      <c r="B105" s="184" t="s">
        <v>108</v>
      </c>
      <c r="C105" s="296">
        <v>0</v>
      </c>
      <c r="D105" s="233">
        <f t="shared" si="1"/>
        <v>0</v>
      </c>
    </row>
    <row r="106" spans="1:4" ht="13.5" thickBot="1" x14ac:dyDescent="0.25">
      <c r="A106" s="227"/>
      <c r="B106" s="189" t="s">
        <v>7</v>
      </c>
      <c r="C106" s="137">
        <f>SUM(C100:C105)</f>
        <v>5.8700000000000002E-2</v>
      </c>
      <c r="D106" s="69">
        <f>SUM(D100:D105)</f>
        <v>111.61981100000001</v>
      </c>
    </row>
    <row r="107" spans="1:4" ht="13.5" thickBot="1" x14ac:dyDescent="0.25">
      <c r="A107" s="235" t="s">
        <v>62</v>
      </c>
      <c r="B107" s="190" t="s">
        <v>132</v>
      </c>
      <c r="C107" s="138">
        <f>C106*C65</f>
        <v>2.1601600000000006E-2</v>
      </c>
      <c r="D107" s="65">
        <f>C107*D47</f>
        <v>41.076090448000009</v>
      </c>
    </row>
    <row r="108" spans="1:4" ht="26.25" thickBot="1" x14ac:dyDescent="0.25">
      <c r="A108" s="236" t="s">
        <v>63</v>
      </c>
      <c r="B108" s="191" t="s">
        <v>133</v>
      </c>
      <c r="C108" s="139">
        <f>C53*C65</f>
        <v>7.5194544000000016E-2</v>
      </c>
      <c r="D108" s="116">
        <f>C108*D47</f>
        <v>142.98468125232003</v>
      </c>
    </row>
    <row r="109" spans="1:4" ht="13.5" thickBot="1" x14ac:dyDescent="0.25">
      <c r="A109" s="237"/>
      <c r="B109" s="192" t="s">
        <v>8</v>
      </c>
      <c r="C109" s="124">
        <f>SUM(C106:C108)</f>
        <v>0.155496144</v>
      </c>
      <c r="D109" s="75">
        <f>SUM(D106:D108)</f>
        <v>295.68058270032009</v>
      </c>
    </row>
    <row r="110" spans="1:4" ht="15.75" customHeight="1" x14ac:dyDescent="0.2">
      <c r="A110" s="758" t="s">
        <v>163</v>
      </c>
      <c r="B110" s="758"/>
      <c r="C110" s="758"/>
      <c r="D110" s="758"/>
    </row>
    <row r="111" spans="1:4" ht="13.5" thickBot="1" x14ac:dyDescent="0.25">
      <c r="B111" s="212"/>
      <c r="C111" s="212"/>
      <c r="D111" s="212"/>
    </row>
    <row r="112" spans="1:4" ht="13.5" thickBot="1" x14ac:dyDescent="0.25">
      <c r="A112" s="741" t="s">
        <v>90</v>
      </c>
      <c r="B112" s="742"/>
      <c r="C112" s="742"/>
      <c r="D112" s="763"/>
    </row>
    <row r="113" spans="1:4" ht="13.5" thickBot="1" x14ac:dyDescent="0.25">
      <c r="A113" s="52">
        <v>5</v>
      </c>
      <c r="B113" s="303" t="s">
        <v>80</v>
      </c>
      <c r="C113" s="27" t="s">
        <v>0</v>
      </c>
      <c r="D113" s="28" t="s">
        <v>11</v>
      </c>
    </row>
    <row r="114" spans="1:4" x14ac:dyDescent="0.2">
      <c r="A114" s="127" t="s">
        <v>32</v>
      </c>
      <c r="B114" s="162" t="s">
        <v>82</v>
      </c>
      <c r="C114" s="29" t="s">
        <v>0</v>
      </c>
      <c r="D114" s="30">
        <f>Uniformes!P15</f>
        <v>33.61</v>
      </c>
    </row>
    <row r="115" spans="1:4" x14ac:dyDescent="0.2">
      <c r="A115" s="127" t="s">
        <v>33</v>
      </c>
      <c r="B115" s="163" t="s">
        <v>40</v>
      </c>
      <c r="C115" s="47" t="s">
        <v>0</v>
      </c>
      <c r="D115" s="32">
        <f>Materiais!O59</f>
        <v>350.69210846230158</v>
      </c>
    </row>
    <row r="116" spans="1:4" x14ac:dyDescent="0.2">
      <c r="A116" s="127" t="s">
        <v>34</v>
      </c>
      <c r="B116" s="163" t="s">
        <v>147</v>
      </c>
      <c r="C116" s="47" t="s">
        <v>0</v>
      </c>
      <c r="D116" s="32">
        <f>'EPI''s'!L27</f>
        <v>33.355833333333329</v>
      </c>
    </row>
    <row r="117" spans="1:4" ht="13.5" thickBot="1" x14ac:dyDescent="0.25">
      <c r="A117" s="234" t="s">
        <v>35</v>
      </c>
      <c r="B117" s="164" t="s">
        <v>231</v>
      </c>
      <c r="C117" s="48" t="s">
        <v>0</v>
      </c>
      <c r="D117" s="44">
        <f>'EQP''s'!M36</f>
        <v>9.5942555555555558</v>
      </c>
    </row>
    <row r="118" spans="1:4" ht="15.75" customHeight="1" thickBot="1" x14ac:dyDescent="0.25">
      <c r="A118" s="227"/>
      <c r="B118" s="165" t="s">
        <v>6</v>
      </c>
      <c r="C118" s="73" t="s">
        <v>0</v>
      </c>
      <c r="D118" s="74">
        <f>SUM(D114:D117)</f>
        <v>427.25219735119049</v>
      </c>
    </row>
    <row r="119" spans="1:4" ht="13.5" thickBot="1" x14ac:dyDescent="0.25">
      <c r="B119" s="151" t="s">
        <v>0</v>
      </c>
      <c r="C119" s="36" t="s">
        <v>0</v>
      </c>
      <c r="D119" s="37" t="s">
        <v>0</v>
      </c>
    </row>
    <row r="120" spans="1:4" ht="13.5" thickBot="1" x14ac:dyDescent="0.25">
      <c r="A120" s="741" t="s">
        <v>83</v>
      </c>
      <c r="B120" s="742"/>
      <c r="C120" s="742"/>
      <c r="D120" s="763"/>
    </row>
    <row r="121" spans="1:4" ht="13.5" thickBot="1" x14ac:dyDescent="0.25">
      <c r="A121" s="38">
        <v>6</v>
      </c>
      <c r="B121" s="53" t="s">
        <v>124</v>
      </c>
      <c r="C121" s="38" t="s">
        <v>0</v>
      </c>
      <c r="D121" s="38"/>
    </row>
    <row r="122" spans="1:4" x14ac:dyDescent="0.2">
      <c r="A122" s="238" t="s">
        <v>32</v>
      </c>
      <c r="B122" s="166" t="s">
        <v>84</v>
      </c>
      <c r="C122" s="297">
        <v>0.05</v>
      </c>
      <c r="D122" s="32">
        <f>D146*C122</f>
        <v>234.72198248796082</v>
      </c>
    </row>
    <row r="123" spans="1:4" x14ac:dyDescent="0.2">
      <c r="A123" s="239"/>
      <c r="B123" s="167" t="s">
        <v>115</v>
      </c>
      <c r="C123" s="122"/>
      <c r="D123" s="54">
        <f>D146+D122</f>
        <v>4929.1616322471773</v>
      </c>
    </row>
    <row r="124" spans="1:4" x14ac:dyDescent="0.2">
      <c r="A124" s="239" t="s">
        <v>33</v>
      </c>
      <c r="B124" s="168" t="s">
        <v>85</v>
      </c>
      <c r="C124" s="297">
        <v>0.06</v>
      </c>
      <c r="D124" s="32">
        <f>C124*D123</f>
        <v>295.74969793483064</v>
      </c>
    </row>
    <row r="125" spans="1:4" x14ac:dyDescent="0.2">
      <c r="A125" s="239"/>
      <c r="B125" s="168"/>
      <c r="C125" s="123"/>
      <c r="D125" s="54">
        <f>D123+D124</f>
        <v>5224.911330182008</v>
      </c>
    </row>
    <row r="126" spans="1:4" x14ac:dyDescent="0.2">
      <c r="A126" s="239" t="s">
        <v>34</v>
      </c>
      <c r="B126" s="169" t="s">
        <v>37</v>
      </c>
      <c r="C126" s="132">
        <f>C134+C129+C128</f>
        <v>8.6500000000000007E-2</v>
      </c>
      <c r="D126" s="32">
        <f>D147-D122-D124</f>
        <v>494.75077182347519</v>
      </c>
    </row>
    <row r="127" spans="1:4" x14ac:dyDescent="0.2">
      <c r="A127" s="239" t="s">
        <v>98</v>
      </c>
      <c r="B127" s="168" t="s">
        <v>86</v>
      </c>
      <c r="C127" s="297">
        <f>C129+C128</f>
        <v>3.6499999999999998E-2</v>
      </c>
      <c r="D127" s="54">
        <f>D126/C126*C127</f>
        <v>208.76766672320048</v>
      </c>
    </row>
    <row r="128" spans="1:4" x14ac:dyDescent="0.2">
      <c r="A128" s="239"/>
      <c r="B128" s="168" t="s">
        <v>111</v>
      </c>
      <c r="C128" s="297">
        <v>6.4999999999999997E-3</v>
      </c>
      <c r="D128" s="32">
        <f>D126/C126*C128</f>
        <v>37.177803663035704</v>
      </c>
    </row>
    <row r="129" spans="1:4" x14ac:dyDescent="0.2">
      <c r="A129" s="239"/>
      <c r="B129" s="168" t="s">
        <v>112</v>
      </c>
      <c r="C129" s="297">
        <v>0.03</v>
      </c>
      <c r="D129" s="32">
        <f>D126/C126*C129</f>
        <v>171.58986306016476</v>
      </c>
    </row>
    <row r="130" spans="1:4" x14ac:dyDescent="0.2">
      <c r="A130" s="239" t="s">
        <v>99</v>
      </c>
      <c r="B130" s="169" t="s">
        <v>87</v>
      </c>
      <c r="C130" s="132">
        <f>C132+C131</f>
        <v>0</v>
      </c>
      <c r="D130" s="54">
        <v>0</v>
      </c>
    </row>
    <row r="131" spans="1:4" x14ac:dyDescent="0.2">
      <c r="A131" s="239"/>
      <c r="B131" s="168" t="s">
        <v>113</v>
      </c>
      <c r="C131" s="297">
        <v>0</v>
      </c>
      <c r="D131" s="32">
        <v>0</v>
      </c>
    </row>
    <row r="132" spans="1:4" x14ac:dyDescent="0.2">
      <c r="A132" s="239"/>
      <c r="B132" s="168" t="s">
        <v>113</v>
      </c>
      <c r="C132" s="297">
        <v>0</v>
      </c>
      <c r="D132" s="32">
        <v>0</v>
      </c>
    </row>
    <row r="133" spans="1:4" x14ac:dyDescent="0.2">
      <c r="A133" s="239" t="s">
        <v>100</v>
      </c>
      <c r="B133" s="169" t="s">
        <v>88</v>
      </c>
      <c r="C133" s="132">
        <f>C135+C134</f>
        <v>0.05</v>
      </c>
      <c r="D133" s="54">
        <f>D126/C126*C133</f>
        <v>285.98310510027466</v>
      </c>
    </row>
    <row r="134" spans="1:4" x14ac:dyDescent="0.2">
      <c r="A134" s="239"/>
      <c r="B134" s="168" t="s">
        <v>114</v>
      </c>
      <c r="C134" s="297">
        <v>0.05</v>
      </c>
      <c r="D134" s="32">
        <f>D126/C126*C133</f>
        <v>285.98310510027466</v>
      </c>
    </row>
    <row r="135" spans="1:4" ht="13.5" thickBot="1" x14ac:dyDescent="0.25">
      <c r="A135" s="240"/>
      <c r="B135" s="150" t="s">
        <v>113</v>
      </c>
      <c r="C135" s="297">
        <v>0</v>
      </c>
      <c r="D135" s="35">
        <v>0</v>
      </c>
    </row>
    <row r="136" spans="1:4" ht="13.5" thickBot="1" x14ac:dyDescent="0.25">
      <c r="A136" s="227"/>
      <c r="B136" s="159" t="s">
        <v>6</v>
      </c>
      <c r="C136" s="76" t="s">
        <v>0</v>
      </c>
      <c r="D136" s="68">
        <f>D122+D124+D126</f>
        <v>1025.2224522462666</v>
      </c>
    </row>
    <row r="137" spans="1:4" ht="13.5" thickBot="1" x14ac:dyDescent="0.25">
      <c r="A137" s="270"/>
      <c r="B137" s="271"/>
      <c r="C137" s="272"/>
      <c r="D137" s="273"/>
    </row>
    <row r="138" spans="1:4" ht="13.5" thickBot="1" x14ac:dyDescent="0.25">
      <c r="A138" s="269" t="s">
        <v>117</v>
      </c>
      <c r="B138" s="266" t="s">
        <v>118</v>
      </c>
      <c r="C138" s="267" t="s">
        <v>0</v>
      </c>
      <c r="D138" s="268"/>
    </row>
    <row r="139" spans="1:4" ht="13.5" thickBot="1" x14ac:dyDescent="0.25">
      <c r="A139" s="270"/>
      <c r="B139" s="271"/>
      <c r="C139" s="272"/>
      <c r="D139" s="273"/>
    </row>
    <row r="140" spans="1:4" ht="13.5" thickBot="1" x14ac:dyDescent="0.25">
      <c r="A140" s="38">
        <v>1</v>
      </c>
      <c r="B140" s="302" t="s">
        <v>96</v>
      </c>
      <c r="C140" s="41" t="s">
        <v>0</v>
      </c>
      <c r="D140" s="28" t="s">
        <v>11</v>
      </c>
    </row>
    <row r="141" spans="1:4" x14ac:dyDescent="0.2">
      <c r="A141" s="241" t="s">
        <v>32</v>
      </c>
      <c r="B141" s="155" t="s">
        <v>94</v>
      </c>
      <c r="C141" s="168"/>
      <c r="D141" s="242">
        <f>D47</f>
        <v>1901.53</v>
      </c>
    </row>
    <row r="142" spans="1:4" x14ac:dyDescent="0.2">
      <c r="A142" s="127" t="s">
        <v>33</v>
      </c>
      <c r="B142" s="155" t="s">
        <v>93</v>
      </c>
      <c r="C142" s="168"/>
      <c r="D142" s="242">
        <f>D84</f>
        <v>1942.21656949</v>
      </c>
    </row>
    <row r="143" spans="1:4" x14ac:dyDescent="0.2">
      <c r="A143" s="127" t="s">
        <v>34</v>
      </c>
      <c r="B143" s="155" t="s">
        <v>92</v>
      </c>
      <c r="C143" s="168"/>
      <c r="D143" s="242">
        <f>D94</f>
        <v>127.76030021770519</v>
      </c>
    </row>
    <row r="144" spans="1:4" x14ac:dyDescent="0.2">
      <c r="A144" s="127" t="s">
        <v>35</v>
      </c>
      <c r="B144" s="155" t="s">
        <v>91</v>
      </c>
      <c r="C144" s="168"/>
      <c r="D144" s="242">
        <f>D109</f>
        <v>295.68058270032009</v>
      </c>
    </row>
    <row r="145" spans="1:4" ht="13.5" thickBot="1" x14ac:dyDescent="0.25">
      <c r="A145" s="221" t="s">
        <v>36</v>
      </c>
      <c r="B145" s="157" t="s">
        <v>89</v>
      </c>
      <c r="C145" s="150"/>
      <c r="D145" s="243">
        <f>D118</f>
        <v>427.25219735119049</v>
      </c>
    </row>
    <row r="146" spans="1:4" ht="16.5" thickBot="1" x14ac:dyDescent="0.25">
      <c r="A146" s="244"/>
      <c r="B146" s="170" t="s">
        <v>129</v>
      </c>
      <c r="C146" s="245"/>
      <c r="D146" s="246">
        <f>SUM(D141:D145)</f>
        <v>4694.4396497592161</v>
      </c>
    </row>
    <row r="147" spans="1:4" ht="13.5" thickBot="1" x14ac:dyDescent="0.25">
      <c r="A147" s="247" t="s">
        <v>61</v>
      </c>
      <c r="B147" s="171" t="s">
        <v>97</v>
      </c>
      <c r="C147" s="248"/>
      <c r="D147" s="249">
        <f>D148-D146</f>
        <v>1025.2224522462666</v>
      </c>
    </row>
    <row r="148" spans="1:4" ht="16.5" thickBot="1" x14ac:dyDescent="0.25">
      <c r="A148" s="765" t="s">
        <v>122</v>
      </c>
      <c r="B148" s="766"/>
      <c r="C148" s="767"/>
      <c r="D148" s="250">
        <f>D125/(100%-C126)</f>
        <v>5719.6621020054827</v>
      </c>
    </row>
    <row r="149" spans="1:4" ht="13.5" thickBot="1" x14ac:dyDescent="0.25">
      <c r="B149" s="172"/>
      <c r="C149" s="172"/>
      <c r="D149" s="172"/>
    </row>
    <row r="150" spans="1:4" ht="13.5" thickBot="1" x14ac:dyDescent="0.25">
      <c r="A150" s="274" t="s">
        <v>119</v>
      </c>
      <c r="B150" s="275" t="s">
        <v>101</v>
      </c>
      <c r="C150" s="66" t="s">
        <v>0</v>
      </c>
      <c r="D150" s="55"/>
    </row>
    <row r="151" spans="1:4" ht="13.5" thickBot="1" x14ac:dyDescent="0.25">
      <c r="A151" s="270"/>
      <c r="B151" s="271"/>
      <c r="C151" s="272"/>
      <c r="D151" s="273"/>
    </row>
    <row r="152" spans="1:4" ht="13.5" thickBot="1" x14ac:dyDescent="0.25">
      <c r="A152" s="56" t="s">
        <v>120</v>
      </c>
      <c r="B152" s="173" t="s">
        <v>121</v>
      </c>
      <c r="C152" s="57" t="s">
        <v>0</v>
      </c>
      <c r="D152" s="58" t="s">
        <v>11</v>
      </c>
    </row>
    <row r="153" spans="1:4" x14ac:dyDescent="0.2">
      <c r="A153" s="251" t="s">
        <v>32</v>
      </c>
      <c r="B153" s="174" t="s">
        <v>66</v>
      </c>
      <c r="C153" s="140">
        <f>C51</f>
        <v>8.3333000000000004E-2</v>
      </c>
      <c r="D153" s="59">
        <f>D51</f>
        <v>158.46019949000001</v>
      </c>
    </row>
    <row r="154" spans="1:4" x14ac:dyDescent="0.2">
      <c r="A154" s="252" t="s">
        <v>33</v>
      </c>
      <c r="B154" s="175" t="s">
        <v>153</v>
      </c>
      <c r="C154" s="143">
        <f>C52</f>
        <v>0.121</v>
      </c>
      <c r="D154" s="144">
        <f>C154*D148</f>
        <v>692.07911434266339</v>
      </c>
    </row>
    <row r="155" spans="1:4" x14ac:dyDescent="0.2">
      <c r="A155" s="253" t="s">
        <v>34</v>
      </c>
      <c r="B155" s="209" t="s">
        <v>79</v>
      </c>
      <c r="C155" s="210">
        <f>C90</f>
        <v>4.0500000000000001E-2</v>
      </c>
      <c r="D155" s="211">
        <f>D92</f>
        <v>1.3603393497600005</v>
      </c>
    </row>
    <row r="156" spans="1:4" ht="13.5" thickBot="1" x14ac:dyDescent="0.25">
      <c r="A156" s="254" t="s">
        <v>35</v>
      </c>
      <c r="B156" s="176" t="s">
        <v>151</v>
      </c>
      <c r="C156" s="141">
        <f>C108</f>
        <v>7.5194544000000016E-2</v>
      </c>
      <c r="D156" s="60">
        <f>D93</f>
        <v>8.5568849999999994</v>
      </c>
    </row>
    <row r="157" spans="1:4" ht="16.5" thickBot="1" x14ac:dyDescent="0.25">
      <c r="A157" s="756" t="s">
        <v>15</v>
      </c>
      <c r="B157" s="757"/>
      <c r="C157" s="114">
        <f>SUM(C153:C156)</f>
        <v>0.320027544</v>
      </c>
      <c r="D157" s="64">
        <f>SUM(D153:D156)</f>
        <v>860.4565381824234</v>
      </c>
    </row>
    <row r="158" spans="1:4" x14ac:dyDescent="0.2">
      <c r="A158" s="768" t="s">
        <v>400</v>
      </c>
      <c r="B158" s="768"/>
      <c r="C158" s="768"/>
      <c r="D158" s="768"/>
    </row>
    <row r="160" spans="1:4" x14ac:dyDescent="0.2">
      <c r="A160" s="755" t="s">
        <v>177</v>
      </c>
      <c r="B160" s="755"/>
      <c r="C160" s="755"/>
      <c r="D160" s="755"/>
    </row>
    <row r="161" spans="1:4" x14ac:dyDescent="0.2">
      <c r="A161" s="755" t="s">
        <v>164</v>
      </c>
      <c r="B161" s="755"/>
      <c r="C161" s="755"/>
      <c r="D161" s="755"/>
    </row>
  </sheetData>
  <mergeCells count="56">
    <mergeCell ref="A15:D15"/>
    <mergeCell ref="A1:D1"/>
    <mergeCell ref="A2:D2"/>
    <mergeCell ref="A3:D3"/>
    <mergeCell ref="A5:C5"/>
    <mergeCell ref="A6:C6"/>
    <mergeCell ref="A7:C7"/>
    <mergeCell ref="A9:D9"/>
    <mergeCell ref="A10:C10"/>
    <mergeCell ref="A11:C11"/>
    <mergeCell ref="A12:C12"/>
    <mergeCell ref="A13:C13"/>
    <mergeCell ref="A29:C29"/>
    <mergeCell ref="A16:B16"/>
    <mergeCell ref="A17:B17"/>
    <mergeCell ref="A19:D19"/>
    <mergeCell ref="A20:C20"/>
    <mergeCell ref="A21:C21"/>
    <mergeCell ref="A22:C22"/>
    <mergeCell ref="A23:C23"/>
    <mergeCell ref="A24:C24"/>
    <mergeCell ref="A26:D26"/>
    <mergeCell ref="A27:C27"/>
    <mergeCell ref="A28:C28"/>
    <mergeCell ref="A53:B53"/>
    <mergeCell ref="A30:C30"/>
    <mergeCell ref="A31:C31"/>
    <mergeCell ref="A32:C32"/>
    <mergeCell ref="A33:C33"/>
    <mergeCell ref="A34:C34"/>
    <mergeCell ref="B36:D36"/>
    <mergeCell ref="A39:B39"/>
    <mergeCell ref="C39:D39"/>
    <mergeCell ref="A47:C47"/>
    <mergeCell ref="A49:B49"/>
    <mergeCell ref="B50:D50"/>
    <mergeCell ref="A110:D110"/>
    <mergeCell ref="A54:D54"/>
    <mergeCell ref="A65:B65"/>
    <mergeCell ref="A66:D66"/>
    <mergeCell ref="A67:D67"/>
    <mergeCell ref="A77:B77"/>
    <mergeCell ref="A79:B79"/>
    <mergeCell ref="C79:D79"/>
    <mergeCell ref="A86:D86"/>
    <mergeCell ref="B87:D87"/>
    <mergeCell ref="A95:D95"/>
    <mergeCell ref="A96:D96"/>
    <mergeCell ref="A98:D98"/>
    <mergeCell ref="A161:D161"/>
    <mergeCell ref="A112:D112"/>
    <mergeCell ref="A120:D120"/>
    <mergeCell ref="A148:C148"/>
    <mergeCell ref="A157:B157"/>
    <mergeCell ref="A158:D158"/>
    <mergeCell ref="A160:D160"/>
  </mergeCells>
  <pageMargins left="0.70866141732283472" right="0.51181102362204722" top="0.59055118110236227" bottom="0.59055118110236227" header="0.31496062992125984" footer="0.31496062992125984"/>
  <pageSetup paperSize="9" scale="65" fitToHeight="2" orientation="portrait" horizontalDpi="4294967293" verticalDpi="4294967293" r:id="rId1"/>
  <headerFooter>
    <oddFooter>&amp;L&amp;F&amp;C&amp;A&amp;R&amp;P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61"/>
  <sheetViews>
    <sheetView topLeftCell="A10" zoomScaleNormal="100" workbookViewId="0">
      <selection activeCell="A26" sqref="A26:D26"/>
    </sheetView>
  </sheetViews>
  <sheetFormatPr defaultColWidth="8.7109375" defaultRowHeight="12.75" x14ac:dyDescent="0.2"/>
  <cols>
    <col min="1" max="1" width="9.140625" style="212" customWidth="1"/>
    <col min="2" max="2" width="89" style="255" customWidth="1"/>
    <col min="3" max="3" width="17.5703125" style="255" bestFit="1" customWidth="1"/>
    <col min="4" max="4" width="24.140625" style="255" bestFit="1" customWidth="1"/>
    <col min="5" max="16384" width="8.7109375" style="61"/>
  </cols>
  <sheetData>
    <row r="1" spans="1:4" x14ac:dyDescent="0.2">
      <c r="A1" s="754" t="s">
        <v>560</v>
      </c>
      <c r="B1" s="754"/>
      <c r="C1" s="754"/>
      <c r="D1" s="754"/>
    </row>
    <row r="2" spans="1:4" x14ac:dyDescent="0.2">
      <c r="A2" s="754" t="s">
        <v>9</v>
      </c>
      <c r="B2" s="754"/>
      <c r="C2" s="754"/>
      <c r="D2" s="754"/>
    </row>
    <row r="3" spans="1:4" x14ac:dyDescent="0.2">
      <c r="A3" s="754" t="s">
        <v>559</v>
      </c>
      <c r="B3" s="754"/>
      <c r="C3" s="754"/>
      <c r="D3" s="754"/>
    </row>
    <row r="4" spans="1:4" ht="13.5" thickBot="1" x14ac:dyDescent="0.25">
      <c r="B4" s="18" t="s">
        <v>0</v>
      </c>
      <c r="C4" s="19" t="s">
        <v>0</v>
      </c>
      <c r="D4" s="19" t="s">
        <v>0</v>
      </c>
    </row>
    <row r="5" spans="1:4" ht="13.5" thickTop="1" x14ac:dyDescent="0.2">
      <c r="A5" s="721" t="s">
        <v>16</v>
      </c>
      <c r="B5" s="722"/>
      <c r="C5" s="723"/>
      <c r="D5" s="204" t="s">
        <v>170</v>
      </c>
    </row>
    <row r="6" spans="1:4" x14ac:dyDescent="0.2">
      <c r="A6" s="724" t="s">
        <v>134</v>
      </c>
      <c r="B6" s="725"/>
      <c r="C6" s="726"/>
      <c r="D6" s="276"/>
    </row>
    <row r="7" spans="1:4" ht="13.5" thickBot="1" x14ac:dyDescent="0.25">
      <c r="A7" s="732" t="s">
        <v>18</v>
      </c>
      <c r="B7" s="733"/>
      <c r="C7" s="735"/>
      <c r="D7" s="277" t="s">
        <v>17</v>
      </c>
    </row>
    <row r="8" spans="1:4" ht="14.25" thickTop="1" thickBot="1" x14ac:dyDescent="0.25">
      <c r="B8" s="145"/>
      <c r="C8" s="20"/>
      <c r="D8" s="21"/>
    </row>
    <row r="9" spans="1:4" ht="14.25" thickTop="1" thickBot="1" x14ac:dyDescent="0.25">
      <c r="A9" s="738" t="s">
        <v>41</v>
      </c>
      <c r="B9" s="739"/>
      <c r="C9" s="739"/>
      <c r="D9" s="740"/>
    </row>
    <row r="10" spans="1:4" ht="13.5" thickTop="1" x14ac:dyDescent="0.2">
      <c r="A10" s="751" t="s">
        <v>43</v>
      </c>
      <c r="B10" s="752"/>
      <c r="C10" s="753"/>
      <c r="D10" s="278" t="s">
        <v>51</v>
      </c>
    </row>
    <row r="11" spans="1:4" x14ac:dyDescent="0.2">
      <c r="A11" s="724" t="s">
        <v>19</v>
      </c>
      <c r="B11" s="725"/>
      <c r="C11" s="726"/>
      <c r="D11" s="205" t="s">
        <v>50</v>
      </c>
    </row>
    <row r="12" spans="1:4" ht="25.5" x14ac:dyDescent="0.2">
      <c r="A12" s="724" t="s">
        <v>42</v>
      </c>
      <c r="B12" s="725"/>
      <c r="C12" s="726"/>
      <c r="D12" s="278" t="s">
        <v>172</v>
      </c>
    </row>
    <row r="13" spans="1:4" ht="13.5" thickBot="1" x14ac:dyDescent="0.25">
      <c r="A13" s="732" t="s">
        <v>20</v>
      </c>
      <c r="B13" s="733"/>
      <c r="C13" s="735"/>
      <c r="D13" s="206">
        <v>12</v>
      </c>
    </row>
    <row r="14" spans="1:4" ht="14.25" thickTop="1" thickBot="1" x14ac:dyDescent="0.25">
      <c r="B14" s="145"/>
      <c r="C14" s="20"/>
      <c r="D14" s="20"/>
    </row>
    <row r="15" spans="1:4" ht="14.25" thickTop="1" thickBot="1" x14ac:dyDescent="0.25">
      <c r="A15" s="746" t="s">
        <v>21</v>
      </c>
      <c r="B15" s="747"/>
      <c r="C15" s="747"/>
      <c r="D15" s="748"/>
    </row>
    <row r="16" spans="1:4" ht="15" customHeight="1" thickTop="1" thickBot="1" x14ac:dyDescent="0.25">
      <c r="A16" s="749" t="s">
        <v>22</v>
      </c>
      <c r="B16" s="749"/>
      <c r="C16" s="300" t="s">
        <v>23</v>
      </c>
      <c r="D16" s="22" t="s">
        <v>24</v>
      </c>
    </row>
    <row r="17" spans="1:4" ht="14.25" thickTop="1" thickBot="1" x14ac:dyDescent="0.25">
      <c r="A17" s="750" t="s">
        <v>388</v>
      </c>
      <c r="B17" s="750"/>
      <c r="C17" s="301" t="s">
        <v>135</v>
      </c>
      <c r="D17" s="305" t="s">
        <v>176</v>
      </c>
    </row>
    <row r="18" spans="1:4" ht="14.25" thickTop="1" thickBot="1" x14ac:dyDescent="0.25">
      <c r="A18" s="213"/>
      <c r="B18" s="146"/>
      <c r="C18" s="23"/>
      <c r="D18" s="23"/>
    </row>
    <row r="19" spans="1:4" ht="14.25" thickTop="1" thickBot="1" x14ac:dyDescent="0.25">
      <c r="A19" s="738" t="s">
        <v>45</v>
      </c>
      <c r="B19" s="739"/>
      <c r="C19" s="739"/>
      <c r="D19" s="740"/>
    </row>
    <row r="20" spans="1:4" ht="13.5" thickTop="1" x14ac:dyDescent="0.2">
      <c r="A20" s="721" t="s">
        <v>102</v>
      </c>
      <c r="B20" s="722"/>
      <c r="C20" s="723"/>
      <c r="D20" s="207" t="s">
        <v>388</v>
      </c>
    </row>
    <row r="21" spans="1:4" x14ac:dyDescent="0.2">
      <c r="A21" s="724" t="s">
        <v>47</v>
      </c>
      <c r="B21" s="725"/>
      <c r="C21" s="726"/>
      <c r="D21" s="208" t="s">
        <v>557</v>
      </c>
    </row>
    <row r="22" spans="1:4" x14ac:dyDescent="0.2">
      <c r="A22" s="724" t="s">
        <v>46</v>
      </c>
      <c r="B22" s="725"/>
      <c r="C22" s="726"/>
      <c r="D22" s="279">
        <v>2575.91</v>
      </c>
    </row>
    <row r="23" spans="1:4" ht="38.25" x14ac:dyDescent="0.2">
      <c r="A23" s="724" t="s">
        <v>48</v>
      </c>
      <c r="B23" s="725"/>
      <c r="C23" s="726"/>
      <c r="D23" s="208" t="s">
        <v>568</v>
      </c>
    </row>
    <row r="24" spans="1:4" ht="13.5" thickBot="1" x14ac:dyDescent="0.25">
      <c r="A24" s="732" t="s">
        <v>49</v>
      </c>
      <c r="B24" s="733"/>
      <c r="C24" s="735"/>
      <c r="D24" s="280">
        <v>44197</v>
      </c>
    </row>
    <row r="25" spans="1:4" ht="14.25" thickTop="1" thickBot="1" x14ac:dyDescent="0.25">
      <c r="B25" s="145"/>
      <c r="C25" s="20"/>
      <c r="D25" s="20"/>
    </row>
    <row r="26" spans="1:4" ht="14.25" thickTop="1" thickBot="1" x14ac:dyDescent="0.25">
      <c r="A26" s="738" t="s">
        <v>44</v>
      </c>
      <c r="B26" s="739"/>
      <c r="C26" s="739"/>
      <c r="D26" s="740"/>
    </row>
    <row r="27" spans="1:4" ht="13.5" thickTop="1" x14ac:dyDescent="0.2">
      <c r="A27" s="721" t="s">
        <v>12</v>
      </c>
      <c r="B27" s="722"/>
      <c r="C27" s="737"/>
      <c r="D27" s="281">
        <v>5.5</v>
      </c>
    </row>
    <row r="28" spans="1:4" x14ac:dyDescent="0.2">
      <c r="A28" s="724" t="s">
        <v>14</v>
      </c>
      <c r="B28" s="725"/>
      <c r="C28" s="736"/>
      <c r="D28" s="282">
        <v>35</v>
      </c>
    </row>
    <row r="29" spans="1:4" ht="14.45" customHeight="1" x14ac:dyDescent="0.2">
      <c r="A29" s="724" t="s">
        <v>13</v>
      </c>
      <c r="B29" s="725"/>
      <c r="C29" s="736"/>
      <c r="D29" s="282">
        <v>0</v>
      </c>
    </row>
    <row r="30" spans="1:4" x14ac:dyDescent="0.2">
      <c r="A30" s="724" t="s">
        <v>125</v>
      </c>
      <c r="B30" s="725"/>
      <c r="C30" s="736"/>
      <c r="D30" s="283">
        <v>0</v>
      </c>
    </row>
    <row r="31" spans="1:4" x14ac:dyDescent="0.2">
      <c r="A31" s="724" t="s">
        <v>26</v>
      </c>
      <c r="B31" s="725"/>
      <c r="C31" s="736"/>
      <c r="D31" s="282">
        <v>0</v>
      </c>
    </row>
    <row r="32" spans="1:4" x14ac:dyDescent="0.2">
      <c r="A32" s="724" t="s">
        <v>169</v>
      </c>
      <c r="B32" s="725"/>
      <c r="C32" s="736"/>
      <c r="D32" s="283">
        <v>2</v>
      </c>
    </row>
    <row r="33" spans="1:4" x14ac:dyDescent="0.2">
      <c r="A33" s="743" t="s">
        <v>167</v>
      </c>
      <c r="B33" s="744"/>
      <c r="C33" s="745"/>
      <c r="D33" s="283">
        <v>0</v>
      </c>
    </row>
    <row r="34" spans="1:4" ht="13.5" thickBot="1" x14ac:dyDescent="0.25">
      <c r="A34" s="732" t="s">
        <v>25</v>
      </c>
      <c r="B34" s="733"/>
      <c r="C34" s="734"/>
      <c r="D34" s="284">
        <v>21</v>
      </c>
    </row>
    <row r="35" spans="1:4" ht="14.25" thickTop="1" thickBot="1" x14ac:dyDescent="0.25">
      <c r="A35" s="20"/>
      <c r="B35" s="145"/>
      <c r="C35" s="20"/>
      <c r="D35" s="24"/>
    </row>
    <row r="36" spans="1:4" ht="13.5" thickBot="1" x14ac:dyDescent="0.25">
      <c r="A36" s="25" t="s">
        <v>109</v>
      </c>
      <c r="B36" s="729" t="s">
        <v>123</v>
      </c>
      <c r="C36" s="730"/>
      <c r="D36" s="731"/>
    </row>
    <row r="37" spans="1:4" ht="15.75" customHeight="1" thickBot="1" x14ac:dyDescent="0.25">
      <c r="B37" s="145"/>
      <c r="C37" s="20"/>
      <c r="D37" s="20"/>
    </row>
    <row r="38" spans="1:4" ht="39" thickBot="1" x14ac:dyDescent="0.25">
      <c r="A38" s="214"/>
      <c r="B38" s="256" t="s">
        <v>1</v>
      </c>
      <c r="C38" s="257" t="s">
        <v>2</v>
      </c>
      <c r="D38" s="257" t="s">
        <v>175</v>
      </c>
    </row>
    <row r="39" spans="1:4" ht="13.5" thickBot="1" x14ac:dyDescent="0.25">
      <c r="A39" s="741" t="s">
        <v>3</v>
      </c>
      <c r="B39" s="742"/>
      <c r="C39" s="727" t="s">
        <v>0</v>
      </c>
      <c r="D39" s="728"/>
    </row>
    <row r="40" spans="1:4" ht="13.5" thickBot="1" x14ac:dyDescent="0.25">
      <c r="A40" s="26">
        <v>1</v>
      </c>
      <c r="B40" s="147" t="s">
        <v>10</v>
      </c>
      <c r="C40" s="27" t="s">
        <v>0</v>
      </c>
      <c r="D40" s="28" t="s">
        <v>11</v>
      </c>
    </row>
    <row r="41" spans="1:4" x14ac:dyDescent="0.2">
      <c r="A41" s="215" t="s">
        <v>32</v>
      </c>
      <c r="B41" s="148" t="s">
        <v>64</v>
      </c>
      <c r="C41" s="29" t="s">
        <v>0</v>
      </c>
      <c r="D41" s="286">
        <f>D22</f>
        <v>2575.91</v>
      </c>
    </row>
    <row r="42" spans="1:4" x14ac:dyDescent="0.2">
      <c r="A42" s="215" t="s">
        <v>33</v>
      </c>
      <c r="B42" s="149" t="s">
        <v>104</v>
      </c>
      <c r="C42" s="31" t="s">
        <v>0</v>
      </c>
      <c r="D42" s="287">
        <v>0</v>
      </c>
    </row>
    <row r="43" spans="1:4" x14ac:dyDescent="0.2">
      <c r="A43" s="215" t="s">
        <v>34</v>
      </c>
      <c r="B43" s="149" t="s">
        <v>105</v>
      </c>
      <c r="C43" s="31" t="s">
        <v>0</v>
      </c>
      <c r="D43" s="287">
        <v>0</v>
      </c>
    </row>
    <row r="44" spans="1:4" x14ac:dyDescent="0.2">
      <c r="A44" s="215" t="s">
        <v>35</v>
      </c>
      <c r="B44" s="149" t="s">
        <v>106</v>
      </c>
      <c r="C44" s="33" t="s">
        <v>0</v>
      </c>
      <c r="D44" s="287">
        <v>0</v>
      </c>
    </row>
    <row r="45" spans="1:4" x14ac:dyDescent="0.2">
      <c r="A45" s="215" t="s">
        <v>36</v>
      </c>
      <c r="B45" s="149" t="s">
        <v>107</v>
      </c>
      <c r="C45" s="33" t="s">
        <v>0</v>
      </c>
      <c r="D45" s="287">
        <v>0</v>
      </c>
    </row>
    <row r="46" spans="1:4" ht="13.5" thickBot="1" x14ac:dyDescent="0.25">
      <c r="A46" s="216" t="s">
        <v>63</v>
      </c>
      <c r="B46" s="150" t="s">
        <v>65</v>
      </c>
      <c r="C46" s="34" t="s">
        <v>0</v>
      </c>
      <c r="D46" s="288">
        <v>0</v>
      </c>
    </row>
    <row r="47" spans="1:4" ht="15.75" customHeight="1" thickBot="1" x14ac:dyDescent="0.25">
      <c r="A47" s="765" t="s">
        <v>4</v>
      </c>
      <c r="B47" s="766"/>
      <c r="C47" s="767"/>
      <c r="D47" s="68">
        <f>SUM(D41:D46)</f>
        <v>2575.91</v>
      </c>
    </row>
    <row r="48" spans="1:4" ht="13.5" thickBot="1" x14ac:dyDescent="0.25">
      <c r="B48" s="151" t="s">
        <v>0</v>
      </c>
      <c r="C48" s="36" t="s">
        <v>0</v>
      </c>
      <c r="D48" s="37" t="s">
        <v>0</v>
      </c>
    </row>
    <row r="49" spans="1:4" ht="13.5" thickBot="1" x14ac:dyDescent="0.25">
      <c r="A49" s="770" t="s">
        <v>55</v>
      </c>
      <c r="B49" s="771"/>
      <c r="C49" s="258"/>
      <c r="D49" s="259"/>
    </row>
    <row r="50" spans="1:4" ht="13.5" thickBot="1" x14ac:dyDescent="0.25">
      <c r="A50" s="56" t="s">
        <v>57</v>
      </c>
      <c r="B50" s="772" t="s">
        <v>52</v>
      </c>
      <c r="C50" s="772"/>
      <c r="D50" s="773"/>
    </row>
    <row r="51" spans="1:4" ht="15.75" customHeight="1" x14ac:dyDescent="0.2">
      <c r="A51" s="217" t="s">
        <v>32</v>
      </c>
      <c r="B51" s="178" t="s">
        <v>152</v>
      </c>
      <c r="C51" s="135">
        <v>8.3333000000000004E-2</v>
      </c>
      <c r="D51" s="77">
        <f>C51*D47</f>
        <v>214.65830803</v>
      </c>
    </row>
    <row r="52" spans="1:4" ht="29.25" customHeight="1" thickBot="1" x14ac:dyDescent="0.25">
      <c r="A52" s="218" t="s">
        <v>33</v>
      </c>
      <c r="B52" s="179" t="s">
        <v>156</v>
      </c>
      <c r="C52" s="136">
        <v>0.121</v>
      </c>
      <c r="D52" s="79">
        <f>C52*D47</f>
        <v>311.68510999999995</v>
      </c>
    </row>
    <row r="53" spans="1:4" ht="13.5" thickBot="1" x14ac:dyDescent="0.25">
      <c r="A53" s="765" t="s">
        <v>130</v>
      </c>
      <c r="B53" s="767"/>
      <c r="C53" s="121">
        <f>SUM(C51:C52)</f>
        <v>0.20433299999999999</v>
      </c>
      <c r="D53" s="68">
        <f>SUM(D51:D52)</f>
        <v>526.34341802999995</v>
      </c>
    </row>
    <row r="54" spans="1:4" x14ac:dyDescent="0.2">
      <c r="A54" s="769" t="s">
        <v>160</v>
      </c>
      <c r="B54" s="769"/>
      <c r="C54" s="769"/>
      <c r="D54" s="769"/>
    </row>
    <row r="55" spans="1:4" ht="13.5" thickBot="1" x14ac:dyDescent="0.25">
      <c r="A55" s="213"/>
      <c r="B55" s="152"/>
      <c r="C55" s="40"/>
      <c r="D55" s="40"/>
    </row>
    <row r="56" spans="1:4" ht="13.5" thickBot="1" x14ac:dyDescent="0.25">
      <c r="A56" s="38" t="s">
        <v>58</v>
      </c>
      <c r="B56" s="303" t="s">
        <v>54</v>
      </c>
      <c r="C56" s="41"/>
      <c r="D56" s="28" t="s">
        <v>11</v>
      </c>
    </row>
    <row r="57" spans="1:4" x14ac:dyDescent="0.2">
      <c r="A57" s="219" t="s">
        <v>32</v>
      </c>
      <c r="B57" s="154" t="s">
        <v>67</v>
      </c>
      <c r="C57" s="42">
        <v>0.2</v>
      </c>
      <c r="D57" s="30">
        <f>$D$47*C57</f>
        <v>515.18200000000002</v>
      </c>
    </row>
    <row r="58" spans="1:4" x14ac:dyDescent="0.2">
      <c r="A58" s="127" t="s">
        <v>33</v>
      </c>
      <c r="B58" s="155" t="s">
        <v>68</v>
      </c>
      <c r="C58" s="43">
        <v>1.4999999999999999E-2</v>
      </c>
      <c r="D58" s="32">
        <f>($D$47*C58)</f>
        <v>38.638649999999998</v>
      </c>
    </row>
    <row r="59" spans="1:4" x14ac:dyDescent="0.2">
      <c r="A59" s="127" t="s">
        <v>34</v>
      </c>
      <c r="B59" s="155" t="s">
        <v>69</v>
      </c>
      <c r="C59" s="43">
        <v>0.01</v>
      </c>
      <c r="D59" s="32">
        <f t="shared" ref="D59:D61" si="0">($D$47*C59)</f>
        <v>25.7591</v>
      </c>
    </row>
    <row r="60" spans="1:4" s="142" customFormat="1" x14ac:dyDescent="0.2">
      <c r="A60" s="127" t="s">
        <v>35</v>
      </c>
      <c r="B60" s="155" t="s">
        <v>70</v>
      </c>
      <c r="C60" s="43">
        <v>2E-3</v>
      </c>
      <c r="D60" s="32">
        <f t="shared" si="0"/>
        <v>5.1518199999999998</v>
      </c>
    </row>
    <row r="61" spans="1:4" x14ac:dyDescent="0.2">
      <c r="A61" s="127" t="s">
        <v>36</v>
      </c>
      <c r="B61" s="155" t="s">
        <v>71</v>
      </c>
      <c r="C61" s="43">
        <v>2.5000000000000001E-2</v>
      </c>
      <c r="D61" s="32">
        <f t="shared" si="0"/>
        <v>64.397750000000002</v>
      </c>
    </row>
    <row r="62" spans="1:4" x14ac:dyDescent="0.2">
      <c r="A62" s="220" t="s">
        <v>61</v>
      </c>
      <c r="B62" s="156" t="s">
        <v>72</v>
      </c>
      <c r="C62" s="119">
        <v>0.08</v>
      </c>
      <c r="D62" s="120">
        <f>$D$47*C62</f>
        <v>206.0728</v>
      </c>
    </row>
    <row r="63" spans="1:4" x14ac:dyDescent="0.2">
      <c r="A63" s="289" t="s">
        <v>62</v>
      </c>
      <c r="B63" s="290" t="s">
        <v>73</v>
      </c>
      <c r="C63" s="291">
        <v>0.03</v>
      </c>
      <c r="D63" s="285">
        <f>($D$47*C63)</f>
        <v>77.277299999999997</v>
      </c>
    </row>
    <row r="64" spans="1:4" ht="13.5" thickBot="1" x14ac:dyDescent="0.25">
      <c r="A64" s="221" t="s">
        <v>63</v>
      </c>
      <c r="B64" s="157" t="s">
        <v>74</v>
      </c>
      <c r="C64" s="70">
        <v>6.0000000000000001E-3</v>
      </c>
      <c r="D64" s="32">
        <f>($D$47*C64)</f>
        <v>15.455459999999999</v>
      </c>
    </row>
    <row r="65" spans="1:4" ht="13.5" thickBot="1" x14ac:dyDescent="0.25">
      <c r="A65" s="765" t="s">
        <v>130</v>
      </c>
      <c r="B65" s="767"/>
      <c r="C65" s="71">
        <f>SUM(C57:C64)</f>
        <v>0.3680000000000001</v>
      </c>
      <c r="D65" s="72">
        <f>SUM(D57:D64)</f>
        <v>947.93488000000002</v>
      </c>
    </row>
    <row r="66" spans="1:4" x14ac:dyDescent="0.2">
      <c r="A66" s="758" t="s">
        <v>158</v>
      </c>
      <c r="B66" s="758"/>
      <c r="C66" s="758"/>
      <c r="D66" s="758"/>
    </row>
    <row r="67" spans="1:4" x14ac:dyDescent="0.2">
      <c r="A67" s="759" t="s">
        <v>159</v>
      </c>
      <c r="B67" s="759"/>
      <c r="C67" s="759"/>
      <c r="D67" s="759"/>
    </row>
    <row r="68" spans="1:4" ht="13.5" thickBot="1" x14ac:dyDescent="0.25">
      <c r="B68" s="151"/>
      <c r="C68" s="36"/>
      <c r="D68" s="37"/>
    </row>
    <row r="69" spans="1:4" ht="13.5" thickBot="1" x14ac:dyDescent="0.25">
      <c r="A69" s="38" t="s">
        <v>59</v>
      </c>
      <c r="B69" s="202" t="s">
        <v>56</v>
      </c>
      <c r="C69" s="45" t="s">
        <v>0</v>
      </c>
      <c r="D69" s="46" t="s">
        <v>11</v>
      </c>
    </row>
    <row r="70" spans="1:4" x14ac:dyDescent="0.2">
      <c r="A70" s="222" t="s">
        <v>32</v>
      </c>
      <c r="B70" s="180" t="s">
        <v>150</v>
      </c>
      <c r="C70" s="29" t="s">
        <v>0</v>
      </c>
      <c r="D70" s="286">
        <f>IF(((D27*2*D34)-D47*0.06)&lt;0,0,(D27*2*D34)-D47*0.06)</f>
        <v>76.445400000000006</v>
      </c>
    </row>
    <row r="71" spans="1:4" x14ac:dyDescent="0.2">
      <c r="A71" s="223" t="s">
        <v>33</v>
      </c>
      <c r="B71" s="181" t="s">
        <v>389</v>
      </c>
      <c r="C71" s="47" t="s">
        <v>0</v>
      </c>
      <c r="D71" s="287">
        <f>(D28*D34)</f>
        <v>735</v>
      </c>
    </row>
    <row r="72" spans="1:4" x14ac:dyDescent="0.2">
      <c r="A72" s="223" t="s">
        <v>34</v>
      </c>
      <c r="B72" s="181" t="s">
        <v>148</v>
      </c>
      <c r="C72" s="47" t="s">
        <v>0</v>
      </c>
      <c r="D72" s="287">
        <f>D29</f>
        <v>0</v>
      </c>
    </row>
    <row r="73" spans="1:4" x14ac:dyDescent="0.2">
      <c r="A73" s="223" t="s">
        <v>35</v>
      </c>
      <c r="B73" s="181" t="s">
        <v>75</v>
      </c>
      <c r="C73" s="47" t="s">
        <v>0</v>
      </c>
      <c r="D73" s="287">
        <f>D30</f>
        <v>0</v>
      </c>
    </row>
    <row r="74" spans="1:4" x14ac:dyDescent="0.2">
      <c r="A74" s="223" t="s">
        <v>36</v>
      </c>
      <c r="B74" s="181" t="s">
        <v>149</v>
      </c>
      <c r="C74" s="47" t="s">
        <v>0</v>
      </c>
      <c r="D74" s="287">
        <f>D31</f>
        <v>0</v>
      </c>
    </row>
    <row r="75" spans="1:4" x14ac:dyDescent="0.2">
      <c r="A75" s="223" t="s">
        <v>62</v>
      </c>
      <c r="B75" s="181" t="s">
        <v>168</v>
      </c>
      <c r="C75" s="47" t="s">
        <v>0</v>
      </c>
      <c r="D75" s="287">
        <f>D32</f>
        <v>2</v>
      </c>
    </row>
    <row r="76" spans="1:4" ht="13.5" thickBot="1" x14ac:dyDescent="0.25">
      <c r="A76" s="224" t="s">
        <v>63</v>
      </c>
      <c r="B76" s="182" t="s">
        <v>65</v>
      </c>
      <c r="C76" s="48" t="s">
        <v>0</v>
      </c>
      <c r="D76" s="299">
        <f>D33</f>
        <v>0</v>
      </c>
    </row>
    <row r="77" spans="1:4" ht="15.75" customHeight="1" thickBot="1" x14ac:dyDescent="0.25">
      <c r="A77" s="765" t="s">
        <v>130</v>
      </c>
      <c r="B77" s="767"/>
      <c r="C77" s="73" t="s">
        <v>0</v>
      </c>
      <c r="D77" s="74">
        <f>SUM(D70:D76)</f>
        <v>813.44540000000006</v>
      </c>
    </row>
    <row r="78" spans="1:4" ht="13.5" thickBot="1" x14ac:dyDescent="0.25">
      <c r="A78" s="270"/>
      <c r="B78" s="271"/>
      <c r="C78" s="272"/>
      <c r="D78" s="273"/>
    </row>
    <row r="79" spans="1:4" ht="13.5" thickBot="1" x14ac:dyDescent="0.25">
      <c r="A79" s="741" t="s">
        <v>131</v>
      </c>
      <c r="B79" s="742"/>
      <c r="C79" s="742"/>
      <c r="D79" s="764"/>
    </row>
    <row r="80" spans="1:4" ht="13.5" thickBot="1" x14ac:dyDescent="0.25">
      <c r="A80" s="260">
        <v>2</v>
      </c>
      <c r="B80" s="302" t="s">
        <v>53</v>
      </c>
      <c r="C80" s="41" t="s">
        <v>0</v>
      </c>
      <c r="D80" s="28" t="s">
        <v>11</v>
      </c>
    </row>
    <row r="81" spans="1:4" x14ac:dyDescent="0.2">
      <c r="A81" s="225" t="s">
        <v>57</v>
      </c>
      <c r="B81" s="183" t="s">
        <v>76</v>
      </c>
      <c r="C81" s="63"/>
      <c r="D81" s="30">
        <f>D53</f>
        <v>526.34341802999995</v>
      </c>
    </row>
    <row r="82" spans="1:4" x14ac:dyDescent="0.2">
      <c r="A82" s="225" t="s">
        <v>58</v>
      </c>
      <c r="B82" s="184" t="s">
        <v>77</v>
      </c>
      <c r="C82" s="49"/>
      <c r="D82" s="32">
        <f>D65</f>
        <v>947.93488000000002</v>
      </c>
    </row>
    <row r="83" spans="1:4" ht="13.5" thickBot="1" x14ac:dyDescent="0.25">
      <c r="A83" s="226" t="s">
        <v>59</v>
      </c>
      <c r="B83" s="185" t="s">
        <v>110</v>
      </c>
      <c r="C83" s="62"/>
      <c r="D83" s="35">
        <f>D77</f>
        <v>813.44540000000006</v>
      </c>
    </row>
    <row r="84" spans="1:4" ht="15.75" customHeight="1" thickBot="1" x14ac:dyDescent="0.25">
      <c r="A84" s="227"/>
      <c r="B84" s="159" t="s">
        <v>5</v>
      </c>
      <c r="C84" s="76" t="s">
        <v>0</v>
      </c>
      <c r="D84" s="78">
        <f>SUM(D81:D83)</f>
        <v>2287.7236980299999</v>
      </c>
    </row>
    <row r="85" spans="1:4" ht="13.5" thickBot="1" x14ac:dyDescent="0.25">
      <c r="A85" s="213"/>
      <c r="B85" s="160"/>
      <c r="C85" s="50"/>
      <c r="D85" s="51"/>
    </row>
    <row r="86" spans="1:4" ht="13.5" thickBot="1" x14ac:dyDescent="0.25">
      <c r="A86" s="760" t="s">
        <v>155</v>
      </c>
      <c r="B86" s="761"/>
      <c r="C86" s="761"/>
      <c r="D86" s="762"/>
    </row>
    <row r="87" spans="1:4" s="142" customFormat="1" ht="13.5" thickBot="1" x14ac:dyDescent="0.25">
      <c r="A87" s="260">
        <v>3</v>
      </c>
      <c r="B87" s="774" t="s">
        <v>60</v>
      </c>
      <c r="C87" s="774"/>
      <c r="D87" s="775"/>
    </row>
    <row r="88" spans="1:4" ht="30" customHeight="1" x14ac:dyDescent="0.2">
      <c r="A88" s="127" t="s">
        <v>32</v>
      </c>
      <c r="B88" s="183" t="s">
        <v>390</v>
      </c>
      <c r="C88" s="292">
        <f>33/365*0.2</f>
        <v>1.8082191780821918E-2</v>
      </c>
      <c r="D88" s="30">
        <f>C88*D47</f>
        <v>46.578098630136985</v>
      </c>
    </row>
    <row r="89" spans="1:4" x14ac:dyDescent="0.2">
      <c r="A89" s="220" t="s">
        <v>33</v>
      </c>
      <c r="B89" s="186" t="s">
        <v>391</v>
      </c>
      <c r="C89" s="133">
        <f>C88*8%</f>
        <v>1.4465753424657535E-3</v>
      </c>
      <c r="D89" s="120">
        <f>C89*D47</f>
        <v>3.7262478904109591</v>
      </c>
    </row>
    <row r="90" spans="1:4" ht="25.5" x14ac:dyDescent="0.2">
      <c r="A90" s="228" t="s">
        <v>34</v>
      </c>
      <c r="B90" s="177" t="s">
        <v>392</v>
      </c>
      <c r="C90" s="134">
        <v>4.0500000000000001E-2</v>
      </c>
      <c r="D90" s="39">
        <f>C90*D47</f>
        <v>104.324355</v>
      </c>
    </row>
    <row r="91" spans="1:4" x14ac:dyDescent="0.2">
      <c r="A91" s="127" t="s">
        <v>35</v>
      </c>
      <c r="B91" s="187" t="s">
        <v>393</v>
      </c>
      <c r="C91" s="293">
        <v>1.944E-3</v>
      </c>
      <c r="D91" s="32">
        <f>C91*D47</f>
        <v>5.0075690399999999</v>
      </c>
    </row>
    <row r="92" spans="1:4" ht="25.5" x14ac:dyDescent="0.2">
      <c r="A92" s="229" t="s">
        <v>36</v>
      </c>
      <c r="B92" s="187" t="s">
        <v>154</v>
      </c>
      <c r="C92" s="117">
        <f>C91*C65</f>
        <v>7.1539200000000024E-4</v>
      </c>
      <c r="D92" s="67">
        <f>C92*D47</f>
        <v>1.8427854067200005</v>
      </c>
    </row>
    <row r="93" spans="1:4" ht="26.25" thickBot="1" x14ac:dyDescent="0.25">
      <c r="A93" s="230" t="s">
        <v>61</v>
      </c>
      <c r="B93" s="188" t="s">
        <v>394</v>
      </c>
      <c r="C93" s="118">
        <v>4.4999999999999997E-3</v>
      </c>
      <c r="D93" s="115">
        <f>C93*D47</f>
        <v>11.591594999999998</v>
      </c>
    </row>
    <row r="94" spans="1:4" ht="13.5" thickBot="1" x14ac:dyDescent="0.25">
      <c r="A94" s="231"/>
      <c r="B94" s="161" t="s">
        <v>78</v>
      </c>
      <c r="C94" s="125">
        <f>SUM(C88:C93)</f>
        <v>6.7188159123287669E-2</v>
      </c>
      <c r="D94" s="126">
        <f>SUM(D88:D93)</f>
        <v>173.07065096726791</v>
      </c>
    </row>
    <row r="95" spans="1:4" x14ac:dyDescent="0.2">
      <c r="A95" s="758" t="s">
        <v>161</v>
      </c>
      <c r="B95" s="758"/>
      <c r="C95" s="758"/>
      <c r="D95" s="758"/>
    </row>
    <row r="96" spans="1:4" ht="15.75" customHeight="1" x14ac:dyDescent="0.2">
      <c r="A96" s="759" t="s">
        <v>162</v>
      </c>
      <c r="B96" s="759"/>
      <c r="C96" s="759"/>
      <c r="D96" s="759"/>
    </row>
    <row r="97" spans="1:4" ht="13.5" thickBot="1" x14ac:dyDescent="0.25">
      <c r="A97" s="232"/>
      <c r="B97" s="261"/>
      <c r="C97" s="262"/>
      <c r="D97" s="263"/>
    </row>
    <row r="98" spans="1:4" ht="13.5" thickBot="1" x14ac:dyDescent="0.25">
      <c r="A98" s="760" t="s">
        <v>103</v>
      </c>
      <c r="B98" s="761"/>
      <c r="C98" s="761"/>
      <c r="D98" s="762"/>
    </row>
    <row r="99" spans="1:4" ht="13.5" thickBot="1" x14ac:dyDescent="0.25">
      <c r="A99" s="52" t="s">
        <v>81</v>
      </c>
      <c r="B99" s="302" t="s">
        <v>116</v>
      </c>
      <c r="C99" s="264" t="s">
        <v>0</v>
      </c>
      <c r="D99" s="265" t="s">
        <v>11</v>
      </c>
    </row>
    <row r="100" spans="1:4" ht="25.5" x14ac:dyDescent="0.2">
      <c r="A100" s="127" t="s">
        <v>32</v>
      </c>
      <c r="B100" s="183" t="s">
        <v>395</v>
      </c>
      <c r="C100" s="294">
        <v>9.4999999999999998E-3</v>
      </c>
      <c r="D100" s="128">
        <f>C100*$D$47</f>
        <v>24.471144999999996</v>
      </c>
    </row>
    <row r="101" spans="1:4" x14ac:dyDescent="0.2">
      <c r="A101" s="127" t="s">
        <v>33</v>
      </c>
      <c r="B101" s="184" t="s">
        <v>396</v>
      </c>
      <c r="C101" s="293">
        <v>4.1700000000000001E-2</v>
      </c>
      <c r="D101" s="233">
        <f t="shared" ref="D101:D105" si="1">C101*$D$47</f>
        <v>107.415447</v>
      </c>
    </row>
    <row r="102" spans="1:4" ht="15.75" customHeight="1" x14ac:dyDescent="0.2">
      <c r="A102" s="127" t="s">
        <v>34</v>
      </c>
      <c r="B102" s="184" t="s">
        <v>397</v>
      </c>
      <c r="C102" s="295">
        <v>1E-3</v>
      </c>
      <c r="D102" s="233">
        <f t="shared" si="1"/>
        <v>2.5759099999999999</v>
      </c>
    </row>
    <row r="103" spans="1:4" x14ac:dyDescent="0.2">
      <c r="A103" s="127" t="s">
        <v>35</v>
      </c>
      <c r="B103" s="184" t="s">
        <v>398</v>
      </c>
      <c r="C103" s="295">
        <v>6.3E-3</v>
      </c>
      <c r="D103" s="233">
        <f t="shared" si="1"/>
        <v>16.228232999999999</v>
      </c>
    </row>
    <row r="104" spans="1:4" x14ac:dyDescent="0.2">
      <c r="A104" s="127" t="s">
        <v>36</v>
      </c>
      <c r="B104" s="184" t="s">
        <v>399</v>
      </c>
      <c r="C104" s="295">
        <v>2.0000000000000001E-4</v>
      </c>
      <c r="D104" s="233">
        <f t="shared" si="1"/>
        <v>0.51518200000000003</v>
      </c>
    </row>
    <row r="105" spans="1:4" ht="13.5" thickBot="1" x14ac:dyDescent="0.25">
      <c r="A105" s="234" t="s">
        <v>61</v>
      </c>
      <c r="B105" s="184" t="s">
        <v>108</v>
      </c>
      <c r="C105" s="296">
        <v>0</v>
      </c>
      <c r="D105" s="233">
        <f t="shared" si="1"/>
        <v>0</v>
      </c>
    </row>
    <row r="106" spans="1:4" ht="13.5" thickBot="1" x14ac:dyDescent="0.25">
      <c r="A106" s="227"/>
      <c r="B106" s="189" t="s">
        <v>7</v>
      </c>
      <c r="C106" s="137">
        <f>SUM(C100:C105)</f>
        <v>5.8700000000000002E-2</v>
      </c>
      <c r="D106" s="69">
        <f>SUM(D100:D105)</f>
        <v>151.205917</v>
      </c>
    </row>
    <row r="107" spans="1:4" ht="13.5" thickBot="1" x14ac:dyDescent="0.25">
      <c r="A107" s="235" t="s">
        <v>62</v>
      </c>
      <c r="B107" s="190" t="s">
        <v>132</v>
      </c>
      <c r="C107" s="138">
        <f>C106*C65</f>
        <v>2.1601600000000006E-2</v>
      </c>
      <c r="D107" s="65">
        <f>C107*D47</f>
        <v>55.643777456000009</v>
      </c>
    </row>
    <row r="108" spans="1:4" ht="26.25" thickBot="1" x14ac:dyDescent="0.25">
      <c r="A108" s="236" t="s">
        <v>63</v>
      </c>
      <c r="B108" s="191" t="s">
        <v>133</v>
      </c>
      <c r="C108" s="139">
        <f>C53*C65</f>
        <v>7.5194544000000016E-2</v>
      </c>
      <c r="D108" s="116">
        <f>C108*D47</f>
        <v>193.69437783504003</v>
      </c>
    </row>
    <row r="109" spans="1:4" ht="13.5" thickBot="1" x14ac:dyDescent="0.25">
      <c r="A109" s="237"/>
      <c r="B109" s="192" t="s">
        <v>8</v>
      </c>
      <c r="C109" s="124">
        <f>SUM(C106:C108)</f>
        <v>0.155496144</v>
      </c>
      <c r="D109" s="75">
        <f>SUM(D106:D108)</f>
        <v>400.54407229104004</v>
      </c>
    </row>
    <row r="110" spans="1:4" ht="15.75" customHeight="1" x14ac:dyDescent="0.2">
      <c r="A110" s="758" t="s">
        <v>163</v>
      </c>
      <c r="B110" s="758"/>
      <c r="C110" s="758"/>
      <c r="D110" s="758"/>
    </row>
    <row r="111" spans="1:4" ht="13.5" thickBot="1" x14ac:dyDescent="0.25">
      <c r="B111" s="212"/>
      <c r="C111" s="212"/>
      <c r="D111" s="212"/>
    </row>
    <row r="112" spans="1:4" ht="13.5" thickBot="1" x14ac:dyDescent="0.25">
      <c r="A112" s="741" t="s">
        <v>90</v>
      </c>
      <c r="B112" s="742"/>
      <c r="C112" s="742"/>
      <c r="D112" s="763"/>
    </row>
    <row r="113" spans="1:4" ht="13.5" thickBot="1" x14ac:dyDescent="0.25">
      <c r="A113" s="52">
        <v>5</v>
      </c>
      <c r="B113" s="303" t="s">
        <v>80</v>
      </c>
      <c r="C113" s="27" t="s">
        <v>0</v>
      </c>
      <c r="D113" s="28" t="s">
        <v>11</v>
      </c>
    </row>
    <row r="114" spans="1:4" x14ac:dyDescent="0.2">
      <c r="A114" s="127" t="s">
        <v>32</v>
      </c>
      <c r="B114" s="162" t="s">
        <v>82</v>
      </c>
      <c r="C114" s="29" t="s">
        <v>0</v>
      </c>
      <c r="D114" s="30">
        <f>Uniformes!P15</f>
        <v>33.61</v>
      </c>
    </row>
    <row r="115" spans="1:4" x14ac:dyDescent="0.2">
      <c r="A115" s="127" t="s">
        <v>33</v>
      </c>
      <c r="B115" s="163" t="s">
        <v>40</v>
      </c>
      <c r="C115" s="47" t="s">
        <v>0</v>
      </c>
      <c r="D115" s="32">
        <v>0</v>
      </c>
    </row>
    <row r="116" spans="1:4" x14ac:dyDescent="0.2">
      <c r="A116" s="127" t="s">
        <v>34</v>
      </c>
      <c r="B116" s="163" t="s">
        <v>147</v>
      </c>
      <c r="C116" s="47" t="s">
        <v>0</v>
      </c>
      <c r="D116" s="32">
        <f>'EPI''s'!L12</f>
        <v>5.6436111111111122</v>
      </c>
    </row>
    <row r="117" spans="1:4" ht="13.5" thickBot="1" x14ac:dyDescent="0.25">
      <c r="A117" s="234" t="s">
        <v>35</v>
      </c>
      <c r="B117" s="164" t="s">
        <v>231</v>
      </c>
      <c r="C117" s="48" t="s">
        <v>0</v>
      </c>
      <c r="D117" s="44">
        <v>0</v>
      </c>
    </row>
    <row r="118" spans="1:4" ht="15.75" customHeight="1" thickBot="1" x14ac:dyDescent="0.25">
      <c r="A118" s="227"/>
      <c r="B118" s="165" t="s">
        <v>6</v>
      </c>
      <c r="C118" s="73" t="s">
        <v>0</v>
      </c>
      <c r="D118" s="74">
        <f>SUM(D114:D117)</f>
        <v>39.253611111111113</v>
      </c>
    </row>
    <row r="119" spans="1:4" ht="13.5" thickBot="1" x14ac:dyDescent="0.25">
      <c r="B119" s="151" t="s">
        <v>0</v>
      </c>
      <c r="C119" s="36" t="s">
        <v>0</v>
      </c>
      <c r="D119" s="37" t="s">
        <v>0</v>
      </c>
    </row>
    <row r="120" spans="1:4" ht="13.5" thickBot="1" x14ac:dyDescent="0.25">
      <c r="A120" s="741" t="s">
        <v>83</v>
      </c>
      <c r="B120" s="742"/>
      <c r="C120" s="742"/>
      <c r="D120" s="763"/>
    </row>
    <row r="121" spans="1:4" ht="13.5" thickBot="1" x14ac:dyDescent="0.25">
      <c r="A121" s="38">
        <v>6</v>
      </c>
      <c r="B121" s="53" t="s">
        <v>124</v>
      </c>
      <c r="C121" s="38" t="s">
        <v>0</v>
      </c>
      <c r="D121" s="38"/>
    </row>
    <row r="122" spans="1:4" x14ac:dyDescent="0.2">
      <c r="A122" s="238" t="s">
        <v>32</v>
      </c>
      <c r="B122" s="166" t="s">
        <v>84</v>
      </c>
      <c r="C122" s="297">
        <v>0.05</v>
      </c>
      <c r="D122" s="32">
        <f>D146*C122</f>
        <v>273.82510161997101</v>
      </c>
    </row>
    <row r="123" spans="1:4" x14ac:dyDescent="0.2">
      <c r="A123" s="239"/>
      <c r="B123" s="167" t="s">
        <v>115</v>
      </c>
      <c r="C123" s="122"/>
      <c r="D123" s="54">
        <f>D146+D122</f>
        <v>5750.3271340193905</v>
      </c>
    </row>
    <row r="124" spans="1:4" x14ac:dyDescent="0.2">
      <c r="A124" s="239" t="s">
        <v>33</v>
      </c>
      <c r="B124" s="168" t="s">
        <v>85</v>
      </c>
      <c r="C124" s="297">
        <v>0.06</v>
      </c>
      <c r="D124" s="32">
        <f>C124*D123</f>
        <v>345.0196280411634</v>
      </c>
    </row>
    <row r="125" spans="1:4" x14ac:dyDescent="0.2">
      <c r="A125" s="239"/>
      <c r="B125" s="168"/>
      <c r="C125" s="123"/>
      <c r="D125" s="54">
        <f>D123+D124</f>
        <v>6095.3467620605543</v>
      </c>
    </row>
    <row r="126" spans="1:4" x14ac:dyDescent="0.2">
      <c r="A126" s="239" t="s">
        <v>34</v>
      </c>
      <c r="B126" s="169" t="s">
        <v>37</v>
      </c>
      <c r="C126" s="132">
        <f>C134+C129+C128</f>
        <v>8.6500000000000007E-2</v>
      </c>
      <c r="D126" s="32">
        <f>D147-D122-D124</f>
        <v>577.17295557552131</v>
      </c>
    </row>
    <row r="127" spans="1:4" x14ac:dyDescent="0.2">
      <c r="A127" s="239" t="s">
        <v>98</v>
      </c>
      <c r="B127" s="168" t="s">
        <v>86</v>
      </c>
      <c r="C127" s="297">
        <f>C129+C128</f>
        <v>3.6499999999999998E-2</v>
      </c>
      <c r="D127" s="54">
        <f>D126/C126*C127</f>
        <v>243.54696969371707</v>
      </c>
    </row>
    <row r="128" spans="1:4" x14ac:dyDescent="0.2">
      <c r="A128" s="239"/>
      <c r="B128" s="168" t="s">
        <v>111</v>
      </c>
      <c r="C128" s="297">
        <v>6.4999999999999997E-3</v>
      </c>
      <c r="D128" s="32">
        <f>D126/C126*C128</f>
        <v>43.37137816463455</v>
      </c>
    </row>
    <row r="129" spans="1:4" x14ac:dyDescent="0.2">
      <c r="A129" s="239"/>
      <c r="B129" s="168" t="s">
        <v>112</v>
      </c>
      <c r="C129" s="297">
        <v>0.03</v>
      </c>
      <c r="D129" s="32">
        <f>D126/C126*C129</f>
        <v>200.17559152908251</v>
      </c>
    </row>
    <row r="130" spans="1:4" x14ac:dyDescent="0.2">
      <c r="A130" s="239" t="s">
        <v>99</v>
      </c>
      <c r="B130" s="169" t="s">
        <v>87</v>
      </c>
      <c r="C130" s="132">
        <f>C132+C131</f>
        <v>0</v>
      </c>
      <c r="D130" s="54">
        <v>0</v>
      </c>
    </row>
    <row r="131" spans="1:4" x14ac:dyDescent="0.2">
      <c r="A131" s="239"/>
      <c r="B131" s="168" t="s">
        <v>113</v>
      </c>
      <c r="C131" s="297">
        <v>0</v>
      </c>
      <c r="D131" s="32">
        <v>0</v>
      </c>
    </row>
    <row r="132" spans="1:4" x14ac:dyDescent="0.2">
      <c r="A132" s="239"/>
      <c r="B132" s="168" t="s">
        <v>113</v>
      </c>
      <c r="C132" s="297">
        <v>0</v>
      </c>
      <c r="D132" s="32">
        <v>0</v>
      </c>
    </row>
    <row r="133" spans="1:4" x14ac:dyDescent="0.2">
      <c r="A133" s="239" t="s">
        <v>100</v>
      </c>
      <c r="B133" s="169" t="s">
        <v>88</v>
      </c>
      <c r="C133" s="132">
        <f>C135+C134</f>
        <v>0.05</v>
      </c>
      <c r="D133" s="54">
        <f>D126/C126*C133</f>
        <v>333.62598588180424</v>
      </c>
    </row>
    <row r="134" spans="1:4" x14ac:dyDescent="0.2">
      <c r="A134" s="239"/>
      <c r="B134" s="168" t="s">
        <v>114</v>
      </c>
      <c r="C134" s="297">
        <v>0.05</v>
      </c>
      <c r="D134" s="32">
        <f>D126/C126*C133</f>
        <v>333.62598588180424</v>
      </c>
    </row>
    <row r="135" spans="1:4" ht="13.5" thickBot="1" x14ac:dyDescent="0.25">
      <c r="A135" s="240"/>
      <c r="B135" s="150" t="s">
        <v>113</v>
      </c>
      <c r="C135" s="297">
        <v>0</v>
      </c>
      <c r="D135" s="35">
        <v>0</v>
      </c>
    </row>
    <row r="136" spans="1:4" ht="13.5" thickBot="1" x14ac:dyDescent="0.25">
      <c r="A136" s="227"/>
      <c r="B136" s="159" t="s">
        <v>6</v>
      </c>
      <c r="C136" s="76" t="s">
        <v>0</v>
      </c>
      <c r="D136" s="68">
        <f>D122+D124+D126</f>
        <v>1196.0176852366558</v>
      </c>
    </row>
    <row r="137" spans="1:4" ht="13.5" thickBot="1" x14ac:dyDescent="0.25">
      <c r="A137" s="270"/>
      <c r="B137" s="271"/>
      <c r="C137" s="272"/>
      <c r="D137" s="273"/>
    </row>
    <row r="138" spans="1:4" ht="13.5" thickBot="1" x14ac:dyDescent="0.25">
      <c r="A138" s="269" t="s">
        <v>117</v>
      </c>
      <c r="B138" s="266" t="s">
        <v>118</v>
      </c>
      <c r="C138" s="267" t="s">
        <v>0</v>
      </c>
      <c r="D138" s="268"/>
    </row>
    <row r="139" spans="1:4" ht="13.5" thickBot="1" x14ac:dyDescent="0.25">
      <c r="A139" s="270"/>
      <c r="B139" s="271"/>
      <c r="C139" s="272"/>
      <c r="D139" s="273"/>
    </row>
    <row r="140" spans="1:4" ht="13.5" thickBot="1" x14ac:dyDescent="0.25">
      <c r="A140" s="38">
        <v>1</v>
      </c>
      <c r="B140" s="302" t="s">
        <v>96</v>
      </c>
      <c r="C140" s="41" t="s">
        <v>0</v>
      </c>
      <c r="D140" s="28" t="s">
        <v>11</v>
      </c>
    </row>
    <row r="141" spans="1:4" x14ac:dyDescent="0.2">
      <c r="A141" s="241" t="s">
        <v>32</v>
      </c>
      <c r="B141" s="155" t="s">
        <v>94</v>
      </c>
      <c r="C141" s="168"/>
      <c r="D141" s="242">
        <f>D47</f>
        <v>2575.91</v>
      </c>
    </row>
    <row r="142" spans="1:4" x14ac:dyDescent="0.2">
      <c r="A142" s="127" t="s">
        <v>33</v>
      </c>
      <c r="B142" s="155" t="s">
        <v>93</v>
      </c>
      <c r="C142" s="168"/>
      <c r="D142" s="242">
        <f>D84</f>
        <v>2287.7236980299999</v>
      </c>
    </row>
    <row r="143" spans="1:4" x14ac:dyDescent="0.2">
      <c r="A143" s="127" t="s">
        <v>34</v>
      </c>
      <c r="B143" s="155" t="s">
        <v>92</v>
      </c>
      <c r="C143" s="168"/>
      <c r="D143" s="242">
        <f>D94</f>
        <v>173.07065096726791</v>
      </c>
    </row>
    <row r="144" spans="1:4" x14ac:dyDescent="0.2">
      <c r="A144" s="127" t="s">
        <v>35</v>
      </c>
      <c r="B144" s="155" t="s">
        <v>91</v>
      </c>
      <c r="C144" s="168"/>
      <c r="D144" s="242">
        <f>D109</f>
        <v>400.54407229104004</v>
      </c>
    </row>
    <row r="145" spans="1:4" ht="13.5" thickBot="1" x14ac:dyDescent="0.25">
      <c r="A145" s="221" t="s">
        <v>36</v>
      </c>
      <c r="B145" s="157" t="s">
        <v>89</v>
      </c>
      <c r="C145" s="150"/>
      <c r="D145" s="243">
        <f>D118</f>
        <v>39.253611111111113</v>
      </c>
    </row>
    <row r="146" spans="1:4" ht="16.5" thickBot="1" x14ac:dyDescent="0.25">
      <c r="A146" s="244"/>
      <c r="B146" s="170" t="s">
        <v>129</v>
      </c>
      <c r="C146" s="245"/>
      <c r="D146" s="246">
        <f>SUM(D141:D145)</f>
        <v>5476.5020323994195</v>
      </c>
    </row>
    <row r="147" spans="1:4" ht="13.5" thickBot="1" x14ac:dyDescent="0.25">
      <c r="A147" s="247" t="s">
        <v>61</v>
      </c>
      <c r="B147" s="171" t="s">
        <v>97</v>
      </c>
      <c r="C147" s="248"/>
      <c r="D147" s="249">
        <f>D148-D146</f>
        <v>1196.0176852366558</v>
      </c>
    </row>
    <row r="148" spans="1:4" ht="16.5" thickBot="1" x14ac:dyDescent="0.25">
      <c r="A148" s="765" t="s">
        <v>122</v>
      </c>
      <c r="B148" s="766"/>
      <c r="C148" s="767"/>
      <c r="D148" s="250">
        <f>D125/(100%-C126)</f>
        <v>6672.5197176360753</v>
      </c>
    </row>
    <row r="149" spans="1:4" ht="13.5" thickBot="1" x14ac:dyDescent="0.25">
      <c r="B149" s="172"/>
      <c r="C149" s="172"/>
      <c r="D149" s="172"/>
    </row>
    <row r="150" spans="1:4" ht="13.5" thickBot="1" x14ac:dyDescent="0.25">
      <c r="A150" s="274" t="s">
        <v>119</v>
      </c>
      <c r="B150" s="275" t="s">
        <v>101</v>
      </c>
      <c r="C150" s="66" t="s">
        <v>0</v>
      </c>
      <c r="D150" s="55"/>
    </row>
    <row r="151" spans="1:4" ht="13.5" thickBot="1" x14ac:dyDescent="0.25">
      <c r="A151" s="270"/>
      <c r="B151" s="271"/>
      <c r="C151" s="272"/>
      <c r="D151" s="273"/>
    </row>
    <row r="152" spans="1:4" ht="13.5" thickBot="1" x14ac:dyDescent="0.25">
      <c r="A152" s="56" t="s">
        <v>120</v>
      </c>
      <c r="B152" s="173" t="s">
        <v>121</v>
      </c>
      <c r="C152" s="57" t="s">
        <v>0</v>
      </c>
      <c r="D152" s="58" t="s">
        <v>11</v>
      </c>
    </row>
    <row r="153" spans="1:4" x14ac:dyDescent="0.2">
      <c r="A153" s="251" t="s">
        <v>32</v>
      </c>
      <c r="B153" s="174" t="s">
        <v>66</v>
      </c>
      <c r="C153" s="140">
        <f>C51</f>
        <v>8.3333000000000004E-2</v>
      </c>
      <c r="D153" s="59">
        <f>D51</f>
        <v>214.65830803</v>
      </c>
    </row>
    <row r="154" spans="1:4" x14ac:dyDescent="0.2">
      <c r="A154" s="252" t="s">
        <v>33</v>
      </c>
      <c r="B154" s="175" t="s">
        <v>153</v>
      </c>
      <c r="C154" s="143">
        <f>C52</f>
        <v>0.121</v>
      </c>
      <c r="D154" s="144">
        <f>C154*D148</f>
        <v>807.3748858339651</v>
      </c>
    </row>
    <row r="155" spans="1:4" x14ac:dyDescent="0.2">
      <c r="A155" s="253" t="s">
        <v>34</v>
      </c>
      <c r="B155" s="209" t="s">
        <v>79</v>
      </c>
      <c r="C155" s="210">
        <f>C90</f>
        <v>4.0500000000000001E-2</v>
      </c>
      <c r="D155" s="211">
        <f>D92</f>
        <v>1.8427854067200005</v>
      </c>
    </row>
    <row r="156" spans="1:4" ht="13.5" thickBot="1" x14ac:dyDescent="0.25">
      <c r="A156" s="254" t="s">
        <v>35</v>
      </c>
      <c r="B156" s="176" t="s">
        <v>151</v>
      </c>
      <c r="C156" s="141">
        <f>C108</f>
        <v>7.5194544000000016E-2</v>
      </c>
      <c r="D156" s="60">
        <f>D93</f>
        <v>11.591594999999998</v>
      </c>
    </row>
    <row r="157" spans="1:4" ht="16.5" thickBot="1" x14ac:dyDescent="0.25">
      <c r="A157" s="756" t="s">
        <v>15</v>
      </c>
      <c r="B157" s="757"/>
      <c r="C157" s="114">
        <f>SUM(C153:C156)</f>
        <v>0.320027544</v>
      </c>
      <c r="D157" s="64">
        <f>SUM(D153:D156)</f>
        <v>1035.4675742706852</v>
      </c>
    </row>
    <row r="158" spans="1:4" x14ac:dyDescent="0.2">
      <c r="A158" s="768" t="s">
        <v>400</v>
      </c>
      <c r="B158" s="768"/>
      <c r="C158" s="768"/>
      <c r="D158" s="768"/>
    </row>
    <row r="160" spans="1:4" x14ac:dyDescent="0.2">
      <c r="A160" s="755" t="s">
        <v>177</v>
      </c>
      <c r="B160" s="755"/>
      <c r="C160" s="755"/>
      <c r="D160" s="755"/>
    </row>
    <row r="161" spans="1:4" x14ac:dyDescent="0.2">
      <c r="A161" s="755" t="s">
        <v>164</v>
      </c>
      <c r="B161" s="755"/>
      <c r="C161" s="755"/>
      <c r="D161" s="755"/>
    </row>
  </sheetData>
  <mergeCells count="56">
    <mergeCell ref="A15:D15"/>
    <mergeCell ref="A1:D1"/>
    <mergeCell ref="A2:D2"/>
    <mergeCell ref="A3:D3"/>
    <mergeCell ref="A5:C5"/>
    <mergeCell ref="A6:C6"/>
    <mergeCell ref="A7:C7"/>
    <mergeCell ref="A9:D9"/>
    <mergeCell ref="A10:C10"/>
    <mergeCell ref="A11:C11"/>
    <mergeCell ref="A12:C12"/>
    <mergeCell ref="A13:C13"/>
    <mergeCell ref="A29:C29"/>
    <mergeCell ref="A16:B16"/>
    <mergeCell ref="A17:B17"/>
    <mergeCell ref="A19:D19"/>
    <mergeCell ref="A20:C20"/>
    <mergeCell ref="A21:C21"/>
    <mergeCell ref="A22:C22"/>
    <mergeCell ref="A23:C23"/>
    <mergeCell ref="A24:C24"/>
    <mergeCell ref="A26:D26"/>
    <mergeCell ref="A27:C27"/>
    <mergeCell ref="A28:C28"/>
    <mergeCell ref="A53:B53"/>
    <mergeCell ref="A30:C30"/>
    <mergeCell ref="A31:C31"/>
    <mergeCell ref="A32:C32"/>
    <mergeCell ref="A33:C33"/>
    <mergeCell ref="A34:C34"/>
    <mergeCell ref="B36:D36"/>
    <mergeCell ref="A39:B39"/>
    <mergeCell ref="C39:D39"/>
    <mergeCell ref="A47:C47"/>
    <mergeCell ref="A49:B49"/>
    <mergeCell ref="B50:D50"/>
    <mergeCell ref="A110:D110"/>
    <mergeCell ref="A54:D54"/>
    <mergeCell ref="A65:B65"/>
    <mergeCell ref="A66:D66"/>
    <mergeCell ref="A67:D67"/>
    <mergeCell ref="A77:B77"/>
    <mergeCell ref="A79:B79"/>
    <mergeCell ref="C79:D79"/>
    <mergeCell ref="A86:D86"/>
    <mergeCell ref="B87:D87"/>
    <mergeCell ref="A95:D95"/>
    <mergeCell ref="A96:D96"/>
    <mergeCell ref="A98:D98"/>
    <mergeCell ref="A161:D161"/>
    <mergeCell ref="A112:D112"/>
    <mergeCell ref="A120:D120"/>
    <mergeCell ref="A148:C148"/>
    <mergeCell ref="A157:B157"/>
    <mergeCell ref="A158:D158"/>
    <mergeCell ref="A160:D160"/>
  </mergeCells>
  <pageMargins left="0.70866141732283472" right="0.51181102362204722" top="0.59055118110236227" bottom="0.59055118110236227" header="0.31496062992125984" footer="0.31496062992125984"/>
  <pageSetup paperSize="9" scale="65" fitToHeight="2" orientation="portrait" horizontalDpi="4294967293" verticalDpi="4294967293" r:id="rId1"/>
  <headerFooter>
    <oddFooter>&amp;L&amp;F&amp;C&amp;A&amp;R&amp;P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61"/>
  <sheetViews>
    <sheetView topLeftCell="A43" zoomScale="80" zoomScaleNormal="80" workbookViewId="0">
      <selection activeCell="O26" sqref="O26"/>
    </sheetView>
  </sheetViews>
  <sheetFormatPr defaultRowHeight="15" x14ac:dyDescent="0.25"/>
  <cols>
    <col min="1" max="1" width="3.28515625" bestFit="1" customWidth="1"/>
    <col min="2" max="2" width="63.28515625" customWidth="1"/>
    <col min="3" max="3" width="9.42578125" bestFit="1" customWidth="1"/>
    <col min="4" max="4" width="3.28515625" bestFit="1" customWidth="1"/>
    <col min="5" max="5" width="5" bestFit="1" customWidth="1"/>
    <col min="6" max="6" width="13.7109375" customWidth="1"/>
    <col min="7" max="7" width="12.28515625" bestFit="1" customWidth="1"/>
    <col min="8" max="8" width="10.85546875" bestFit="1" customWidth="1"/>
    <col min="9" max="9" width="11.42578125" bestFit="1" customWidth="1"/>
    <col min="10" max="10" width="13.85546875" customWidth="1"/>
    <col min="11" max="12" width="13.85546875" style="398" customWidth="1"/>
    <col min="13" max="13" width="12.42578125" customWidth="1"/>
    <col min="14" max="14" width="11.85546875" customWidth="1"/>
    <col min="15" max="15" width="12.28515625" customWidth="1"/>
    <col min="16" max="16" width="11.7109375" customWidth="1"/>
  </cols>
  <sheetData>
    <row r="1" spans="1:15" ht="15.75" thickBot="1" x14ac:dyDescent="0.3">
      <c r="A1" s="810" t="s">
        <v>549</v>
      </c>
      <c r="B1" s="811"/>
      <c r="C1" s="811"/>
      <c r="D1" s="811"/>
      <c r="E1" s="811"/>
      <c r="F1" s="811"/>
      <c r="G1" s="811"/>
      <c r="H1" s="811"/>
      <c r="I1" s="811"/>
      <c r="J1" s="811"/>
      <c r="K1" s="811"/>
      <c r="L1" s="811"/>
      <c r="M1" s="811"/>
      <c r="N1" s="811"/>
      <c r="O1" s="812"/>
    </row>
    <row r="2" spans="1:15" ht="15.75" thickBot="1" x14ac:dyDescent="0.3">
      <c r="A2" s="788" t="s">
        <v>228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89"/>
      <c r="N2" s="789"/>
      <c r="O2" s="790"/>
    </row>
    <row r="3" spans="1:15" x14ac:dyDescent="0.25">
      <c r="A3" s="791" t="s">
        <v>136</v>
      </c>
      <c r="B3" s="794" t="s">
        <v>137</v>
      </c>
      <c r="C3" s="797" t="s">
        <v>138</v>
      </c>
      <c r="D3" s="800" t="s">
        <v>165</v>
      </c>
      <c r="E3" s="782" t="s">
        <v>423</v>
      </c>
      <c r="F3" s="813" t="s">
        <v>140</v>
      </c>
      <c r="G3" s="814"/>
      <c r="H3" s="814"/>
      <c r="I3" s="814"/>
      <c r="J3" s="814"/>
      <c r="K3" s="814"/>
      <c r="L3" s="814"/>
      <c r="M3" s="815"/>
      <c r="N3" s="803" t="s">
        <v>141</v>
      </c>
      <c r="O3" s="804"/>
    </row>
    <row r="4" spans="1:15" ht="40.5" x14ac:dyDescent="0.25">
      <c r="A4" s="792"/>
      <c r="B4" s="795"/>
      <c r="C4" s="798"/>
      <c r="D4" s="801"/>
      <c r="E4" s="783"/>
      <c r="F4" s="80" t="s">
        <v>446</v>
      </c>
      <c r="G4" s="81" t="s">
        <v>450</v>
      </c>
      <c r="H4" s="81" t="s">
        <v>451</v>
      </c>
      <c r="I4" s="81" t="s">
        <v>409</v>
      </c>
      <c r="J4" s="96" t="s">
        <v>458</v>
      </c>
      <c r="K4" s="424" t="s">
        <v>465</v>
      </c>
      <c r="L4" s="424" t="s">
        <v>464</v>
      </c>
      <c r="M4" s="417" t="s">
        <v>459</v>
      </c>
      <c r="N4" s="805" t="s">
        <v>142</v>
      </c>
      <c r="O4" s="807" t="s">
        <v>143</v>
      </c>
    </row>
    <row r="5" spans="1:15" ht="15.75" thickBot="1" x14ac:dyDescent="0.3">
      <c r="A5" s="793"/>
      <c r="B5" s="796"/>
      <c r="C5" s="799"/>
      <c r="D5" s="802"/>
      <c r="E5" s="784"/>
      <c r="F5" s="82" t="s">
        <v>27</v>
      </c>
      <c r="G5" s="83" t="s">
        <v>27</v>
      </c>
      <c r="H5" s="83" t="s">
        <v>27</v>
      </c>
      <c r="I5" s="83" t="s">
        <v>27</v>
      </c>
      <c r="J5" s="83" t="s">
        <v>27</v>
      </c>
      <c r="K5" s="425"/>
      <c r="L5" s="425"/>
      <c r="M5" s="84" t="s">
        <v>27</v>
      </c>
      <c r="N5" s="806"/>
      <c r="O5" s="808"/>
    </row>
    <row r="6" spans="1:15" ht="30" x14ac:dyDescent="0.25">
      <c r="A6" s="322"/>
      <c r="B6" s="323" t="s">
        <v>180</v>
      </c>
      <c r="C6" s="324" t="s">
        <v>181</v>
      </c>
      <c r="D6" s="360">
        <v>26</v>
      </c>
      <c r="E6" s="360">
        <v>20</v>
      </c>
      <c r="F6" s="325">
        <v>10.9</v>
      </c>
      <c r="G6" s="326">
        <v>8.1</v>
      </c>
      <c r="H6" s="326">
        <v>7.36</v>
      </c>
      <c r="I6" s="326">
        <v>0</v>
      </c>
      <c r="J6" s="326">
        <v>0</v>
      </c>
      <c r="K6" s="326">
        <v>0</v>
      </c>
      <c r="L6" s="326">
        <v>0</v>
      </c>
      <c r="M6" s="326">
        <v>0</v>
      </c>
      <c r="N6" s="327">
        <f t="shared" ref="N6:N20" si="0">AVERAGEIF(F6:M6,"&gt;0")</f>
        <v>8.7866666666666671</v>
      </c>
      <c r="O6" s="328">
        <f t="shared" ref="O6:O20" si="1">D6*N6</f>
        <v>228.45333333333335</v>
      </c>
    </row>
    <row r="7" spans="1:15" ht="30" x14ac:dyDescent="0.25">
      <c r="A7" s="313">
        <v>2</v>
      </c>
      <c r="B7" s="310" t="s">
        <v>182</v>
      </c>
      <c r="C7" s="319" t="s">
        <v>181</v>
      </c>
      <c r="D7" s="361">
        <v>14</v>
      </c>
      <c r="E7" s="361">
        <v>12</v>
      </c>
      <c r="F7" s="320">
        <v>15.9</v>
      </c>
      <c r="G7" s="321">
        <v>16.600000000000001</v>
      </c>
      <c r="H7" s="321">
        <v>16.010000000000002</v>
      </c>
      <c r="I7" s="321">
        <v>0</v>
      </c>
      <c r="J7" s="321">
        <v>0</v>
      </c>
      <c r="K7" s="321">
        <v>0</v>
      </c>
      <c r="L7" s="321">
        <v>0</v>
      </c>
      <c r="M7" s="321">
        <v>0</v>
      </c>
      <c r="N7" s="196">
        <f t="shared" si="0"/>
        <v>16.170000000000002</v>
      </c>
      <c r="O7" s="314">
        <f t="shared" si="1"/>
        <v>226.38000000000002</v>
      </c>
    </row>
    <row r="8" spans="1:15" x14ac:dyDescent="0.25">
      <c r="A8" s="322">
        <v>3</v>
      </c>
      <c r="B8" s="310" t="s">
        <v>183</v>
      </c>
      <c r="C8" s="319" t="s">
        <v>184</v>
      </c>
      <c r="D8" s="361">
        <v>4</v>
      </c>
      <c r="E8" s="361">
        <v>2</v>
      </c>
      <c r="F8" s="320">
        <v>0</v>
      </c>
      <c r="G8" s="321">
        <v>6.9</v>
      </c>
      <c r="H8" s="321">
        <v>3.08</v>
      </c>
      <c r="I8" s="321">
        <v>0</v>
      </c>
      <c r="J8" s="321">
        <v>0</v>
      </c>
      <c r="K8" s="321">
        <v>0</v>
      </c>
      <c r="L8" s="321">
        <v>0</v>
      </c>
      <c r="M8" s="321">
        <v>0</v>
      </c>
      <c r="N8" s="196">
        <f t="shared" si="0"/>
        <v>4.99</v>
      </c>
      <c r="O8" s="314">
        <f t="shared" si="1"/>
        <v>19.96</v>
      </c>
    </row>
    <row r="9" spans="1:15" x14ac:dyDescent="0.25">
      <c r="A9" s="313">
        <v>4</v>
      </c>
      <c r="B9" s="419" t="s">
        <v>185</v>
      </c>
      <c r="C9" s="420" t="s">
        <v>184</v>
      </c>
      <c r="D9" s="361">
        <v>4</v>
      </c>
      <c r="E9" s="361">
        <v>2</v>
      </c>
      <c r="F9" s="421">
        <v>0</v>
      </c>
      <c r="G9" s="422">
        <v>8.2799999999999994</v>
      </c>
      <c r="H9" s="422">
        <v>0</v>
      </c>
      <c r="I9" s="422">
        <v>0</v>
      </c>
      <c r="J9" s="422">
        <v>19.489999999999998</v>
      </c>
      <c r="K9" s="321">
        <v>0</v>
      </c>
      <c r="L9" s="321">
        <v>0</v>
      </c>
      <c r="M9" s="422">
        <v>3.99</v>
      </c>
      <c r="N9" s="196">
        <f t="shared" si="0"/>
        <v>10.586666666666666</v>
      </c>
      <c r="O9" s="314">
        <f t="shared" si="1"/>
        <v>42.346666666666664</v>
      </c>
    </row>
    <row r="10" spans="1:15" x14ac:dyDescent="0.25">
      <c r="A10" s="322">
        <v>5</v>
      </c>
      <c r="B10" s="310" t="s">
        <v>410</v>
      </c>
      <c r="C10" s="319" t="s">
        <v>179</v>
      </c>
      <c r="D10" s="361">
        <v>10</v>
      </c>
      <c r="E10" s="361">
        <v>5</v>
      </c>
      <c r="F10" s="320">
        <v>3.99</v>
      </c>
      <c r="G10" s="321">
        <v>5.9</v>
      </c>
      <c r="H10" s="321">
        <v>1.81</v>
      </c>
      <c r="I10" s="321">
        <v>0</v>
      </c>
      <c r="J10" s="321">
        <v>0</v>
      </c>
      <c r="K10" s="321">
        <v>0</v>
      </c>
      <c r="L10" s="321">
        <v>0</v>
      </c>
      <c r="M10" s="321">
        <v>0</v>
      </c>
      <c r="N10" s="196">
        <f t="shared" si="0"/>
        <v>3.9000000000000004</v>
      </c>
      <c r="O10" s="314">
        <f t="shared" si="1"/>
        <v>39</v>
      </c>
    </row>
    <row r="11" spans="1:15" x14ac:dyDescent="0.25">
      <c r="A11" s="313">
        <v>6</v>
      </c>
      <c r="B11" s="310" t="s">
        <v>187</v>
      </c>
      <c r="C11" s="319" t="s">
        <v>181</v>
      </c>
      <c r="D11" s="361">
        <v>12</v>
      </c>
      <c r="E11" s="361">
        <v>10</v>
      </c>
      <c r="F11" s="320">
        <v>6.9</v>
      </c>
      <c r="G11" s="321">
        <v>6.6</v>
      </c>
      <c r="H11" s="321">
        <v>3.63</v>
      </c>
      <c r="I11" s="321">
        <v>0</v>
      </c>
      <c r="J11" s="321">
        <v>0</v>
      </c>
      <c r="K11" s="321">
        <v>0</v>
      </c>
      <c r="L11" s="321">
        <v>0</v>
      </c>
      <c r="M11" s="321">
        <v>0</v>
      </c>
      <c r="N11" s="196">
        <f t="shared" si="0"/>
        <v>5.71</v>
      </c>
      <c r="O11" s="314">
        <f t="shared" si="1"/>
        <v>68.52</v>
      </c>
    </row>
    <row r="12" spans="1:15" x14ac:dyDescent="0.25">
      <c r="A12" s="322">
        <v>7</v>
      </c>
      <c r="B12" s="310" t="s">
        <v>188</v>
      </c>
      <c r="C12" s="319" t="s">
        <v>181</v>
      </c>
      <c r="D12" s="361">
        <v>30</v>
      </c>
      <c r="E12" s="361">
        <v>15</v>
      </c>
      <c r="F12" s="320">
        <v>10.9</v>
      </c>
      <c r="G12" s="321">
        <v>8.3000000000000007</v>
      </c>
      <c r="H12" s="321">
        <v>27.7</v>
      </c>
      <c r="I12" s="321">
        <v>0</v>
      </c>
      <c r="J12" s="321">
        <v>0</v>
      </c>
      <c r="K12" s="321">
        <v>0</v>
      </c>
      <c r="L12" s="321">
        <v>0</v>
      </c>
      <c r="M12" s="321">
        <v>0</v>
      </c>
      <c r="N12" s="196">
        <f t="shared" si="0"/>
        <v>15.633333333333335</v>
      </c>
      <c r="O12" s="314">
        <f t="shared" si="1"/>
        <v>469.00000000000006</v>
      </c>
    </row>
    <row r="13" spans="1:15" x14ac:dyDescent="0.25">
      <c r="A13" s="313">
        <v>8</v>
      </c>
      <c r="B13" s="310" t="s">
        <v>189</v>
      </c>
      <c r="C13" s="319" t="s">
        <v>181</v>
      </c>
      <c r="D13" s="361">
        <v>40</v>
      </c>
      <c r="E13" s="361">
        <v>18</v>
      </c>
      <c r="F13" s="320">
        <v>12.9</v>
      </c>
      <c r="G13" s="321">
        <v>12.5</v>
      </c>
      <c r="H13" s="321">
        <v>35.99</v>
      </c>
      <c r="I13" s="321">
        <v>0</v>
      </c>
      <c r="J13" s="321">
        <v>0</v>
      </c>
      <c r="K13" s="321">
        <v>0</v>
      </c>
      <c r="L13" s="321">
        <v>0</v>
      </c>
      <c r="M13" s="321">
        <v>0</v>
      </c>
      <c r="N13" s="196">
        <f t="shared" si="0"/>
        <v>20.463333333333335</v>
      </c>
      <c r="O13" s="314">
        <f t="shared" si="1"/>
        <v>818.53333333333342</v>
      </c>
    </row>
    <row r="14" spans="1:15" x14ac:dyDescent="0.25">
      <c r="A14" s="322">
        <v>9</v>
      </c>
      <c r="B14" s="419" t="s">
        <v>190</v>
      </c>
      <c r="C14" s="420" t="s">
        <v>181</v>
      </c>
      <c r="D14" s="361">
        <v>10</v>
      </c>
      <c r="E14" s="361">
        <v>4</v>
      </c>
      <c r="F14" s="421">
        <v>10.9</v>
      </c>
      <c r="G14" s="422">
        <v>0</v>
      </c>
      <c r="H14" s="422">
        <v>2.2999999999999998</v>
      </c>
      <c r="I14" s="422">
        <v>0</v>
      </c>
      <c r="J14" s="422">
        <v>0</v>
      </c>
      <c r="K14" s="321">
        <v>0</v>
      </c>
      <c r="L14" s="321">
        <v>0</v>
      </c>
      <c r="M14" s="422">
        <v>8.49</v>
      </c>
      <c r="N14" s="418">
        <f t="shared" si="0"/>
        <v>7.2299999999999995</v>
      </c>
      <c r="O14" s="314">
        <f t="shared" si="1"/>
        <v>72.3</v>
      </c>
    </row>
    <row r="15" spans="1:15" x14ac:dyDescent="0.25">
      <c r="A15" s="313">
        <v>10</v>
      </c>
      <c r="B15" s="310" t="s">
        <v>444</v>
      </c>
      <c r="C15" s="319" t="s">
        <v>181</v>
      </c>
      <c r="D15" s="361">
        <v>15</v>
      </c>
      <c r="E15" s="361">
        <v>10</v>
      </c>
      <c r="F15" s="320">
        <v>24.9</v>
      </c>
      <c r="G15" s="321">
        <v>17.100000000000001</v>
      </c>
      <c r="H15" s="321">
        <v>0</v>
      </c>
      <c r="I15" s="321">
        <v>0</v>
      </c>
      <c r="J15" s="321">
        <v>18.29</v>
      </c>
      <c r="K15" s="321">
        <v>0</v>
      </c>
      <c r="L15" s="321">
        <v>0</v>
      </c>
      <c r="M15" s="321">
        <v>0</v>
      </c>
      <c r="N15" s="196">
        <f t="shared" si="0"/>
        <v>20.096666666666668</v>
      </c>
      <c r="O15" s="314">
        <f t="shared" si="1"/>
        <v>301.45</v>
      </c>
    </row>
    <row r="16" spans="1:15" x14ac:dyDescent="0.25">
      <c r="A16" s="322">
        <v>11</v>
      </c>
      <c r="B16" s="310" t="s">
        <v>445</v>
      </c>
      <c r="C16" s="319" t="s">
        <v>181</v>
      </c>
      <c r="D16" s="361">
        <v>12</v>
      </c>
      <c r="E16" s="361">
        <v>10</v>
      </c>
      <c r="F16" s="320">
        <v>18.899999999999999</v>
      </c>
      <c r="G16" s="321">
        <v>15.4</v>
      </c>
      <c r="H16" s="321">
        <v>0</v>
      </c>
      <c r="I16" s="321">
        <v>0</v>
      </c>
      <c r="J16" s="321">
        <v>26.5</v>
      </c>
      <c r="K16" s="321">
        <v>0</v>
      </c>
      <c r="L16" s="321">
        <v>0</v>
      </c>
      <c r="M16" s="321">
        <v>0</v>
      </c>
      <c r="N16" s="196">
        <f t="shared" si="0"/>
        <v>20.266666666666666</v>
      </c>
      <c r="O16" s="314">
        <f t="shared" si="1"/>
        <v>243.2</v>
      </c>
    </row>
    <row r="17" spans="1:15" x14ac:dyDescent="0.25">
      <c r="A17" s="313">
        <v>12</v>
      </c>
      <c r="B17" s="310" t="s">
        <v>191</v>
      </c>
      <c r="C17" s="319" t="s">
        <v>179</v>
      </c>
      <c r="D17" s="361">
        <v>12</v>
      </c>
      <c r="E17" s="361">
        <v>4</v>
      </c>
      <c r="F17" s="320">
        <v>23.9</v>
      </c>
      <c r="G17" s="321">
        <v>14.5</v>
      </c>
      <c r="H17" s="321">
        <v>0</v>
      </c>
      <c r="I17" s="321">
        <v>0</v>
      </c>
      <c r="J17" s="321">
        <v>12.99</v>
      </c>
      <c r="K17" s="321">
        <v>0</v>
      </c>
      <c r="L17" s="321">
        <v>0</v>
      </c>
      <c r="M17" s="321">
        <v>0</v>
      </c>
      <c r="N17" s="196">
        <f t="shared" si="0"/>
        <v>17.13</v>
      </c>
      <c r="O17" s="314">
        <f t="shared" si="1"/>
        <v>205.56</v>
      </c>
    </row>
    <row r="18" spans="1:15" x14ac:dyDescent="0.25">
      <c r="A18" s="322">
        <v>13</v>
      </c>
      <c r="B18" s="310" t="s">
        <v>447</v>
      </c>
      <c r="C18" s="319" t="s">
        <v>192</v>
      </c>
      <c r="D18" s="361">
        <v>7</v>
      </c>
      <c r="E18" s="361">
        <v>1</v>
      </c>
      <c r="F18" s="320">
        <v>11.18</v>
      </c>
      <c r="G18" s="321">
        <v>44</v>
      </c>
      <c r="H18" s="321">
        <v>0</v>
      </c>
      <c r="I18" s="321">
        <v>0</v>
      </c>
      <c r="J18" s="321">
        <v>0</v>
      </c>
      <c r="K18" s="321">
        <v>0</v>
      </c>
      <c r="L18" s="321">
        <v>0</v>
      </c>
      <c r="M18" s="321">
        <v>49.9</v>
      </c>
      <c r="N18" s="196">
        <f t="shared" si="0"/>
        <v>35.026666666666664</v>
      </c>
      <c r="O18" s="314">
        <f t="shared" si="1"/>
        <v>245.18666666666664</v>
      </c>
    </row>
    <row r="19" spans="1:15" x14ac:dyDescent="0.25">
      <c r="A19" s="313">
        <v>14</v>
      </c>
      <c r="B19" s="310" t="s">
        <v>200</v>
      </c>
      <c r="C19" s="319" t="s">
        <v>179</v>
      </c>
      <c r="D19" s="361">
        <v>12</v>
      </c>
      <c r="E19" s="361">
        <v>1</v>
      </c>
      <c r="F19" s="320">
        <v>6.7</v>
      </c>
      <c r="G19" s="321">
        <v>5.5</v>
      </c>
      <c r="H19" s="321">
        <v>6.69</v>
      </c>
      <c r="I19" s="321">
        <v>0</v>
      </c>
      <c r="J19" s="321">
        <v>0</v>
      </c>
      <c r="K19" s="321">
        <v>0</v>
      </c>
      <c r="L19" s="321">
        <v>0</v>
      </c>
      <c r="M19" s="321">
        <v>0</v>
      </c>
      <c r="N19" s="196">
        <f t="shared" si="0"/>
        <v>6.2966666666666669</v>
      </c>
      <c r="O19" s="314">
        <f t="shared" si="1"/>
        <v>75.56</v>
      </c>
    </row>
    <row r="20" spans="1:15" x14ac:dyDescent="0.25">
      <c r="A20" s="322">
        <v>15</v>
      </c>
      <c r="B20" s="310" t="s">
        <v>211</v>
      </c>
      <c r="C20" s="319" t="s">
        <v>192</v>
      </c>
      <c r="D20" s="361">
        <v>5</v>
      </c>
      <c r="E20" s="361">
        <v>1</v>
      </c>
      <c r="F20" s="320">
        <v>31.9</v>
      </c>
      <c r="G20" s="321">
        <v>17.5</v>
      </c>
      <c r="H20" s="321">
        <v>0</v>
      </c>
      <c r="I20" s="321">
        <v>0</v>
      </c>
      <c r="J20" s="321">
        <v>0</v>
      </c>
      <c r="K20" s="321">
        <v>0</v>
      </c>
      <c r="L20" s="321">
        <v>0</v>
      </c>
      <c r="M20" s="321">
        <v>12.15</v>
      </c>
      <c r="N20" s="196">
        <f t="shared" si="0"/>
        <v>20.516666666666666</v>
      </c>
      <c r="O20" s="314">
        <f t="shared" si="1"/>
        <v>102.58333333333333</v>
      </c>
    </row>
    <row r="21" spans="1:15" ht="27" thickBot="1" x14ac:dyDescent="0.3">
      <c r="A21" s="370">
        <v>17</v>
      </c>
      <c r="B21" s="371" t="s">
        <v>466</v>
      </c>
      <c r="C21" s="372" t="s">
        <v>212</v>
      </c>
      <c r="D21" s="373">
        <v>5</v>
      </c>
      <c r="E21" s="373">
        <v>3</v>
      </c>
      <c r="F21" s="366">
        <v>0</v>
      </c>
      <c r="G21" s="367">
        <v>0</v>
      </c>
      <c r="H21" s="367">
        <v>0</v>
      </c>
      <c r="I21" s="367">
        <v>59.206932999999999</v>
      </c>
      <c r="J21" s="367">
        <v>0</v>
      </c>
      <c r="K21" s="367">
        <v>290</v>
      </c>
      <c r="L21" s="367">
        <v>250</v>
      </c>
      <c r="M21" s="367">
        <v>0</v>
      </c>
      <c r="N21" s="196">
        <f t="shared" ref="N21" si="2">AVERAGEIF(F21:M21,"&gt;0")</f>
        <v>199.73564433333331</v>
      </c>
      <c r="O21" s="314">
        <f t="shared" ref="O21" si="3">D21*N21</f>
        <v>998.67822166666656</v>
      </c>
    </row>
    <row r="22" spans="1:15" ht="15.75" thickBot="1" x14ac:dyDescent="0.3">
      <c r="A22" s="779" t="s">
        <v>542</v>
      </c>
      <c r="B22" s="780"/>
      <c r="C22" s="780"/>
      <c r="D22" s="780"/>
      <c r="E22" s="780"/>
      <c r="F22" s="780"/>
      <c r="G22" s="780"/>
      <c r="H22" s="780"/>
      <c r="I22" s="780"/>
      <c r="J22" s="780"/>
      <c r="K22" s="780"/>
      <c r="L22" s="780"/>
      <c r="M22" s="780"/>
      <c r="N22" s="781"/>
      <c r="O22" s="369">
        <f>SUM(O6:O21)</f>
        <v>4156.7115549999999</v>
      </c>
    </row>
    <row r="23" spans="1:15" ht="15.75" thickBot="1" x14ac:dyDescent="0.3">
      <c r="A23" s="93"/>
    </row>
    <row r="24" spans="1:15" ht="15.75" thickBot="1" x14ac:dyDescent="0.3">
      <c r="A24" s="776" t="s">
        <v>543</v>
      </c>
      <c r="B24" s="777"/>
      <c r="C24" s="777"/>
      <c r="D24" s="777"/>
      <c r="E24" s="777"/>
      <c r="F24" s="777"/>
      <c r="G24" s="777"/>
      <c r="H24" s="777"/>
      <c r="I24" s="777"/>
      <c r="J24" s="777"/>
      <c r="K24" s="777"/>
      <c r="L24" s="777"/>
      <c r="M24" s="777"/>
      <c r="N24" s="778"/>
      <c r="O24" s="129">
        <f>O22/12</f>
        <v>346.3926295833333</v>
      </c>
    </row>
    <row r="25" spans="1:15" ht="15.75" thickBot="1" x14ac:dyDescent="0.3">
      <c r="A25" s="93"/>
    </row>
    <row r="26" spans="1:15" ht="15.75" thickBot="1" x14ac:dyDescent="0.3">
      <c r="A26" s="776" t="s">
        <v>579</v>
      </c>
      <c r="B26" s="777"/>
      <c r="C26" s="777"/>
      <c r="D26" s="777"/>
      <c r="E26" s="777"/>
      <c r="F26" s="777"/>
      <c r="G26" s="777"/>
      <c r="H26" s="777"/>
      <c r="I26" s="777"/>
      <c r="J26" s="777"/>
      <c r="K26" s="777"/>
      <c r="L26" s="777"/>
      <c r="M26" s="777"/>
      <c r="N26" s="778"/>
      <c r="O26" s="129">
        <f>(O24/14)</f>
        <v>24.742330684523807</v>
      </c>
    </row>
    <row r="27" spans="1:15" ht="15.75" thickBot="1" x14ac:dyDescent="0.3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5"/>
      <c r="O27" s="95"/>
    </row>
    <row r="28" spans="1:15" ht="15.75" thickBot="1" x14ac:dyDescent="0.3">
      <c r="A28" s="785" t="s">
        <v>457</v>
      </c>
      <c r="B28" s="786"/>
      <c r="C28" s="786"/>
      <c r="D28" s="786"/>
      <c r="E28" s="786"/>
      <c r="F28" s="786"/>
      <c r="G28" s="786"/>
      <c r="H28" s="786"/>
      <c r="I28" s="786"/>
      <c r="J28" s="786"/>
      <c r="K28" s="786"/>
      <c r="L28" s="786"/>
      <c r="M28" s="786"/>
      <c r="N28" s="786"/>
      <c r="O28" s="787"/>
    </row>
    <row r="29" spans="1:15" ht="15.75" thickBot="1" x14ac:dyDescent="0.3">
      <c r="A29" s="788" t="s">
        <v>228</v>
      </c>
      <c r="B29" s="789"/>
      <c r="C29" s="789"/>
      <c r="D29" s="789"/>
      <c r="E29" s="789"/>
      <c r="F29" s="789"/>
      <c r="G29" s="789"/>
      <c r="H29" s="789"/>
      <c r="I29" s="789"/>
      <c r="J29" s="789"/>
      <c r="K29" s="789"/>
      <c r="L29" s="789"/>
      <c r="M29" s="789"/>
      <c r="N29" s="789"/>
      <c r="O29" s="790"/>
    </row>
    <row r="30" spans="1:15" x14ac:dyDescent="0.25">
      <c r="A30" s="791" t="s">
        <v>136</v>
      </c>
      <c r="B30" s="794" t="s">
        <v>137</v>
      </c>
      <c r="C30" s="797" t="s">
        <v>138</v>
      </c>
      <c r="D30" s="800" t="s">
        <v>420</v>
      </c>
      <c r="E30" s="782" t="s">
        <v>456</v>
      </c>
      <c r="F30" s="362" t="s">
        <v>140</v>
      </c>
      <c r="G30" s="363"/>
      <c r="H30" s="363"/>
      <c r="I30" s="363"/>
      <c r="J30" s="363"/>
      <c r="K30" s="363"/>
      <c r="L30" s="363"/>
      <c r="M30" s="364"/>
      <c r="N30" s="803" t="s">
        <v>141</v>
      </c>
      <c r="O30" s="804"/>
    </row>
    <row r="31" spans="1:15" ht="40.5" x14ac:dyDescent="0.25">
      <c r="A31" s="792"/>
      <c r="B31" s="795"/>
      <c r="C31" s="798"/>
      <c r="D31" s="801"/>
      <c r="E31" s="783"/>
      <c r="F31" s="80" t="s">
        <v>446</v>
      </c>
      <c r="G31" s="81" t="s">
        <v>450</v>
      </c>
      <c r="H31" s="81" t="s">
        <v>451</v>
      </c>
      <c r="I31" s="81" t="s">
        <v>449</v>
      </c>
      <c r="J31" s="81" t="s">
        <v>460</v>
      </c>
      <c r="K31" s="426" t="s">
        <v>458</v>
      </c>
      <c r="L31" s="426"/>
      <c r="M31" s="426"/>
      <c r="N31" s="805" t="s">
        <v>142</v>
      </c>
      <c r="O31" s="807" t="s">
        <v>143</v>
      </c>
    </row>
    <row r="32" spans="1:15" ht="15.75" thickBot="1" x14ac:dyDescent="0.3">
      <c r="A32" s="793"/>
      <c r="B32" s="796"/>
      <c r="C32" s="799"/>
      <c r="D32" s="802"/>
      <c r="E32" s="784"/>
      <c r="F32" s="82" t="s">
        <v>27</v>
      </c>
      <c r="G32" s="83" t="s">
        <v>27</v>
      </c>
      <c r="H32" s="83" t="s">
        <v>27</v>
      </c>
      <c r="I32" s="83" t="s">
        <v>27</v>
      </c>
      <c r="J32" s="83" t="s">
        <v>27</v>
      </c>
      <c r="K32" s="84" t="s">
        <v>27</v>
      </c>
      <c r="L32" s="84" t="s">
        <v>27</v>
      </c>
      <c r="M32" s="84" t="s">
        <v>27</v>
      </c>
      <c r="N32" s="806"/>
      <c r="O32" s="808"/>
    </row>
    <row r="33" spans="1:15" x14ac:dyDescent="0.25">
      <c r="A33" s="313">
        <v>1</v>
      </c>
      <c r="B33" s="310" t="s">
        <v>186</v>
      </c>
      <c r="C33" s="319" t="s">
        <v>179</v>
      </c>
      <c r="D33" s="647">
        <v>16</v>
      </c>
      <c r="E33" s="647">
        <f>D33*12</f>
        <v>192</v>
      </c>
      <c r="F33" s="320">
        <v>0.75</v>
      </c>
      <c r="G33" s="321">
        <v>0.99</v>
      </c>
      <c r="H33" s="321">
        <v>0.61</v>
      </c>
      <c r="I33" s="321">
        <v>0</v>
      </c>
      <c r="J33" s="321">
        <v>0</v>
      </c>
      <c r="K33" s="321">
        <v>0</v>
      </c>
      <c r="L33" s="321">
        <v>0</v>
      </c>
      <c r="M33" s="321">
        <v>0</v>
      </c>
      <c r="N33" s="196">
        <f t="shared" ref="N33:N54" si="4">AVERAGEIF(F33:M33,"&gt;0")</f>
        <v>0.78333333333333333</v>
      </c>
      <c r="O33" s="314">
        <f t="shared" ref="O33:O54" si="5">D33*N33</f>
        <v>12.533333333333333</v>
      </c>
    </row>
    <row r="34" spans="1:15" ht="60" x14ac:dyDescent="0.25">
      <c r="A34" s="313">
        <v>2</v>
      </c>
      <c r="B34" s="310" t="s">
        <v>422</v>
      </c>
      <c r="C34" s="319" t="s">
        <v>411</v>
      </c>
      <c r="D34" s="647">
        <v>6</v>
      </c>
      <c r="E34" s="647">
        <f t="shared" ref="E34:E54" si="6">D34*12</f>
        <v>72</v>
      </c>
      <c r="F34" s="320">
        <v>26.9</v>
      </c>
      <c r="G34" s="321">
        <v>7.35</v>
      </c>
      <c r="H34" s="321">
        <v>8.77</v>
      </c>
      <c r="I34" s="321">
        <v>0</v>
      </c>
      <c r="J34" s="321">
        <v>0</v>
      </c>
      <c r="K34" s="321">
        <v>0</v>
      </c>
      <c r="L34" s="321">
        <v>0</v>
      </c>
      <c r="M34" s="321">
        <v>0</v>
      </c>
      <c r="N34" s="196">
        <f t="shared" si="4"/>
        <v>14.339999999999998</v>
      </c>
      <c r="O34" s="314">
        <f t="shared" si="5"/>
        <v>86.039999999999992</v>
      </c>
    </row>
    <row r="35" spans="1:15" x14ac:dyDescent="0.25">
      <c r="A35" s="313">
        <v>3</v>
      </c>
      <c r="B35" s="310" t="s">
        <v>193</v>
      </c>
      <c r="C35" s="319" t="s">
        <v>197</v>
      </c>
      <c r="D35" s="715">
        <v>30</v>
      </c>
      <c r="E35" s="647">
        <f t="shared" si="6"/>
        <v>360</v>
      </c>
      <c r="F35" s="320">
        <v>11</v>
      </c>
      <c r="G35" s="321">
        <v>9.9</v>
      </c>
      <c r="H35" s="321">
        <v>7.22</v>
      </c>
      <c r="I35" s="321">
        <v>0</v>
      </c>
      <c r="J35" s="321">
        <v>0</v>
      </c>
      <c r="K35" s="321">
        <v>0</v>
      </c>
      <c r="L35" s="321">
        <v>0</v>
      </c>
      <c r="M35" s="321">
        <v>0</v>
      </c>
      <c r="N35" s="196">
        <f t="shared" si="4"/>
        <v>9.3733333333333331</v>
      </c>
      <c r="O35" s="314">
        <f t="shared" si="5"/>
        <v>281.2</v>
      </c>
    </row>
    <row r="36" spans="1:15" ht="30" x14ac:dyDescent="0.25">
      <c r="A36" s="313">
        <v>4</v>
      </c>
      <c r="B36" s="310" t="s">
        <v>194</v>
      </c>
      <c r="C36" s="319" t="s">
        <v>179</v>
      </c>
      <c r="D36" s="647">
        <v>4</v>
      </c>
      <c r="E36" s="647">
        <f t="shared" si="6"/>
        <v>48</v>
      </c>
      <c r="F36" s="320">
        <v>17.899999999999999</v>
      </c>
      <c r="G36" s="321">
        <v>13.3</v>
      </c>
      <c r="H36" s="321">
        <v>9.5399999999999991</v>
      </c>
      <c r="I36" s="321">
        <v>0</v>
      </c>
      <c r="J36" s="321">
        <v>0</v>
      </c>
      <c r="K36" s="321">
        <v>0</v>
      </c>
      <c r="L36" s="321">
        <v>0</v>
      </c>
      <c r="M36" s="321">
        <v>0</v>
      </c>
      <c r="N36" s="196">
        <f t="shared" si="4"/>
        <v>13.579999999999998</v>
      </c>
      <c r="O36" s="314">
        <f t="shared" si="5"/>
        <v>54.319999999999993</v>
      </c>
    </row>
    <row r="37" spans="1:15" x14ac:dyDescent="0.25">
      <c r="A37" s="313">
        <v>5</v>
      </c>
      <c r="B37" s="310" t="s">
        <v>421</v>
      </c>
      <c r="C37" s="319" t="s">
        <v>411</v>
      </c>
      <c r="D37" s="647">
        <v>1</v>
      </c>
      <c r="E37" s="647">
        <f t="shared" si="6"/>
        <v>12</v>
      </c>
      <c r="F37" s="320">
        <v>93.9</v>
      </c>
      <c r="G37" s="321">
        <v>55.21</v>
      </c>
      <c r="H37" s="321">
        <v>55.21</v>
      </c>
      <c r="I37" s="321">
        <v>0</v>
      </c>
      <c r="J37" s="321">
        <v>0</v>
      </c>
      <c r="K37" s="321">
        <v>0</v>
      </c>
      <c r="L37" s="321">
        <v>0</v>
      </c>
      <c r="M37" s="321">
        <v>0</v>
      </c>
      <c r="N37" s="196">
        <f t="shared" si="4"/>
        <v>68.106666666666669</v>
      </c>
      <c r="O37" s="314">
        <f t="shared" si="5"/>
        <v>68.106666666666669</v>
      </c>
    </row>
    <row r="38" spans="1:15" x14ac:dyDescent="0.25">
      <c r="A38" s="313">
        <v>6</v>
      </c>
      <c r="B38" s="310" t="s">
        <v>195</v>
      </c>
      <c r="C38" s="319" t="s">
        <v>411</v>
      </c>
      <c r="D38" s="647">
        <v>3</v>
      </c>
      <c r="E38" s="647">
        <f t="shared" si="6"/>
        <v>36</v>
      </c>
      <c r="F38" s="320">
        <v>45.9</v>
      </c>
      <c r="G38" s="321">
        <v>9.9</v>
      </c>
      <c r="H38" s="321">
        <v>7.54</v>
      </c>
      <c r="I38" s="321">
        <v>0</v>
      </c>
      <c r="J38" s="321">
        <v>0</v>
      </c>
      <c r="K38" s="321">
        <v>0</v>
      </c>
      <c r="L38" s="321">
        <v>0</v>
      </c>
      <c r="M38" s="321">
        <v>0</v>
      </c>
      <c r="N38" s="196">
        <f t="shared" si="4"/>
        <v>21.113333333333333</v>
      </c>
      <c r="O38" s="314">
        <f t="shared" si="5"/>
        <v>63.34</v>
      </c>
    </row>
    <row r="39" spans="1:15" x14ac:dyDescent="0.25">
      <c r="A39" s="313">
        <v>7</v>
      </c>
      <c r="B39" s="310" t="s">
        <v>452</v>
      </c>
      <c r="C39" s="319" t="s">
        <v>179</v>
      </c>
      <c r="D39" s="647">
        <v>25</v>
      </c>
      <c r="E39" s="647">
        <f t="shared" si="6"/>
        <v>300</v>
      </c>
      <c r="F39" s="320">
        <v>3.9</v>
      </c>
      <c r="G39" s="321">
        <v>1.3</v>
      </c>
      <c r="H39" s="321">
        <v>1.34</v>
      </c>
      <c r="I39" s="321">
        <v>0</v>
      </c>
      <c r="J39" s="321">
        <v>0</v>
      </c>
      <c r="K39" s="321">
        <v>0</v>
      </c>
      <c r="L39" s="321">
        <v>0</v>
      </c>
      <c r="M39" s="321">
        <v>0</v>
      </c>
      <c r="N39" s="196">
        <f t="shared" si="4"/>
        <v>2.1800000000000002</v>
      </c>
      <c r="O39" s="314">
        <f t="shared" si="5"/>
        <v>54.500000000000007</v>
      </c>
    </row>
    <row r="40" spans="1:15" x14ac:dyDescent="0.25">
      <c r="A40" s="313">
        <v>8</v>
      </c>
      <c r="B40" s="419" t="s">
        <v>196</v>
      </c>
      <c r="C40" s="420" t="s">
        <v>411</v>
      </c>
      <c r="D40" s="647">
        <v>4</v>
      </c>
      <c r="E40" s="647">
        <f t="shared" si="6"/>
        <v>48</v>
      </c>
      <c r="F40" s="421">
        <v>15.98</v>
      </c>
      <c r="G40" s="422">
        <v>13.8</v>
      </c>
      <c r="H40" s="422">
        <v>0</v>
      </c>
      <c r="I40" s="422">
        <v>0</v>
      </c>
      <c r="J40" s="422">
        <v>0</v>
      </c>
      <c r="K40" s="422">
        <v>25.89</v>
      </c>
      <c r="L40" s="321">
        <v>0</v>
      </c>
      <c r="M40" s="321">
        <v>0</v>
      </c>
      <c r="N40" s="196">
        <f t="shared" si="4"/>
        <v>18.556666666666668</v>
      </c>
      <c r="O40" s="314">
        <f t="shared" si="5"/>
        <v>74.226666666666674</v>
      </c>
    </row>
    <row r="41" spans="1:15" x14ac:dyDescent="0.25">
      <c r="A41" s="313">
        <v>9</v>
      </c>
      <c r="B41" s="310" t="s">
        <v>198</v>
      </c>
      <c r="C41" s="319" t="s">
        <v>181</v>
      </c>
      <c r="D41" s="647">
        <v>3</v>
      </c>
      <c r="E41" s="647">
        <f t="shared" si="6"/>
        <v>36</v>
      </c>
      <c r="F41" s="320">
        <v>33.9</v>
      </c>
      <c r="G41" s="321">
        <v>18.899999999999999</v>
      </c>
      <c r="H41" s="321">
        <v>27.36</v>
      </c>
      <c r="I41" s="321">
        <v>0</v>
      </c>
      <c r="J41" s="321">
        <v>0</v>
      </c>
      <c r="K41" s="321">
        <v>0</v>
      </c>
      <c r="L41" s="321">
        <v>0</v>
      </c>
      <c r="M41" s="321">
        <v>0</v>
      </c>
      <c r="N41" s="196">
        <f t="shared" si="4"/>
        <v>26.72</v>
      </c>
      <c r="O41" s="314">
        <f t="shared" si="5"/>
        <v>80.16</v>
      </c>
    </row>
    <row r="42" spans="1:15" x14ac:dyDescent="0.25">
      <c r="A42" s="313">
        <v>10</v>
      </c>
      <c r="B42" s="419" t="s">
        <v>199</v>
      </c>
      <c r="C42" s="420" t="s">
        <v>181</v>
      </c>
      <c r="D42" s="647">
        <v>30</v>
      </c>
      <c r="E42" s="647">
        <f t="shared" si="6"/>
        <v>360</v>
      </c>
      <c r="F42" s="421">
        <v>3.15</v>
      </c>
      <c r="G42" s="422">
        <v>0</v>
      </c>
      <c r="H42" s="422">
        <v>0</v>
      </c>
      <c r="I42" s="422">
        <v>0</v>
      </c>
      <c r="J42" s="422">
        <v>3.15</v>
      </c>
      <c r="K42" s="422">
        <v>3.09</v>
      </c>
      <c r="L42" s="321">
        <v>0</v>
      </c>
      <c r="M42" s="321">
        <v>0</v>
      </c>
      <c r="N42" s="196">
        <f t="shared" si="4"/>
        <v>3.1300000000000003</v>
      </c>
      <c r="O42" s="314">
        <f t="shared" si="5"/>
        <v>93.9</v>
      </c>
    </row>
    <row r="43" spans="1:15" x14ac:dyDescent="0.25">
      <c r="A43" s="313">
        <v>11</v>
      </c>
      <c r="B43" s="310" t="s">
        <v>453</v>
      </c>
      <c r="C43" s="319" t="s">
        <v>179</v>
      </c>
      <c r="D43" s="647">
        <v>26</v>
      </c>
      <c r="E43" s="647">
        <f t="shared" si="6"/>
        <v>312</v>
      </c>
      <c r="F43" s="320">
        <v>7.9</v>
      </c>
      <c r="G43" s="321">
        <v>4.8</v>
      </c>
      <c r="H43" s="321">
        <v>4.33</v>
      </c>
      <c r="I43" s="321">
        <v>0</v>
      </c>
      <c r="J43" s="321">
        <v>0</v>
      </c>
      <c r="K43" s="321">
        <v>0</v>
      </c>
      <c r="L43" s="321">
        <v>0</v>
      </c>
      <c r="M43" s="321">
        <v>0</v>
      </c>
      <c r="N43" s="196">
        <f t="shared" si="4"/>
        <v>5.6766666666666667</v>
      </c>
      <c r="O43" s="314">
        <f t="shared" si="5"/>
        <v>147.59333333333333</v>
      </c>
    </row>
    <row r="44" spans="1:15" x14ac:dyDescent="0.25">
      <c r="A44" s="313">
        <v>12</v>
      </c>
      <c r="B44" s="419" t="s">
        <v>448</v>
      </c>
      <c r="C44" s="420" t="s">
        <v>411</v>
      </c>
      <c r="D44" s="647">
        <v>1</v>
      </c>
      <c r="E44" s="647">
        <f t="shared" si="6"/>
        <v>12</v>
      </c>
      <c r="F44" s="421">
        <v>22.9</v>
      </c>
      <c r="G44" s="422">
        <v>32</v>
      </c>
      <c r="H44" s="422">
        <v>11.3</v>
      </c>
      <c r="I44" s="422">
        <v>0</v>
      </c>
      <c r="J44" s="422">
        <v>0</v>
      </c>
      <c r="K44" s="422">
        <v>0</v>
      </c>
      <c r="L44" s="321">
        <v>0</v>
      </c>
      <c r="M44" s="321">
        <v>0</v>
      </c>
      <c r="N44" s="196">
        <f t="shared" si="4"/>
        <v>22.066666666666666</v>
      </c>
      <c r="O44" s="314">
        <f t="shared" si="5"/>
        <v>22.066666666666666</v>
      </c>
    </row>
    <row r="45" spans="1:15" x14ac:dyDescent="0.25">
      <c r="A45" s="313">
        <v>13</v>
      </c>
      <c r="B45" s="310" t="s">
        <v>201</v>
      </c>
      <c r="C45" s="319" t="s">
        <v>29</v>
      </c>
      <c r="D45" s="715">
        <v>35</v>
      </c>
      <c r="E45" s="647">
        <f t="shared" si="6"/>
        <v>420</v>
      </c>
      <c r="F45" s="320">
        <v>8.9700000000000006</v>
      </c>
      <c r="G45" s="321">
        <v>4.99</v>
      </c>
      <c r="H45" s="321">
        <v>5.74</v>
      </c>
      <c r="I45" s="321">
        <v>0</v>
      </c>
      <c r="J45" s="321">
        <v>0</v>
      </c>
      <c r="K45" s="321">
        <v>0</v>
      </c>
      <c r="L45" s="321">
        <v>0</v>
      </c>
      <c r="M45" s="321">
        <v>0</v>
      </c>
      <c r="N45" s="196">
        <f t="shared" si="4"/>
        <v>6.5666666666666673</v>
      </c>
      <c r="O45" s="314">
        <f t="shared" si="5"/>
        <v>229.83333333333334</v>
      </c>
    </row>
    <row r="46" spans="1:15" x14ac:dyDescent="0.25">
      <c r="A46" s="313">
        <v>14</v>
      </c>
      <c r="B46" s="310" t="s">
        <v>455</v>
      </c>
      <c r="C46" s="319" t="s">
        <v>202</v>
      </c>
      <c r="D46" s="647">
        <v>1</v>
      </c>
      <c r="E46" s="647">
        <f t="shared" si="6"/>
        <v>12</v>
      </c>
      <c r="F46" s="320">
        <v>48.86</v>
      </c>
      <c r="G46" s="321">
        <v>22.04</v>
      </c>
      <c r="H46" s="321">
        <v>19.32</v>
      </c>
      <c r="I46" s="321">
        <v>0</v>
      </c>
      <c r="J46" s="321">
        <v>0</v>
      </c>
      <c r="K46" s="321">
        <v>0</v>
      </c>
      <c r="L46" s="321">
        <v>0</v>
      </c>
      <c r="M46" s="321">
        <v>0</v>
      </c>
      <c r="N46" s="196">
        <f t="shared" si="4"/>
        <v>30.073333333333334</v>
      </c>
      <c r="O46" s="314">
        <f t="shared" si="5"/>
        <v>30.073333333333334</v>
      </c>
    </row>
    <row r="47" spans="1:15" ht="45" x14ac:dyDescent="0.25">
      <c r="A47" s="313">
        <v>15</v>
      </c>
      <c r="B47" s="310" t="s">
        <v>569</v>
      </c>
      <c r="C47" s="319" t="s">
        <v>203</v>
      </c>
      <c r="D47" s="715">
        <v>15</v>
      </c>
      <c r="E47" s="647">
        <f t="shared" si="6"/>
        <v>180</v>
      </c>
      <c r="F47" s="320">
        <v>83.98</v>
      </c>
      <c r="G47" s="321">
        <v>106.08</v>
      </c>
      <c r="H47" s="321">
        <v>115.62</v>
      </c>
      <c r="I47" s="321">
        <v>0</v>
      </c>
      <c r="J47" s="321">
        <v>0</v>
      </c>
      <c r="K47" s="321">
        <v>0</v>
      </c>
      <c r="L47" s="321">
        <v>0</v>
      </c>
      <c r="M47" s="321">
        <v>0</v>
      </c>
      <c r="N47" s="196">
        <f t="shared" si="4"/>
        <v>101.89333333333333</v>
      </c>
      <c r="O47" s="314">
        <f t="shared" si="5"/>
        <v>1528.3999999999999</v>
      </c>
    </row>
    <row r="48" spans="1:15" ht="75" x14ac:dyDescent="0.25">
      <c r="A48" s="313">
        <v>16</v>
      </c>
      <c r="B48" s="310" t="s">
        <v>570</v>
      </c>
      <c r="C48" s="319" t="s">
        <v>203</v>
      </c>
      <c r="D48" s="647">
        <v>20</v>
      </c>
      <c r="E48" s="647">
        <f t="shared" si="6"/>
        <v>240</v>
      </c>
      <c r="F48" s="320">
        <v>34.1</v>
      </c>
      <c r="G48" s="321">
        <v>13.9</v>
      </c>
      <c r="H48" s="321">
        <v>26.38</v>
      </c>
      <c r="I48" s="321">
        <v>0</v>
      </c>
      <c r="J48" s="321">
        <v>0</v>
      </c>
      <c r="K48" s="321">
        <v>0</v>
      </c>
      <c r="L48" s="321">
        <v>0</v>
      </c>
      <c r="M48" s="321">
        <v>0</v>
      </c>
      <c r="N48" s="196">
        <f t="shared" si="4"/>
        <v>24.793333333333333</v>
      </c>
      <c r="O48" s="314">
        <f t="shared" si="5"/>
        <v>495.86666666666667</v>
      </c>
    </row>
    <row r="49" spans="1:15" x14ac:dyDescent="0.25">
      <c r="A49" s="313">
        <v>17</v>
      </c>
      <c r="B49" s="310" t="s">
        <v>454</v>
      </c>
      <c r="C49" s="319" t="s">
        <v>210</v>
      </c>
      <c r="D49" s="647">
        <v>2</v>
      </c>
      <c r="E49" s="647">
        <f t="shared" si="6"/>
        <v>24</v>
      </c>
      <c r="F49" s="320">
        <v>16.899999999999999</v>
      </c>
      <c r="G49" s="321">
        <v>10.8</v>
      </c>
      <c r="H49" s="321">
        <v>9.93</v>
      </c>
      <c r="I49" s="321">
        <v>0</v>
      </c>
      <c r="J49" s="321">
        <v>0</v>
      </c>
      <c r="K49" s="321">
        <v>0</v>
      </c>
      <c r="L49" s="321">
        <v>0</v>
      </c>
      <c r="M49" s="321">
        <v>0</v>
      </c>
      <c r="N49" s="196">
        <f t="shared" si="4"/>
        <v>12.543333333333331</v>
      </c>
      <c r="O49" s="314">
        <f t="shared" si="5"/>
        <v>25.086666666666662</v>
      </c>
    </row>
    <row r="50" spans="1:15" x14ac:dyDescent="0.25">
      <c r="A50" s="313">
        <v>18</v>
      </c>
      <c r="B50" s="310" t="s">
        <v>205</v>
      </c>
      <c r="C50" s="319" t="s">
        <v>411</v>
      </c>
      <c r="D50" s="647">
        <v>4</v>
      </c>
      <c r="E50" s="647">
        <f t="shared" si="6"/>
        <v>48</v>
      </c>
      <c r="F50" s="320">
        <v>33.99</v>
      </c>
      <c r="G50" s="321">
        <v>24</v>
      </c>
      <c r="H50" s="321">
        <v>21.24</v>
      </c>
      <c r="I50" s="321">
        <v>0</v>
      </c>
      <c r="J50" s="321">
        <v>0</v>
      </c>
      <c r="K50" s="321">
        <v>0</v>
      </c>
      <c r="L50" s="321">
        <v>0</v>
      </c>
      <c r="M50" s="321">
        <v>0</v>
      </c>
      <c r="N50" s="196">
        <f t="shared" si="4"/>
        <v>26.41</v>
      </c>
      <c r="O50" s="314">
        <f t="shared" si="5"/>
        <v>105.64</v>
      </c>
    </row>
    <row r="51" spans="1:15" x14ac:dyDescent="0.25">
      <c r="A51" s="313">
        <v>19</v>
      </c>
      <c r="B51" s="310" t="s">
        <v>206</v>
      </c>
      <c r="C51" s="319" t="s">
        <v>179</v>
      </c>
      <c r="D51" s="647">
        <v>36</v>
      </c>
      <c r="E51" s="647">
        <f t="shared" si="6"/>
        <v>432</v>
      </c>
      <c r="F51" s="320">
        <v>5.9</v>
      </c>
      <c r="G51" s="321">
        <v>5.0999999999999996</v>
      </c>
      <c r="H51" s="321">
        <v>2.11</v>
      </c>
      <c r="I51" s="321">
        <v>0</v>
      </c>
      <c r="J51" s="321">
        <v>0</v>
      </c>
      <c r="K51" s="321">
        <v>0</v>
      </c>
      <c r="L51" s="321">
        <v>0</v>
      </c>
      <c r="M51" s="321">
        <v>0</v>
      </c>
      <c r="N51" s="196">
        <f t="shared" si="4"/>
        <v>4.37</v>
      </c>
      <c r="O51" s="314">
        <f t="shared" si="5"/>
        <v>157.32</v>
      </c>
    </row>
    <row r="52" spans="1:15" x14ac:dyDescent="0.25">
      <c r="A52" s="313">
        <v>21</v>
      </c>
      <c r="B52" s="310" t="s">
        <v>207</v>
      </c>
      <c r="C52" s="319" t="s">
        <v>208</v>
      </c>
      <c r="D52" s="715">
        <v>4</v>
      </c>
      <c r="E52" s="647">
        <f t="shared" si="6"/>
        <v>48</v>
      </c>
      <c r="F52" s="320">
        <v>37.902999999999999</v>
      </c>
      <c r="G52" s="321">
        <v>47.5</v>
      </c>
      <c r="H52" s="321">
        <v>39.26</v>
      </c>
      <c r="I52" s="321">
        <v>0</v>
      </c>
      <c r="J52" s="321">
        <v>0</v>
      </c>
      <c r="K52" s="321">
        <v>0</v>
      </c>
      <c r="L52" s="321">
        <v>0</v>
      </c>
      <c r="M52" s="321">
        <v>0</v>
      </c>
      <c r="N52" s="196">
        <f t="shared" si="4"/>
        <v>41.554333333333325</v>
      </c>
      <c r="O52" s="314">
        <f t="shared" si="5"/>
        <v>166.2173333333333</v>
      </c>
    </row>
    <row r="53" spans="1:15" x14ac:dyDescent="0.25">
      <c r="A53" s="313">
        <v>22</v>
      </c>
      <c r="B53" s="310" t="s">
        <v>209</v>
      </c>
      <c r="C53" s="319" t="s">
        <v>208</v>
      </c>
      <c r="D53" s="715">
        <v>5</v>
      </c>
      <c r="E53" s="647">
        <f t="shared" si="6"/>
        <v>60</v>
      </c>
      <c r="F53" s="320">
        <v>13.9</v>
      </c>
      <c r="G53" s="321">
        <v>21.3</v>
      </c>
      <c r="H53" s="321">
        <v>14.08</v>
      </c>
      <c r="I53" s="321">
        <v>0</v>
      </c>
      <c r="J53" s="321">
        <v>0</v>
      </c>
      <c r="K53" s="321">
        <v>0</v>
      </c>
      <c r="L53" s="321">
        <v>0</v>
      </c>
      <c r="M53" s="321">
        <v>0</v>
      </c>
      <c r="N53" s="196">
        <f t="shared" si="4"/>
        <v>16.426666666666666</v>
      </c>
      <c r="O53" s="314">
        <f t="shared" si="5"/>
        <v>82.133333333333326</v>
      </c>
    </row>
    <row r="54" spans="1:15" ht="15.75" thickBot="1" x14ac:dyDescent="0.3">
      <c r="A54" s="313">
        <v>24</v>
      </c>
      <c r="B54" s="310" t="s">
        <v>204</v>
      </c>
      <c r="C54" s="319" t="s">
        <v>179</v>
      </c>
      <c r="D54" s="648">
        <v>12</v>
      </c>
      <c r="E54" s="647">
        <f t="shared" si="6"/>
        <v>144</v>
      </c>
      <c r="F54" s="320">
        <v>5.38</v>
      </c>
      <c r="G54" s="321">
        <v>5.5</v>
      </c>
      <c r="H54" s="321">
        <v>2.33</v>
      </c>
      <c r="I54" s="321">
        <v>0</v>
      </c>
      <c r="J54" s="321">
        <v>0</v>
      </c>
      <c r="K54" s="321">
        <v>0</v>
      </c>
      <c r="L54" s="321">
        <v>0</v>
      </c>
      <c r="M54" s="321">
        <v>0</v>
      </c>
      <c r="N54" s="196">
        <f t="shared" si="4"/>
        <v>4.4033333333333333</v>
      </c>
      <c r="O54" s="314">
        <f t="shared" si="5"/>
        <v>52.84</v>
      </c>
    </row>
    <row r="55" spans="1:15" ht="15.75" thickBot="1" x14ac:dyDescent="0.3">
      <c r="A55" s="779" t="s">
        <v>541</v>
      </c>
      <c r="B55" s="780"/>
      <c r="C55" s="780"/>
      <c r="D55" s="780"/>
      <c r="E55" s="780"/>
      <c r="F55" s="780"/>
      <c r="G55" s="780"/>
      <c r="H55" s="780"/>
      <c r="I55" s="780"/>
      <c r="J55" s="780"/>
      <c r="K55" s="780"/>
      <c r="L55" s="780"/>
      <c r="M55" s="780"/>
      <c r="N55" s="781"/>
      <c r="O55" s="368">
        <f>SUM(O33:O54)</f>
        <v>3911.3973333333333</v>
      </c>
    </row>
    <row r="56" spans="1:15" ht="15.75" thickBot="1" x14ac:dyDescent="0.3">
      <c r="A56" s="93"/>
    </row>
    <row r="57" spans="1:15" ht="15.75" thickBot="1" x14ac:dyDescent="0.3">
      <c r="A57" s="776" t="s">
        <v>578</v>
      </c>
      <c r="B57" s="777"/>
      <c r="C57" s="777"/>
      <c r="D57" s="777"/>
      <c r="E57" s="777"/>
      <c r="F57" s="777"/>
      <c r="G57" s="777"/>
      <c r="H57" s="777"/>
      <c r="I57" s="777"/>
      <c r="J57" s="777"/>
      <c r="K57" s="777"/>
      <c r="L57" s="777"/>
      <c r="M57" s="777"/>
      <c r="N57" s="778"/>
      <c r="O57" s="365">
        <f>O55/12</f>
        <v>325.9497777777778</v>
      </c>
    </row>
    <row r="58" spans="1:15" ht="15.75" thickBot="1" x14ac:dyDescent="0.3">
      <c r="A58" s="93"/>
    </row>
    <row r="59" spans="1:15" ht="15.75" thickBot="1" x14ac:dyDescent="0.3">
      <c r="A59" s="779" t="s">
        <v>540</v>
      </c>
      <c r="B59" s="780"/>
      <c r="C59" s="780"/>
      <c r="D59" s="780"/>
      <c r="E59" s="780"/>
      <c r="F59" s="780"/>
      <c r="G59" s="780"/>
      <c r="H59" s="780"/>
      <c r="I59" s="780"/>
      <c r="J59" s="780"/>
      <c r="K59" s="780"/>
      <c r="L59" s="780"/>
      <c r="M59" s="780"/>
      <c r="N59" s="781"/>
      <c r="O59" s="423">
        <f>O57+O26</f>
        <v>350.69210846230158</v>
      </c>
    </row>
    <row r="60" spans="1:15" ht="33" customHeight="1" x14ac:dyDescent="0.25">
      <c r="A60" s="809" t="s">
        <v>571</v>
      </c>
      <c r="B60" s="809"/>
      <c r="C60" s="809"/>
      <c r="D60" s="809"/>
      <c r="E60" s="809"/>
      <c r="F60" s="809"/>
      <c r="G60" s="809"/>
      <c r="H60" s="809"/>
      <c r="I60" s="809"/>
      <c r="J60" s="809"/>
      <c r="K60" s="809"/>
      <c r="L60" s="809"/>
      <c r="M60" s="809"/>
      <c r="N60" s="809"/>
      <c r="O60" s="809"/>
    </row>
    <row r="61" spans="1:15" ht="30.75" customHeight="1" x14ac:dyDescent="0.25">
      <c r="A61" s="809" t="s">
        <v>572</v>
      </c>
      <c r="B61" s="809"/>
      <c r="C61" s="809"/>
      <c r="D61" s="809"/>
      <c r="E61" s="809"/>
      <c r="F61" s="809"/>
      <c r="G61" s="809"/>
      <c r="H61" s="809"/>
      <c r="I61" s="809"/>
      <c r="J61" s="809"/>
      <c r="K61" s="809"/>
      <c r="L61" s="809"/>
      <c r="M61" s="809"/>
      <c r="N61" s="809"/>
      <c r="O61" s="809"/>
    </row>
  </sheetData>
  <mergeCells count="29">
    <mergeCell ref="A61:O61"/>
    <mergeCell ref="A60:O60"/>
    <mergeCell ref="A1:O1"/>
    <mergeCell ref="A24:N24"/>
    <mergeCell ref="A2:O2"/>
    <mergeCell ref="A22:N22"/>
    <mergeCell ref="A26:N26"/>
    <mergeCell ref="A3:A5"/>
    <mergeCell ref="B3:B5"/>
    <mergeCell ref="C3:C5"/>
    <mergeCell ref="D3:D5"/>
    <mergeCell ref="F3:M3"/>
    <mergeCell ref="N3:O3"/>
    <mergeCell ref="N4:N5"/>
    <mergeCell ref="O4:O5"/>
    <mergeCell ref="A55:N55"/>
    <mergeCell ref="A57:N57"/>
    <mergeCell ref="A59:N59"/>
    <mergeCell ref="E3:E5"/>
    <mergeCell ref="E30:E32"/>
    <mergeCell ref="A28:O28"/>
    <mergeCell ref="A29:O29"/>
    <mergeCell ref="A30:A32"/>
    <mergeCell ref="B30:B32"/>
    <mergeCell ref="C30:C32"/>
    <mergeCell ref="D30:D32"/>
    <mergeCell ref="N30:O30"/>
    <mergeCell ref="N31:N32"/>
    <mergeCell ref="O31:O32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46" orientation="landscape" r:id="rId1"/>
  <headerFooter>
    <oddFooter>&amp;L&amp;F&amp;C&amp;A&amp;R&amp;P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27"/>
  <sheetViews>
    <sheetView topLeftCell="B16" zoomScaleNormal="100" workbookViewId="0">
      <selection activeCell="L27" sqref="L27"/>
    </sheetView>
  </sheetViews>
  <sheetFormatPr defaultRowHeight="15" x14ac:dyDescent="0.25"/>
  <cols>
    <col min="2" max="2" width="56.5703125" bestFit="1" customWidth="1"/>
    <col min="4" max="4" width="12.85546875" customWidth="1"/>
    <col min="5" max="5" width="12.140625" bestFit="1" customWidth="1"/>
    <col min="6" max="8" width="10.140625" bestFit="1" customWidth="1"/>
    <col min="9" max="9" width="10.7109375" bestFit="1" customWidth="1"/>
    <col min="10" max="10" width="10.85546875" bestFit="1" customWidth="1"/>
    <col min="12" max="12" width="17.7109375" bestFit="1" customWidth="1"/>
  </cols>
  <sheetData>
    <row r="1" spans="1:12" ht="15.75" thickBot="1" x14ac:dyDescent="0.3">
      <c r="A1" s="816" t="s">
        <v>545</v>
      </c>
      <c r="B1" s="817"/>
      <c r="C1" s="817"/>
      <c r="D1" s="817"/>
      <c r="E1" s="817"/>
      <c r="F1" s="817"/>
      <c r="G1" s="817"/>
      <c r="H1" s="817"/>
      <c r="I1" s="817"/>
      <c r="J1" s="817"/>
      <c r="K1" s="817"/>
      <c r="L1" s="818"/>
    </row>
    <row r="2" spans="1:12" ht="15.75" customHeight="1" thickBot="1" x14ac:dyDescent="0.3">
      <c r="A2" s="819" t="s">
        <v>228</v>
      </c>
      <c r="B2" s="820"/>
      <c r="C2" s="820"/>
      <c r="D2" s="820"/>
      <c r="E2" s="820"/>
      <c r="F2" s="820"/>
      <c r="G2" s="820"/>
      <c r="H2" s="820"/>
      <c r="I2" s="820"/>
      <c r="J2" s="820"/>
      <c r="K2" s="820"/>
      <c r="L2" s="821"/>
    </row>
    <row r="3" spans="1:12" x14ac:dyDescent="0.25">
      <c r="A3" s="791" t="s">
        <v>136</v>
      </c>
      <c r="B3" s="794" t="s">
        <v>144</v>
      </c>
      <c r="C3" s="797" t="s">
        <v>138</v>
      </c>
      <c r="D3" s="797" t="s">
        <v>139</v>
      </c>
      <c r="E3" s="824" t="s">
        <v>140</v>
      </c>
      <c r="F3" s="824"/>
      <c r="G3" s="824"/>
      <c r="H3" s="824"/>
      <c r="I3" s="824"/>
      <c r="J3" s="824"/>
      <c r="K3" s="825" t="s">
        <v>141</v>
      </c>
      <c r="L3" s="826"/>
    </row>
    <row r="4" spans="1:12" x14ac:dyDescent="0.25">
      <c r="A4" s="792"/>
      <c r="B4" s="822"/>
      <c r="C4" s="798"/>
      <c r="D4" s="798"/>
      <c r="E4" s="413" t="s">
        <v>424</v>
      </c>
      <c r="F4" s="414" t="s">
        <v>425</v>
      </c>
      <c r="G4" s="414" t="s">
        <v>426</v>
      </c>
      <c r="H4" s="81" t="s">
        <v>35</v>
      </c>
      <c r="I4" s="81" t="s">
        <v>36</v>
      </c>
      <c r="J4" s="81" t="s">
        <v>61</v>
      </c>
      <c r="K4" s="822" t="s">
        <v>142</v>
      </c>
      <c r="L4" s="827" t="s">
        <v>143</v>
      </c>
    </row>
    <row r="5" spans="1:12" ht="15.75" thickBot="1" x14ac:dyDescent="0.3">
      <c r="A5" s="793"/>
      <c r="B5" s="823"/>
      <c r="C5" s="799"/>
      <c r="D5" s="799"/>
      <c r="E5" s="83" t="s">
        <v>27</v>
      </c>
      <c r="F5" s="83" t="s">
        <v>27</v>
      </c>
      <c r="G5" s="83" t="s">
        <v>27</v>
      </c>
      <c r="H5" s="83" t="s">
        <v>27</v>
      </c>
      <c r="I5" s="83" t="s">
        <v>27</v>
      </c>
      <c r="J5" s="83" t="s">
        <v>27</v>
      </c>
      <c r="K5" s="823"/>
      <c r="L5" s="828"/>
    </row>
    <row r="6" spans="1:12" x14ac:dyDescent="0.25">
      <c r="A6" s="85">
        <v>1</v>
      </c>
      <c r="B6" s="312" t="s">
        <v>225</v>
      </c>
      <c r="C6" s="193" t="s">
        <v>138</v>
      </c>
      <c r="D6" s="311">
        <v>1</v>
      </c>
      <c r="E6" s="374">
        <v>36</v>
      </c>
      <c r="F6" s="375">
        <v>42.91</v>
      </c>
      <c r="G6" s="375">
        <v>38.9</v>
      </c>
      <c r="H6" s="88">
        <v>0</v>
      </c>
      <c r="I6" s="88">
        <v>0</v>
      </c>
      <c r="J6" s="88">
        <v>0</v>
      </c>
      <c r="K6" s="194">
        <f>AVERAGEIF(E6:J6,"&gt;0")</f>
        <v>39.270000000000003</v>
      </c>
      <c r="L6" s="195">
        <f>D6*K6</f>
        <v>39.270000000000003</v>
      </c>
    </row>
    <row r="7" spans="1:12" x14ac:dyDescent="0.25">
      <c r="A7" s="89">
        <v>2</v>
      </c>
      <c r="B7" s="312" t="s">
        <v>226</v>
      </c>
      <c r="C7" s="193" t="s">
        <v>138</v>
      </c>
      <c r="D7" s="311">
        <v>1</v>
      </c>
      <c r="E7" s="374">
        <v>6.3</v>
      </c>
      <c r="F7" s="374">
        <v>3.28</v>
      </c>
      <c r="G7" s="374">
        <v>16.8</v>
      </c>
      <c r="H7" s="91">
        <v>0</v>
      </c>
      <c r="I7" s="91">
        <v>0</v>
      </c>
      <c r="J7" s="91">
        <v>0</v>
      </c>
      <c r="K7" s="196">
        <f t="shared" ref="K7:K9" si="0">AVERAGEIF(E7:J7,"&gt;0")</f>
        <v>8.7933333333333348</v>
      </c>
      <c r="L7" s="197">
        <f t="shared" ref="L7:L9" si="1">D7*K7</f>
        <v>8.7933333333333348</v>
      </c>
    </row>
    <row r="8" spans="1:12" x14ac:dyDescent="0.25">
      <c r="A8" s="89">
        <v>3</v>
      </c>
      <c r="B8" s="312" t="s">
        <v>227</v>
      </c>
      <c r="C8" s="193" t="s">
        <v>138</v>
      </c>
      <c r="D8" s="311">
        <v>2</v>
      </c>
      <c r="E8" s="374">
        <v>0.99</v>
      </c>
      <c r="F8" s="374">
        <v>1.22</v>
      </c>
      <c r="G8" s="374">
        <v>8.59</v>
      </c>
      <c r="H8" s="91">
        <v>0</v>
      </c>
      <c r="I8" s="91">
        <v>0</v>
      </c>
      <c r="J8" s="91">
        <v>0</v>
      </c>
      <c r="K8" s="196">
        <f t="shared" si="0"/>
        <v>3.6</v>
      </c>
      <c r="L8" s="197">
        <f t="shared" si="1"/>
        <v>7.2</v>
      </c>
    </row>
    <row r="9" spans="1:12" ht="15.75" thickBot="1" x14ac:dyDescent="0.3">
      <c r="A9" s="92">
        <v>5</v>
      </c>
      <c r="B9" s="312" t="s">
        <v>538</v>
      </c>
      <c r="C9" s="193" t="s">
        <v>138</v>
      </c>
      <c r="D9" s="311">
        <v>1</v>
      </c>
      <c r="E9" s="374">
        <v>12.5</v>
      </c>
      <c r="F9" s="376">
        <v>10.39</v>
      </c>
      <c r="G9" s="376">
        <v>14.49</v>
      </c>
      <c r="H9" s="415">
        <v>0</v>
      </c>
      <c r="I9" s="415">
        <v>0</v>
      </c>
      <c r="J9" s="415">
        <v>0</v>
      </c>
      <c r="K9" s="416">
        <f t="shared" si="0"/>
        <v>12.46</v>
      </c>
      <c r="L9" s="197">
        <f t="shared" si="1"/>
        <v>12.46</v>
      </c>
    </row>
    <row r="10" spans="1:12" ht="15.75" thickBot="1" x14ac:dyDescent="0.3">
      <c r="A10" s="779" t="s">
        <v>385</v>
      </c>
      <c r="B10" s="780"/>
      <c r="C10" s="780"/>
      <c r="D10" s="780"/>
      <c r="E10" s="780"/>
      <c r="F10" s="780"/>
      <c r="G10" s="780"/>
      <c r="H10" s="780"/>
      <c r="I10" s="780"/>
      <c r="J10" s="780"/>
      <c r="K10" s="781"/>
      <c r="L10" s="129">
        <f>SUM(L6:L9)</f>
        <v>67.723333333333343</v>
      </c>
    </row>
    <row r="11" spans="1:12" ht="15.75" thickBot="1" x14ac:dyDescent="0.3">
      <c r="A11" s="316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2"/>
    </row>
    <row r="12" spans="1:12" ht="15.75" thickBot="1" x14ac:dyDescent="0.3">
      <c r="A12" s="779" t="s">
        <v>536</v>
      </c>
      <c r="B12" s="780"/>
      <c r="C12" s="780"/>
      <c r="D12" s="780"/>
      <c r="E12" s="780"/>
      <c r="F12" s="780"/>
      <c r="G12" s="780"/>
      <c r="H12" s="780"/>
      <c r="I12" s="780"/>
      <c r="J12" s="780"/>
      <c r="K12" s="781"/>
      <c r="L12" s="199">
        <f>L10/12</f>
        <v>5.6436111111111122</v>
      </c>
    </row>
    <row r="13" spans="1:12" ht="15.75" thickBot="1" x14ac:dyDescent="0.3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9"/>
      <c r="L13" s="99"/>
    </row>
    <row r="14" spans="1:12" ht="15.75" thickBot="1" x14ac:dyDescent="0.3">
      <c r="A14" s="816" t="s">
        <v>544</v>
      </c>
      <c r="B14" s="817"/>
      <c r="C14" s="817"/>
      <c r="D14" s="817"/>
      <c r="E14" s="817"/>
      <c r="F14" s="817"/>
      <c r="G14" s="817"/>
      <c r="H14" s="817"/>
      <c r="I14" s="817"/>
      <c r="J14" s="817"/>
      <c r="K14" s="817"/>
      <c r="L14" s="818"/>
    </row>
    <row r="15" spans="1:12" ht="15.75" thickBot="1" x14ac:dyDescent="0.3">
      <c r="A15" s="819" t="s">
        <v>228</v>
      </c>
      <c r="B15" s="820"/>
      <c r="C15" s="820"/>
      <c r="D15" s="820"/>
      <c r="E15" s="820"/>
      <c r="F15" s="820"/>
      <c r="G15" s="820"/>
      <c r="H15" s="820"/>
      <c r="I15" s="820"/>
      <c r="J15" s="820"/>
      <c r="K15" s="820"/>
      <c r="L15" s="821"/>
    </row>
    <row r="16" spans="1:12" x14ac:dyDescent="0.25">
      <c r="A16" s="791" t="s">
        <v>136</v>
      </c>
      <c r="B16" s="794" t="s">
        <v>144</v>
      </c>
      <c r="C16" s="797" t="s">
        <v>138</v>
      </c>
      <c r="D16" s="797" t="s">
        <v>139</v>
      </c>
      <c r="E16" s="824" t="s">
        <v>140</v>
      </c>
      <c r="F16" s="824"/>
      <c r="G16" s="824"/>
      <c r="H16" s="824"/>
      <c r="I16" s="824"/>
      <c r="J16" s="824"/>
      <c r="K16" s="825" t="s">
        <v>141</v>
      </c>
      <c r="L16" s="826"/>
    </row>
    <row r="17" spans="1:12" x14ac:dyDescent="0.25">
      <c r="A17" s="792"/>
      <c r="B17" s="822"/>
      <c r="C17" s="798"/>
      <c r="D17" s="798"/>
      <c r="E17" s="413" t="s">
        <v>424</v>
      </c>
      <c r="F17" s="414" t="s">
        <v>425</v>
      </c>
      <c r="G17" s="414" t="s">
        <v>426</v>
      </c>
      <c r="H17" s="414" t="s">
        <v>430</v>
      </c>
      <c r="I17" s="414" t="s">
        <v>431</v>
      </c>
      <c r="J17" s="414"/>
      <c r="K17" s="822" t="s">
        <v>142</v>
      </c>
      <c r="L17" s="827" t="s">
        <v>143</v>
      </c>
    </row>
    <row r="18" spans="1:12" ht="15.75" thickBot="1" x14ac:dyDescent="0.3">
      <c r="A18" s="793"/>
      <c r="B18" s="823"/>
      <c r="C18" s="799"/>
      <c r="D18" s="799"/>
      <c r="E18" s="83" t="s">
        <v>27</v>
      </c>
      <c r="F18" s="83" t="s">
        <v>27</v>
      </c>
      <c r="G18" s="83" t="s">
        <v>27</v>
      </c>
      <c r="H18" s="83" t="s">
        <v>27</v>
      </c>
      <c r="I18" s="83" t="s">
        <v>27</v>
      </c>
      <c r="J18" s="83" t="s">
        <v>27</v>
      </c>
      <c r="K18" s="823"/>
      <c r="L18" s="828"/>
    </row>
    <row r="19" spans="1:12" x14ac:dyDescent="0.25">
      <c r="A19" s="85">
        <v>1</v>
      </c>
      <c r="B19" s="312" t="s">
        <v>225</v>
      </c>
      <c r="C19" s="193" t="s">
        <v>138</v>
      </c>
      <c r="D19" s="311">
        <v>1</v>
      </c>
      <c r="E19" s="374">
        <v>36</v>
      </c>
      <c r="F19" s="375">
        <v>42.91</v>
      </c>
      <c r="G19" s="375">
        <v>38.9</v>
      </c>
      <c r="H19" s="375">
        <v>0</v>
      </c>
      <c r="I19" s="375">
        <v>0</v>
      </c>
      <c r="J19" s="375">
        <v>0</v>
      </c>
      <c r="K19" s="194">
        <f>AVERAGEIF(E19:J19,"&gt;0")</f>
        <v>39.270000000000003</v>
      </c>
      <c r="L19" s="195">
        <f>D19*K19</f>
        <v>39.270000000000003</v>
      </c>
    </row>
    <row r="20" spans="1:12" x14ac:dyDescent="0.25">
      <c r="A20" s="89">
        <v>2</v>
      </c>
      <c r="B20" s="312" t="s">
        <v>226</v>
      </c>
      <c r="C20" s="193" t="s">
        <v>138</v>
      </c>
      <c r="D20" s="311">
        <v>4</v>
      </c>
      <c r="E20" s="374">
        <v>6.3</v>
      </c>
      <c r="F20" s="374">
        <v>3.28</v>
      </c>
      <c r="G20" s="374">
        <v>16.8</v>
      </c>
      <c r="H20" s="376">
        <v>0</v>
      </c>
      <c r="I20" s="376">
        <v>4.9000000000000004</v>
      </c>
      <c r="J20" s="376">
        <v>0</v>
      </c>
      <c r="K20" s="196">
        <f t="shared" ref="K20:K24" si="2">AVERAGEIF(E20:J20,"&gt;0")</f>
        <v>7.82</v>
      </c>
      <c r="L20" s="197">
        <f t="shared" ref="L20:L24" si="3">D20*K20</f>
        <v>31.28</v>
      </c>
    </row>
    <row r="21" spans="1:12" x14ac:dyDescent="0.25">
      <c r="A21" s="89">
        <v>3</v>
      </c>
      <c r="B21" s="312" t="s">
        <v>227</v>
      </c>
      <c r="C21" s="193" t="s">
        <v>138</v>
      </c>
      <c r="D21" s="311">
        <v>2</v>
      </c>
      <c r="E21" s="374">
        <v>0.99</v>
      </c>
      <c r="F21" s="374">
        <v>1.22</v>
      </c>
      <c r="G21" s="374">
        <v>8.59</v>
      </c>
      <c r="H21" s="374">
        <v>0</v>
      </c>
      <c r="I21" s="374">
        <v>0</v>
      </c>
      <c r="J21" s="376">
        <v>0</v>
      </c>
      <c r="K21" s="196">
        <f t="shared" si="2"/>
        <v>3.6</v>
      </c>
      <c r="L21" s="197">
        <f t="shared" si="3"/>
        <v>7.2</v>
      </c>
    </row>
    <row r="22" spans="1:12" x14ac:dyDescent="0.25">
      <c r="A22" s="89">
        <v>4</v>
      </c>
      <c r="B22" s="312" t="s">
        <v>428</v>
      </c>
      <c r="C22" s="193" t="s">
        <v>427</v>
      </c>
      <c r="D22" s="311">
        <v>4</v>
      </c>
      <c r="E22" s="374">
        <v>30</v>
      </c>
      <c r="F22" s="374">
        <v>0</v>
      </c>
      <c r="G22" s="374">
        <v>0</v>
      </c>
      <c r="H22" s="374">
        <v>59.75</v>
      </c>
      <c r="I22" s="374">
        <v>98.39</v>
      </c>
      <c r="J22" s="376">
        <v>0</v>
      </c>
      <c r="K22" s="196">
        <f t="shared" si="2"/>
        <v>62.713333333333331</v>
      </c>
      <c r="L22" s="197">
        <f t="shared" si="3"/>
        <v>250.85333333333332</v>
      </c>
    </row>
    <row r="23" spans="1:12" x14ac:dyDescent="0.25">
      <c r="A23" s="89">
        <v>5</v>
      </c>
      <c r="B23" s="312" t="s">
        <v>419</v>
      </c>
      <c r="C23" s="193" t="s">
        <v>138</v>
      </c>
      <c r="D23" s="311">
        <v>2</v>
      </c>
      <c r="E23" s="374">
        <v>49.5</v>
      </c>
      <c r="F23" s="374">
        <v>13.36</v>
      </c>
      <c r="G23" s="374">
        <v>25.95</v>
      </c>
      <c r="H23" s="374">
        <v>0</v>
      </c>
      <c r="I23" s="374">
        <v>0</v>
      </c>
      <c r="J23" s="376">
        <v>0</v>
      </c>
      <c r="K23" s="196">
        <f t="shared" ref="K23" si="4">AVERAGEIF(E23:J23,"&gt;0")</f>
        <v>29.603333333333335</v>
      </c>
      <c r="L23" s="197">
        <f t="shared" ref="L23" si="5">D23*K23</f>
        <v>59.206666666666671</v>
      </c>
    </row>
    <row r="24" spans="1:12" ht="15.75" thickBot="1" x14ac:dyDescent="0.3">
      <c r="A24" s="92">
        <v>6</v>
      </c>
      <c r="B24" s="312" t="s">
        <v>429</v>
      </c>
      <c r="C24" s="193" t="s">
        <v>138</v>
      </c>
      <c r="D24" s="311">
        <v>1</v>
      </c>
      <c r="E24" s="374">
        <v>12.5</v>
      </c>
      <c r="F24" s="376">
        <v>10.39</v>
      </c>
      <c r="G24" s="376">
        <v>14.49</v>
      </c>
      <c r="H24" s="376">
        <v>0</v>
      </c>
      <c r="I24" s="376">
        <v>0</v>
      </c>
      <c r="J24" s="376">
        <v>0</v>
      </c>
      <c r="K24" s="196">
        <f t="shared" si="2"/>
        <v>12.46</v>
      </c>
      <c r="L24" s="197">
        <f t="shared" si="3"/>
        <v>12.46</v>
      </c>
    </row>
    <row r="25" spans="1:12" ht="15.75" thickBot="1" x14ac:dyDescent="0.3">
      <c r="A25" s="779" t="s">
        <v>385</v>
      </c>
      <c r="B25" s="780"/>
      <c r="C25" s="780"/>
      <c r="D25" s="780"/>
      <c r="E25" s="780"/>
      <c r="F25" s="780"/>
      <c r="G25" s="780"/>
      <c r="H25" s="780"/>
      <c r="I25" s="780"/>
      <c r="J25" s="780"/>
      <c r="K25" s="781"/>
      <c r="L25" s="129">
        <f>SUM(L19:L24)</f>
        <v>400.27</v>
      </c>
    </row>
    <row r="26" spans="1:12" ht="15.75" thickBot="1" x14ac:dyDescent="0.3">
      <c r="A26" s="316"/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2"/>
    </row>
    <row r="27" spans="1:12" ht="15.75" thickBot="1" x14ac:dyDescent="0.3">
      <c r="A27" s="779" t="s">
        <v>537</v>
      </c>
      <c r="B27" s="780"/>
      <c r="C27" s="780"/>
      <c r="D27" s="780"/>
      <c r="E27" s="780"/>
      <c r="F27" s="780"/>
      <c r="G27" s="780"/>
      <c r="H27" s="780"/>
      <c r="I27" s="780"/>
      <c r="J27" s="780"/>
      <c r="K27" s="781"/>
      <c r="L27" s="199">
        <f>L25/12</f>
        <v>33.355833333333329</v>
      </c>
    </row>
  </sheetData>
  <mergeCells count="24">
    <mergeCell ref="A10:K10"/>
    <mergeCell ref="A12:K12"/>
    <mergeCell ref="A1:L1"/>
    <mergeCell ref="A2:L2"/>
    <mergeCell ref="A3:A5"/>
    <mergeCell ref="B3:B5"/>
    <mergeCell ref="C3:C5"/>
    <mergeCell ref="D3:D5"/>
    <mergeCell ref="E3:J3"/>
    <mergeCell ref="K3:L3"/>
    <mergeCell ref="K4:K5"/>
    <mergeCell ref="L4:L5"/>
    <mergeCell ref="A25:K25"/>
    <mergeCell ref="A27:K27"/>
    <mergeCell ref="A14:L14"/>
    <mergeCell ref="A15:L15"/>
    <mergeCell ref="A16:A18"/>
    <mergeCell ref="B16:B18"/>
    <mergeCell ref="C16:C18"/>
    <mergeCell ref="D16:D18"/>
    <mergeCell ref="E16:J16"/>
    <mergeCell ref="K16:L16"/>
    <mergeCell ref="K17:K18"/>
    <mergeCell ref="L17:L18"/>
  </mergeCells>
  <pageMargins left="0.51181102362204722" right="0.51181102362204722" top="0.78740157480314965" bottom="0.78740157480314965" header="0.31496062992125984" footer="0.31496062992125984"/>
  <pageSetup paperSize="9" scale="76" orientation="landscape" r:id="rId1"/>
  <headerFooter>
    <oddFooter>&amp;L&amp;F&amp;C&amp;A&amp;R&amp;P de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40"/>
  <sheetViews>
    <sheetView topLeftCell="A31" zoomScaleNormal="100" workbookViewId="0">
      <selection activeCell="A38" sqref="A38:K38"/>
    </sheetView>
  </sheetViews>
  <sheetFormatPr defaultRowHeight="15" x14ac:dyDescent="0.25"/>
  <cols>
    <col min="1" max="1" width="3.28515625" bestFit="1" customWidth="1"/>
    <col min="2" max="2" width="34.85546875" customWidth="1"/>
    <col min="3" max="3" width="5.28515625" bestFit="1" customWidth="1"/>
    <col min="4" max="4" width="3.28515625" bestFit="1" customWidth="1"/>
    <col min="5" max="5" width="12.28515625" bestFit="1" customWidth="1"/>
    <col min="6" max="6" width="10.42578125" bestFit="1" customWidth="1"/>
    <col min="7" max="7" width="15.140625" customWidth="1"/>
    <col min="8" max="8" width="12.85546875" customWidth="1"/>
    <col min="9" max="9" width="10.42578125" bestFit="1" customWidth="1"/>
    <col min="10" max="10" width="10.85546875" customWidth="1"/>
    <col min="11" max="11" width="10.140625" bestFit="1" customWidth="1"/>
    <col min="12" max="12" width="12.7109375" customWidth="1"/>
    <col min="13" max="13" width="22.85546875" customWidth="1"/>
    <col min="24" max="24" width="9.5703125" bestFit="1" customWidth="1"/>
    <col min="25" max="25" width="14.28515625" bestFit="1" customWidth="1"/>
    <col min="26" max="26" width="12.85546875" bestFit="1" customWidth="1"/>
    <col min="27" max="27" width="12.42578125" bestFit="1" customWidth="1"/>
  </cols>
  <sheetData>
    <row r="1" spans="1:13" ht="15.75" thickBot="1" x14ac:dyDescent="0.3">
      <c r="A1" s="816" t="s">
        <v>213</v>
      </c>
      <c r="B1" s="817"/>
      <c r="C1" s="817"/>
      <c r="D1" s="817"/>
      <c r="E1" s="817"/>
      <c r="F1" s="817"/>
      <c r="G1" s="817"/>
      <c r="H1" s="817"/>
      <c r="I1" s="817"/>
      <c r="J1" s="817"/>
      <c r="K1" s="817"/>
      <c r="L1" s="817"/>
      <c r="M1" s="818"/>
    </row>
    <row r="2" spans="1:13" ht="15.75" customHeight="1" thickBot="1" x14ac:dyDescent="0.3">
      <c r="A2" s="788" t="s">
        <v>228</v>
      </c>
      <c r="B2" s="789"/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790"/>
    </row>
    <row r="3" spans="1:13" x14ac:dyDescent="0.25">
      <c r="A3" s="791" t="s">
        <v>136</v>
      </c>
      <c r="B3" s="794" t="s">
        <v>144</v>
      </c>
      <c r="C3" s="797" t="s">
        <v>138</v>
      </c>
      <c r="D3" s="797" t="s">
        <v>139</v>
      </c>
      <c r="E3" s="824" t="s">
        <v>140</v>
      </c>
      <c r="F3" s="824"/>
      <c r="G3" s="824"/>
      <c r="H3" s="824"/>
      <c r="I3" s="824"/>
      <c r="J3" s="824"/>
      <c r="K3" s="825" t="s">
        <v>141</v>
      </c>
      <c r="L3" s="834"/>
      <c r="M3" s="826"/>
    </row>
    <row r="4" spans="1:13" ht="25.5" customHeight="1" x14ac:dyDescent="0.25">
      <c r="A4" s="792"/>
      <c r="B4" s="822"/>
      <c r="C4" s="798"/>
      <c r="D4" s="798"/>
      <c r="E4" s="96" t="s">
        <v>434</v>
      </c>
      <c r="F4" s="96" t="s">
        <v>440</v>
      </c>
      <c r="G4" s="81" t="s">
        <v>437</v>
      </c>
      <c r="H4" s="96" t="s">
        <v>438</v>
      </c>
      <c r="I4" s="81" t="s">
        <v>439</v>
      </c>
      <c r="J4" s="96" t="s">
        <v>441</v>
      </c>
      <c r="K4" s="822" t="s">
        <v>142</v>
      </c>
      <c r="L4" s="829" t="s">
        <v>230</v>
      </c>
      <c r="M4" s="827" t="s">
        <v>143</v>
      </c>
    </row>
    <row r="5" spans="1:13" ht="15.75" thickBot="1" x14ac:dyDescent="0.3">
      <c r="A5" s="793"/>
      <c r="B5" s="823"/>
      <c r="C5" s="799"/>
      <c r="D5" s="799"/>
      <c r="E5" s="83" t="s">
        <v>27</v>
      </c>
      <c r="F5" s="83" t="s">
        <v>27</v>
      </c>
      <c r="G5" s="83" t="s">
        <v>27</v>
      </c>
      <c r="H5" s="83" t="s">
        <v>27</v>
      </c>
      <c r="I5" s="83" t="s">
        <v>27</v>
      </c>
      <c r="J5" s="83" t="s">
        <v>27</v>
      </c>
      <c r="K5" s="823"/>
      <c r="L5" s="830"/>
      <c r="M5" s="828"/>
    </row>
    <row r="6" spans="1:13" ht="15.75" customHeight="1" x14ac:dyDescent="0.25">
      <c r="A6" s="85">
        <v>1</v>
      </c>
      <c r="B6" s="308" t="s">
        <v>214</v>
      </c>
      <c r="C6" s="101" t="s">
        <v>138</v>
      </c>
      <c r="D6" s="309">
        <v>2</v>
      </c>
      <c r="E6" s="384">
        <v>1621.28</v>
      </c>
      <c r="F6" s="384">
        <v>1395</v>
      </c>
      <c r="G6" s="384">
        <v>2172</v>
      </c>
      <c r="H6" s="384">
        <v>0</v>
      </c>
      <c r="I6" s="384">
        <v>0</v>
      </c>
      <c r="J6" s="384">
        <v>0</v>
      </c>
      <c r="K6" s="384">
        <f>AVERAGEIF(E6:J6,"&gt;0")</f>
        <v>1729.4266666666665</v>
      </c>
      <c r="L6" s="384">
        <f>(K6*0.8)/5</f>
        <v>276.70826666666665</v>
      </c>
      <c r="M6" s="384">
        <f>D6*L6</f>
        <v>553.41653333333329</v>
      </c>
    </row>
    <row r="7" spans="1:13" x14ac:dyDescent="0.25">
      <c r="A7" s="89">
        <v>2</v>
      </c>
      <c r="B7" s="310" t="s">
        <v>418</v>
      </c>
      <c r="C7" s="86" t="s">
        <v>138</v>
      </c>
      <c r="D7" s="311">
        <v>2</v>
      </c>
      <c r="E7" s="384">
        <v>74.36</v>
      </c>
      <c r="F7" s="384">
        <v>142.99</v>
      </c>
      <c r="G7" s="384">
        <v>0</v>
      </c>
      <c r="H7" s="384">
        <v>149.9</v>
      </c>
      <c r="I7" s="384">
        <v>0</v>
      </c>
      <c r="J7" s="384">
        <v>0</v>
      </c>
      <c r="K7" s="384">
        <f t="shared" ref="K7:K14" si="0">AVERAGEIF(E7:J7,"&gt;0")</f>
        <v>122.41666666666667</v>
      </c>
      <c r="L7" s="384">
        <f t="shared" ref="L7:L9" si="1">(K7*0.8)/5</f>
        <v>19.586666666666666</v>
      </c>
      <c r="M7" s="384">
        <f t="shared" ref="M7:M14" si="2">D7*L7</f>
        <v>39.173333333333332</v>
      </c>
    </row>
    <row r="8" spans="1:13" x14ac:dyDescent="0.25">
      <c r="A8" s="89">
        <v>3</v>
      </c>
      <c r="B8" s="310" t="s">
        <v>417</v>
      </c>
      <c r="C8" s="86" t="s">
        <v>138</v>
      </c>
      <c r="D8" s="311">
        <v>2</v>
      </c>
      <c r="E8" s="384">
        <v>207</v>
      </c>
      <c r="F8" s="384">
        <v>241.89</v>
      </c>
      <c r="G8" s="384">
        <v>0</v>
      </c>
      <c r="H8" s="384">
        <v>224.9</v>
      </c>
      <c r="I8" s="384">
        <v>0</v>
      </c>
      <c r="J8" s="384">
        <v>0</v>
      </c>
      <c r="K8" s="384">
        <f t="shared" si="0"/>
        <v>224.59666666666666</v>
      </c>
      <c r="L8" s="384">
        <f t="shared" si="1"/>
        <v>35.93546666666667</v>
      </c>
      <c r="M8" s="384">
        <f t="shared" si="2"/>
        <v>71.87093333333334</v>
      </c>
    </row>
    <row r="9" spans="1:13" x14ac:dyDescent="0.25">
      <c r="A9" s="89">
        <v>4</v>
      </c>
      <c r="B9" s="310" t="s">
        <v>215</v>
      </c>
      <c r="C9" s="86" t="s">
        <v>138</v>
      </c>
      <c r="D9" s="311">
        <v>1</v>
      </c>
      <c r="E9" s="384">
        <v>0</v>
      </c>
      <c r="F9" s="384">
        <v>1205.1500000000001</v>
      </c>
      <c r="G9" s="384">
        <v>0</v>
      </c>
      <c r="H9" s="384">
        <v>0</v>
      </c>
      <c r="I9" s="384">
        <v>1199</v>
      </c>
      <c r="J9" s="384">
        <v>1199.9000000000001</v>
      </c>
      <c r="K9" s="384">
        <f t="shared" si="0"/>
        <v>1201.3500000000001</v>
      </c>
      <c r="L9" s="384">
        <f t="shared" si="1"/>
        <v>192.21600000000004</v>
      </c>
      <c r="M9" s="384">
        <f t="shared" si="2"/>
        <v>192.21600000000004</v>
      </c>
    </row>
    <row r="10" spans="1:13" ht="45" x14ac:dyDescent="0.25">
      <c r="A10" s="89">
        <v>5</v>
      </c>
      <c r="B10" s="699" t="s">
        <v>461</v>
      </c>
      <c r="C10" s="86" t="s">
        <v>138</v>
      </c>
      <c r="D10" s="400">
        <v>1</v>
      </c>
      <c r="E10" s="384">
        <v>496.79</v>
      </c>
      <c r="F10" s="384">
        <v>359.9</v>
      </c>
      <c r="G10" s="384">
        <v>0</v>
      </c>
      <c r="H10" s="384">
        <v>389.9</v>
      </c>
      <c r="I10" s="384">
        <v>559</v>
      </c>
      <c r="J10" s="384">
        <v>0</v>
      </c>
      <c r="K10" s="384">
        <f t="shared" ref="K10" si="3">AVERAGEIF(E10:J10,"&gt;0")</f>
        <v>451.39750000000004</v>
      </c>
      <c r="L10" s="384">
        <f t="shared" ref="L10" si="4">(K10*0.8)/5</f>
        <v>72.223600000000005</v>
      </c>
      <c r="M10" s="384">
        <f t="shared" ref="M10" si="5">D10*L10</f>
        <v>72.223600000000005</v>
      </c>
    </row>
    <row r="11" spans="1:13" x14ac:dyDescent="0.25">
      <c r="A11" s="89">
        <v>6</v>
      </c>
      <c r="B11" s="699" t="s">
        <v>416</v>
      </c>
      <c r="C11" s="86" t="s">
        <v>138</v>
      </c>
      <c r="D11" s="400">
        <v>1</v>
      </c>
      <c r="E11" s="384">
        <v>0</v>
      </c>
      <c r="F11" s="384">
        <v>870.83</v>
      </c>
      <c r="G11" s="384">
        <v>0</v>
      </c>
      <c r="H11" s="384">
        <v>738.8</v>
      </c>
      <c r="I11" s="384">
        <v>0</v>
      </c>
      <c r="J11" s="384">
        <v>999</v>
      </c>
      <c r="K11" s="384">
        <f t="shared" ref="K11" si="6">AVERAGEIF(E11:J11,"&gt;0")</f>
        <v>869.54333333333341</v>
      </c>
      <c r="L11" s="384">
        <f t="shared" ref="L11" si="7">(K11*0.8)/5</f>
        <v>139.12693333333337</v>
      </c>
      <c r="M11" s="384">
        <f t="shared" ref="M11" si="8">D11*L11</f>
        <v>139.12693333333337</v>
      </c>
    </row>
    <row r="12" spans="1:13" ht="30" x14ac:dyDescent="0.25">
      <c r="A12" s="89">
        <v>7</v>
      </c>
      <c r="B12" s="700" t="s">
        <v>435</v>
      </c>
      <c r="C12" s="86" t="s">
        <v>138</v>
      </c>
      <c r="D12" s="400">
        <v>1</v>
      </c>
      <c r="E12" s="384">
        <v>2087.87</v>
      </c>
      <c r="F12" s="384">
        <v>2781.21</v>
      </c>
      <c r="G12" s="384">
        <v>0</v>
      </c>
      <c r="H12" s="384">
        <v>0</v>
      </c>
      <c r="I12" s="384">
        <v>0</v>
      </c>
      <c r="J12" s="384">
        <v>1799.9</v>
      </c>
      <c r="K12" s="384">
        <f t="shared" ref="K12" si="9">AVERAGEIF(E12:J12,"&gt;0")</f>
        <v>2222.9933333333333</v>
      </c>
      <c r="L12" s="384">
        <f t="shared" ref="L12" si="10">(K12*0.8)/5</f>
        <v>355.67893333333336</v>
      </c>
      <c r="M12" s="384">
        <f t="shared" ref="M12" si="11">D12*L12</f>
        <v>355.67893333333336</v>
      </c>
    </row>
    <row r="13" spans="1:13" s="398" customFormat="1" ht="30" x14ac:dyDescent="0.25">
      <c r="A13" s="89">
        <v>8</v>
      </c>
      <c r="B13" s="700" t="s">
        <v>561</v>
      </c>
      <c r="C13" s="86" t="s">
        <v>138</v>
      </c>
      <c r="D13" s="400">
        <v>1</v>
      </c>
      <c r="E13" s="384">
        <v>1831.91</v>
      </c>
      <c r="F13" s="384">
        <v>0</v>
      </c>
      <c r="G13" s="384">
        <v>0</v>
      </c>
      <c r="H13" s="384">
        <v>1220</v>
      </c>
      <c r="I13" s="384">
        <v>0</v>
      </c>
      <c r="J13" s="384">
        <v>1719</v>
      </c>
      <c r="K13" s="384">
        <f t="shared" ref="K13" si="12">AVERAGEIF(E13:J13,"&gt;0")</f>
        <v>1590.3033333333333</v>
      </c>
      <c r="L13" s="384">
        <f t="shared" ref="L13" si="13">(K13*0.8)/5</f>
        <v>254.44853333333336</v>
      </c>
      <c r="M13" s="384">
        <f t="shared" ref="M13" si="14">D13*L13</f>
        <v>254.44853333333336</v>
      </c>
    </row>
    <row r="14" spans="1:13" ht="75.75" thickBot="1" x14ac:dyDescent="0.3">
      <c r="A14" s="89">
        <v>9</v>
      </c>
      <c r="B14" s="317" t="s">
        <v>436</v>
      </c>
      <c r="C14" s="107" t="s">
        <v>138</v>
      </c>
      <c r="D14" s="318">
        <v>1</v>
      </c>
      <c r="E14" s="384">
        <v>0</v>
      </c>
      <c r="F14" s="384">
        <v>326.12</v>
      </c>
      <c r="G14" s="384">
        <v>0</v>
      </c>
      <c r="H14" s="384">
        <v>388.9</v>
      </c>
      <c r="I14" s="384">
        <v>0</v>
      </c>
      <c r="J14" s="384">
        <v>155.91999999999999</v>
      </c>
      <c r="K14" s="384">
        <f t="shared" si="0"/>
        <v>290.31333333333333</v>
      </c>
      <c r="L14" s="379">
        <f>(K14*0.8)/5</f>
        <v>46.450133333333341</v>
      </c>
      <c r="M14" s="198">
        <f t="shared" si="2"/>
        <v>46.450133333333341</v>
      </c>
    </row>
    <row r="15" spans="1:13" ht="15.75" thickBot="1" x14ac:dyDescent="0.3">
      <c r="A15" s="779" t="s">
        <v>383</v>
      </c>
      <c r="B15" s="780"/>
      <c r="C15" s="780"/>
      <c r="D15" s="780"/>
      <c r="E15" s="780"/>
      <c r="F15" s="780"/>
      <c r="G15" s="780"/>
      <c r="H15" s="780"/>
      <c r="I15" s="780"/>
      <c r="J15" s="780"/>
      <c r="K15" s="781"/>
      <c r="L15" s="304"/>
      <c r="M15" s="129">
        <f>SUM(M6:M14)</f>
        <v>1724.6049333333335</v>
      </c>
    </row>
    <row r="16" spans="1:13" ht="15.75" thickBot="1" x14ac:dyDescent="0.3">
      <c r="A16" s="316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2"/>
    </row>
    <row r="17" spans="1:13" ht="15.75" customHeight="1" thickBot="1" x14ac:dyDescent="0.3">
      <c r="A17" s="779" t="s">
        <v>546</v>
      </c>
      <c r="B17" s="780"/>
      <c r="C17" s="780"/>
      <c r="D17" s="780"/>
      <c r="E17" s="780"/>
      <c r="F17" s="780"/>
      <c r="G17" s="780"/>
      <c r="H17" s="780"/>
      <c r="I17" s="780"/>
      <c r="J17" s="780"/>
      <c r="K17" s="781"/>
      <c r="L17" s="304"/>
      <c r="M17" s="129">
        <f>M15/12</f>
        <v>143.7170777777778</v>
      </c>
    </row>
    <row r="18" spans="1:13" ht="15.75" customHeight="1" thickBot="1" x14ac:dyDescent="0.3">
      <c r="A18" s="316"/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2"/>
    </row>
    <row r="19" spans="1:13" ht="15.75" thickBot="1" x14ac:dyDescent="0.3">
      <c r="A19" s="779" t="s">
        <v>547</v>
      </c>
      <c r="B19" s="780"/>
      <c r="C19" s="780"/>
      <c r="D19" s="780"/>
      <c r="E19" s="780"/>
      <c r="F19" s="780"/>
      <c r="G19" s="780"/>
      <c r="H19" s="780"/>
      <c r="I19" s="780"/>
      <c r="J19" s="780"/>
      <c r="K19" s="781"/>
      <c r="L19" s="304"/>
      <c r="M19" s="353">
        <f>M17/14</f>
        <v>10.265505555555558</v>
      </c>
    </row>
    <row r="20" spans="1:13" ht="15.75" thickBot="1" x14ac:dyDescent="0.3">
      <c r="A20" s="98"/>
      <c r="B20" s="98"/>
      <c r="C20" s="98"/>
      <c r="D20" s="98"/>
      <c r="E20" s="98"/>
      <c r="F20" s="98"/>
      <c r="G20" s="98"/>
      <c r="H20" s="98"/>
      <c r="I20" s="98"/>
      <c r="J20" s="98"/>
      <c r="K20" s="99"/>
      <c r="L20" s="99"/>
      <c r="M20" s="99"/>
    </row>
    <row r="21" spans="1:13" ht="47.25" customHeight="1" thickBot="1" x14ac:dyDescent="0.3">
      <c r="A21" s="831" t="s">
        <v>166</v>
      </c>
      <c r="B21" s="832"/>
      <c r="C21" s="832"/>
      <c r="D21" s="832"/>
      <c r="E21" s="832"/>
      <c r="F21" s="832"/>
      <c r="G21" s="832"/>
      <c r="H21" s="832"/>
      <c r="I21" s="832"/>
      <c r="J21" s="832"/>
      <c r="K21" s="832"/>
      <c r="L21" s="832"/>
      <c r="M21" s="833"/>
    </row>
    <row r="22" spans="1:13" ht="15.75" thickBot="1" x14ac:dyDescent="0.3"/>
    <row r="23" spans="1:13" ht="15.75" customHeight="1" thickBot="1" x14ac:dyDescent="0.3">
      <c r="A23" s="816" t="s">
        <v>216</v>
      </c>
      <c r="B23" s="817"/>
      <c r="C23" s="817"/>
      <c r="D23" s="817"/>
      <c r="E23" s="817"/>
      <c r="F23" s="817"/>
      <c r="G23" s="817"/>
      <c r="H23" s="817"/>
      <c r="I23" s="817"/>
      <c r="J23" s="817"/>
      <c r="K23" s="817"/>
      <c r="L23" s="817"/>
      <c r="M23" s="818"/>
    </row>
    <row r="24" spans="1:13" ht="15.75" customHeight="1" thickBot="1" x14ac:dyDescent="0.3">
      <c r="A24" s="788" t="s">
        <v>228</v>
      </c>
      <c r="B24" s="789"/>
      <c r="C24" s="789"/>
      <c r="D24" s="789"/>
      <c r="E24" s="789"/>
      <c r="F24" s="789"/>
      <c r="G24" s="789"/>
      <c r="H24" s="789"/>
      <c r="I24" s="789"/>
      <c r="J24" s="789"/>
      <c r="K24" s="789"/>
      <c r="L24" s="789"/>
      <c r="M24" s="790"/>
    </row>
    <row r="25" spans="1:13" ht="15.75" customHeight="1" x14ac:dyDescent="0.25">
      <c r="A25" s="791" t="s">
        <v>136</v>
      </c>
      <c r="B25" s="794" t="s">
        <v>144</v>
      </c>
      <c r="C25" s="797" t="s">
        <v>138</v>
      </c>
      <c r="D25" s="797" t="s">
        <v>139</v>
      </c>
      <c r="E25" s="824" t="s">
        <v>140</v>
      </c>
      <c r="F25" s="824"/>
      <c r="G25" s="824"/>
      <c r="H25" s="824"/>
      <c r="I25" s="824"/>
      <c r="J25" s="824"/>
      <c r="K25" s="825" t="s">
        <v>141</v>
      </c>
      <c r="L25" s="834"/>
      <c r="M25" s="826"/>
    </row>
    <row r="26" spans="1:13" ht="27" x14ac:dyDescent="0.25">
      <c r="A26" s="792"/>
      <c r="B26" s="822"/>
      <c r="C26" s="798"/>
      <c r="D26" s="798"/>
      <c r="E26" s="96" t="s">
        <v>442</v>
      </c>
      <c r="F26" s="81" t="s">
        <v>438</v>
      </c>
      <c r="G26" s="96" t="s">
        <v>434</v>
      </c>
      <c r="H26" s="96" t="s">
        <v>443</v>
      </c>
      <c r="I26" s="81" t="s">
        <v>36</v>
      </c>
      <c r="J26" s="81" t="s">
        <v>61</v>
      </c>
      <c r="K26" s="822" t="s">
        <v>142</v>
      </c>
      <c r="L26" s="829" t="s">
        <v>230</v>
      </c>
      <c r="M26" s="827" t="s">
        <v>143</v>
      </c>
    </row>
    <row r="27" spans="1:13" ht="27" customHeight="1" thickBot="1" x14ac:dyDescent="0.3">
      <c r="A27" s="793"/>
      <c r="B27" s="823"/>
      <c r="C27" s="799"/>
      <c r="D27" s="799"/>
      <c r="E27" s="83" t="s">
        <v>27</v>
      </c>
      <c r="F27" s="83" t="s">
        <v>27</v>
      </c>
      <c r="G27" s="83" t="s">
        <v>27</v>
      </c>
      <c r="H27" s="83" t="s">
        <v>27</v>
      </c>
      <c r="I27" s="83" t="s">
        <v>27</v>
      </c>
      <c r="J27" s="83" t="s">
        <v>27</v>
      </c>
      <c r="K27" s="823"/>
      <c r="L27" s="830"/>
      <c r="M27" s="828"/>
    </row>
    <row r="28" spans="1:13" x14ac:dyDescent="0.25">
      <c r="A28" s="85">
        <v>1</v>
      </c>
      <c r="B28" s="312" t="s">
        <v>217</v>
      </c>
      <c r="C28" s="101" t="s">
        <v>138</v>
      </c>
      <c r="D28" s="311">
        <v>1</v>
      </c>
      <c r="E28" s="383">
        <v>31.98</v>
      </c>
      <c r="F28" s="383">
        <v>49.9</v>
      </c>
      <c r="G28" s="383">
        <v>33</v>
      </c>
      <c r="H28" s="375">
        <v>0</v>
      </c>
      <c r="I28" s="375">
        <v>0</v>
      </c>
      <c r="J28" s="375">
        <v>0</v>
      </c>
      <c r="K28" s="377">
        <f>AVERAGEIF(E28:J28,"&gt;0")</f>
        <v>38.293333333333329</v>
      </c>
      <c r="L28" s="378">
        <f>K28*0.8/5</f>
        <v>6.1269333333333327</v>
      </c>
      <c r="M28" s="380">
        <f>D28*L28</f>
        <v>6.1269333333333327</v>
      </c>
    </row>
    <row r="29" spans="1:13" x14ac:dyDescent="0.25">
      <c r="A29" s="89">
        <v>2</v>
      </c>
      <c r="B29" s="312" t="s">
        <v>218</v>
      </c>
      <c r="C29" s="86" t="s">
        <v>138</v>
      </c>
      <c r="D29" s="311">
        <v>1</v>
      </c>
      <c r="E29" s="383">
        <v>31.98</v>
      </c>
      <c r="F29" s="383">
        <v>29.9</v>
      </c>
      <c r="G29" s="383">
        <v>31.8</v>
      </c>
      <c r="H29" s="383">
        <v>0</v>
      </c>
      <c r="I29" s="383">
        <v>0</v>
      </c>
      <c r="J29" s="383">
        <v>0</v>
      </c>
      <c r="K29" s="378">
        <f t="shared" ref="K29:K33" si="15">AVERAGEIF(E29:J29,"&gt;0")</f>
        <v>31.226666666666663</v>
      </c>
      <c r="L29" s="378">
        <f>(K29-(K29*0.2))/5</f>
        <v>4.9962666666666662</v>
      </c>
      <c r="M29" s="381">
        <f t="shared" ref="M29:M33" si="16">D29*L29</f>
        <v>4.9962666666666662</v>
      </c>
    </row>
    <row r="30" spans="1:13" x14ac:dyDescent="0.25">
      <c r="A30" s="89">
        <v>3</v>
      </c>
      <c r="B30" s="312" t="s">
        <v>219</v>
      </c>
      <c r="C30" s="86" t="s">
        <v>138</v>
      </c>
      <c r="D30" s="311">
        <v>1</v>
      </c>
      <c r="E30" s="383">
        <v>369.9</v>
      </c>
      <c r="F30" s="383">
        <v>154.9</v>
      </c>
      <c r="G30" s="383">
        <v>123.2</v>
      </c>
      <c r="H30" s="383">
        <v>0</v>
      </c>
      <c r="I30" s="383">
        <v>0</v>
      </c>
      <c r="J30" s="383">
        <v>0</v>
      </c>
      <c r="K30" s="378">
        <f t="shared" si="15"/>
        <v>216</v>
      </c>
      <c r="L30" s="378">
        <f>(K30-(K30*0.2))/5</f>
        <v>34.56</v>
      </c>
      <c r="M30" s="381">
        <f t="shared" si="16"/>
        <v>34.56</v>
      </c>
    </row>
    <row r="31" spans="1:13" x14ac:dyDescent="0.25">
      <c r="A31" s="89">
        <v>4</v>
      </c>
      <c r="B31" s="312" t="s">
        <v>220</v>
      </c>
      <c r="C31" s="86" t="s">
        <v>138</v>
      </c>
      <c r="D31" s="311">
        <v>1</v>
      </c>
      <c r="E31" s="383">
        <v>24.9</v>
      </c>
      <c r="F31" s="383">
        <v>44.9</v>
      </c>
      <c r="G31" s="383">
        <v>17.66</v>
      </c>
      <c r="H31" s="383">
        <v>0</v>
      </c>
      <c r="I31" s="383">
        <v>0</v>
      </c>
      <c r="J31" s="383">
        <v>0</v>
      </c>
      <c r="K31" s="378">
        <f t="shared" si="15"/>
        <v>29.153333333333332</v>
      </c>
      <c r="L31" s="378">
        <f>(K31-(K31*0.2))/5</f>
        <v>4.664533333333333</v>
      </c>
      <c r="M31" s="381">
        <f t="shared" si="16"/>
        <v>4.664533333333333</v>
      </c>
    </row>
    <row r="32" spans="1:13" x14ac:dyDescent="0.25">
      <c r="A32" s="89">
        <v>5</v>
      </c>
      <c r="B32" s="312" t="s">
        <v>221</v>
      </c>
      <c r="C32" s="86" t="s">
        <v>138</v>
      </c>
      <c r="D32" s="311">
        <v>1</v>
      </c>
      <c r="E32" s="383">
        <v>41.19</v>
      </c>
      <c r="F32" s="383">
        <v>41.9</v>
      </c>
      <c r="G32" s="383">
        <v>18.350000000000001</v>
      </c>
      <c r="H32" s="383">
        <v>0</v>
      </c>
      <c r="I32" s="383">
        <v>0</v>
      </c>
      <c r="J32" s="383">
        <v>0</v>
      </c>
      <c r="K32" s="378">
        <f t="shared" ref="K32" si="17">AVERAGEIF(E32:J32,"&gt;0")</f>
        <v>33.813333333333333</v>
      </c>
      <c r="L32" s="378">
        <f t="shared" ref="L32" si="18">K32</f>
        <v>33.813333333333333</v>
      </c>
      <c r="M32" s="381">
        <f t="shared" ref="M32" si="19">D32*L32</f>
        <v>33.813333333333333</v>
      </c>
    </row>
    <row r="33" spans="1:13" ht="16.5" customHeight="1" thickBot="1" x14ac:dyDescent="0.3">
      <c r="A33" s="89">
        <v>7</v>
      </c>
      <c r="B33" s="312" t="s">
        <v>222</v>
      </c>
      <c r="C33" s="107" t="s">
        <v>138</v>
      </c>
      <c r="D33" s="311">
        <v>1</v>
      </c>
      <c r="E33" s="384">
        <v>24.9</v>
      </c>
      <c r="F33" s="384">
        <v>35.9</v>
      </c>
      <c r="G33" s="384">
        <v>0</v>
      </c>
      <c r="H33" s="384">
        <v>32.11</v>
      </c>
      <c r="I33" s="384">
        <v>0</v>
      </c>
      <c r="J33" s="384">
        <v>0</v>
      </c>
      <c r="K33" s="379">
        <f t="shared" si="15"/>
        <v>30.97</v>
      </c>
      <c r="L33" s="378">
        <f>K33</f>
        <v>30.97</v>
      </c>
      <c r="M33" s="382">
        <f t="shared" si="16"/>
        <v>30.97</v>
      </c>
    </row>
    <row r="34" spans="1:13" ht="15.75" customHeight="1" thickBot="1" x14ac:dyDescent="0.3">
      <c r="A34" s="779" t="s">
        <v>384</v>
      </c>
      <c r="B34" s="780"/>
      <c r="C34" s="780"/>
      <c r="D34" s="780"/>
      <c r="E34" s="780"/>
      <c r="F34" s="780"/>
      <c r="G34" s="780"/>
      <c r="H34" s="780"/>
      <c r="I34" s="780"/>
      <c r="J34" s="780"/>
      <c r="K34" s="781"/>
      <c r="L34" s="304"/>
      <c r="M34" s="130">
        <f>SUM(M28:M33)</f>
        <v>115.13106666666667</v>
      </c>
    </row>
    <row r="35" spans="1:13" ht="15.75" thickBot="1" x14ac:dyDescent="0.3">
      <c r="A35" s="316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385"/>
    </row>
    <row r="36" spans="1:13" ht="15.75" thickBot="1" x14ac:dyDescent="0.3">
      <c r="A36" s="779" t="s">
        <v>535</v>
      </c>
      <c r="B36" s="780"/>
      <c r="C36" s="780"/>
      <c r="D36" s="780"/>
      <c r="E36" s="780"/>
      <c r="F36" s="780"/>
      <c r="G36" s="780"/>
      <c r="H36" s="780"/>
      <c r="I36" s="780"/>
      <c r="J36" s="780"/>
      <c r="K36" s="781"/>
      <c r="L36" s="304"/>
      <c r="M36" s="386">
        <f>M34/12</f>
        <v>9.5942555555555558</v>
      </c>
    </row>
    <row r="37" spans="1:13" ht="15.75" thickBot="1" x14ac:dyDescent="0.3">
      <c r="A37" s="316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385"/>
    </row>
    <row r="38" spans="1:13" ht="15.75" thickBot="1" x14ac:dyDescent="0.3">
      <c r="A38" s="779" t="s">
        <v>580</v>
      </c>
      <c r="B38" s="780"/>
      <c r="C38" s="780"/>
      <c r="D38" s="780"/>
      <c r="E38" s="780"/>
      <c r="F38" s="780"/>
      <c r="G38" s="780"/>
      <c r="H38" s="780"/>
      <c r="I38" s="780"/>
      <c r="J38" s="780"/>
      <c r="K38" s="781"/>
      <c r="L38" s="352"/>
      <c r="M38" s="387">
        <f>M36</f>
        <v>9.5942555555555558</v>
      </c>
    </row>
    <row r="39" spans="1:13" ht="15.75" thickBot="1" x14ac:dyDescent="0.3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9"/>
      <c r="L39" s="99"/>
      <c r="M39" s="99"/>
    </row>
    <row r="40" spans="1:13" ht="33.75" customHeight="1" thickBot="1" x14ac:dyDescent="0.3">
      <c r="A40" s="831" t="s">
        <v>166</v>
      </c>
      <c r="B40" s="832"/>
      <c r="C40" s="832"/>
      <c r="D40" s="832"/>
      <c r="E40" s="832"/>
      <c r="F40" s="832"/>
      <c r="G40" s="832"/>
      <c r="H40" s="832"/>
      <c r="I40" s="832"/>
      <c r="J40" s="832"/>
      <c r="K40" s="832"/>
      <c r="L40" s="832"/>
      <c r="M40" s="833"/>
    </row>
  </sheetData>
  <mergeCells count="30">
    <mergeCell ref="A40:M40"/>
    <mergeCell ref="A2:M2"/>
    <mergeCell ref="A15:K15"/>
    <mergeCell ref="A19:K19"/>
    <mergeCell ref="A21:M21"/>
    <mergeCell ref="A3:A5"/>
    <mergeCell ref="B3:B5"/>
    <mergeCell ref="C3:C5"/>
    <mergeCell ref="D3:D5"/>
    <mergeCell ref="E3:J3"/>
    <mergeCell ref="K3:M3"/>
    <mergeCell ref="K4:K5"/>
    <mergeCell ref="M4:M5"/>
    <mergeCell ref="K25:M25"/>
    <mergeCell ref="K26:K27"/>
    <mergeCell ref="A38:K38"/>
    <mergeCell ref="A17:K17"/>
    <mergeCell ref="A1:M1"/>
    <mergeCell ref="L4:L5"/>
    <mergeCell ref="A23:M23"/>
    <mergeCell ref="A24:M24"/>
    <mergeCell ref="A36:K36"/>
    <mergeCell ref="L26:L27"/>
    <mergeCell ref="M26:M27"/>
    <mergeCell ref="A34:K34"/>
    <mergeCell ref="A25:A27"/>
    <mergeCell ref="B25:B27"/>
    <mergeCell ref="C25:C27"/>
    <mergeCell ref="D25:D27"/>
    <mergeCell ref="E25:J25"/>
  </mergeCells>
  <pageMargins left="1.4960629921259843" right="0.51181102362204722" top="0.59055118110236227" bottom="0.59055118110236227" header="0.31496062992125984" footer="0.31496062992125984"/>
  <pageSetup paperSize="9" scale="64" orientation="landscape" r:id="rId1"/>
  <headerFooter>
    <oddFooter>&amp;L&amp;F&amp;C&amp;A&amp;R&amp;P de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20"/>
  <sheetViews>
    <sheetView topLeftCell="A7" workbookViewId="0">
      <selection activeCell="A17" sqref="A17:P17"/>
    </sheetView>
  </sheetViews>
  <sheetFormatPr defaultRowHeight="15" x14ac:dyDescent="0.25"/>
  <cols>
    <col min="1" max="1" width="7.42578125" customWidth="1"/>
    <col min="2" max="2" width="20.28515625" customWidth="1"/>
    <col min="3" max="3" width="10.85546875" customWidth="1"/>
    <col min="4" max="4" width="7.7109375" customWidth="1"/>
    <col min="5" max="5" width="9.140625" bestFit="1" customWidth="1"/>
    <col min="6" max="7" width="11.42578125" bestFit="1" customWidth="1"/>
    <col min="8" max="8" width="12.85546875" customWidth="1"/>
    <col min="9" max="9" width="12.5703125" bestFit="1" customWidth="1"/>
    <col min="11" max="11" width="9.140625" customWidth="1"/>
    <col min="12" max="12" width="9.140625" bestFit="1" customWidth="1"/>
    <col min="13" max="13" width="12.28515625" customWidth="1"/>
    <col min="14" max="14" width="9.140625" customWidth="1"/>
    <col min="15" max="15" width="12.140625" customWidth="1"/>
    <col min="16" max="16" width="13.28515625" customWidth="1"/>
  </cols>
  <sheetData>
    <row r="1" spans="1:16" ht="15.75" thickBot="1" x14ac:dyDescent="0.3">
      <c r="A1" s="835" t="s">
        <v>223</v>
      </c>
      <c r="B1" s="835"/>
      <c r="C1" s="835"/>
      <c r="D1" s="835"/>
      <c r="E1" s="835"/>
      <c r="F1" s="835"/>
      <c r="G1" s="835"/>
      <c r="H1" s="835"/>
      <c r="I1" s="835"/>
      <c r="J1" s="835"/>
      <c r="K1" s="835"/>
      <c r="L1" s="835"/>
      <c r="M1" s="835"/>
      <c r="N1" s="835"/>
      <c r="O1" s="835"/>
      <c r="P1" s="835"/>
    </row>
    <row r="2" spans="1:16" ht="15.75" thickBot="1" x14ac:dyDescent="0.3">
      <c r="A2" s="819" t="s">
        <v>228</v>
      </c>
      <c r="B2" s="820"/>
      <c r="C2" s="820"/>
      <c r="D2" s="820"/>
      <c r="E2" s="820"/>
      <c r="F2" s="820"/>
      <c r="G2" s="820"/>
      <c r="H2" s="820"/>
      <c r="I2" s="820"/>
      <c r="J2" s="820"/>
      <c r="K2" s="820"/>
      <c r="L2" s="820"/>
      <c r="M2" s="820"/>
      <c r="N2" s="820"/>
      <c r="O2" s="820"/>
      <c r="P2" s="821"/>
    </row>
    <row r="3" spans="1:16" x14ac:dyDescent="0.25">
      <c r="A3" s="846" t="s">
        <v>136</v>
      </c>
      <c r="B3" s="847" t="s">
        <v>462</v>
      </c>
      <c r="C3" s="848" t="s">
        <v>138</v>
      </c>
      <c r="D3" s="849" t="s">
        <v>157</v>
      </c>
      <c r="E3" s="824" t="s">
        <v>140</v>
      </c>
      <c r="F3" s="824"/>
      <c r="G3" s="824"/>
      <c r="H3" s="824"/>
      <c r="I3" s="824"/>
      <c r="J3" s="824"/>
      <c r="K3" s="203"/>
      <c r="L3" s="203"/>
      <c r="M3" s="203"/>
      <c r="N3" s="298"/>
      <c r="O3" s="842" t="s">
        <v>141</v>
      </c>
      <c r="P3" s="843"/>
    </row>
    <row r="4" spans="1:16" ht="54" x14ac:dyDescent="0.25">
      <c r="A4" s="792"/>
      <c r="B4" s="822"/>
      <c r="C4" s="798"/>
      <c r="D4" s="850"/>
      <c r="E4" s="96" t="s">
        <v>467</v>
      </c>
      <c r="F4" s="81" t="s">
        <v>468</v>
      </c>
      <c r="G4" s="96" t="s">
        <v>469</v>
      </c>
      <c r="H4" s="81" t="s">
        <v>470</v>
      </c>
      <c r="I4" s="81" t="s">
        <v>471</v>
      </c>
      <c r="J4" s="81" t="s">
        <v>472</v>
      </c>
      <c r="K4" s="96" t="s">
        <v>473</v>
      </c>
      <c r="L4" s="81" t="s">
        <v>474</v>
      </c>
      <c r="M4" s="96" t="s">
        <v>475</v>
      </c>
      <c r="N4" s="81" t="s">
        <v>476</v>
      </c>
      <c r="O4" s="805" t="s">
        <v>142</v>
      </c>
      <c r="P4" s="807" t="s">
        <v>143</v>
      </c>
    </row>
    <row r="5" spans="1:16" ht="38.25" customHeight="1" thickBot="1" x14ac:dyDescent="0.3">
      <c r="A5" s="793"/>
      <c r="B5" s="823"/>
      <c r="C5" s="799"/>
      <c r="D5" s="851"/>
      <c r="E5" s="83" t="s">
        <v>27</v>
      </c>
      <c r="F5" s="83" t="s">
        <v>27</v>
      </c>
      <c r="G5" s="83" t="s">
        <v>27</v>
      </c>
      <c r="H5" s="83" t="s">
        <v>27</v>
      </c>
      <c r="I5" s="83" t="s">
        <v>27</v>
      </c>
      <c r="J5" s="83" t="s">
        <v>27</v>
      </c>
      <c r="K5" s="83" t="s">
        <v>27</v>
      </c>
      <c r="L5" s="83" t="s">
        <v>27</v>
      </c>
      <c r="M5" s="83" t="s">
        <v>27</v>
      </c>
      <c r="N5" s="84" t="s">
        <v>27</v>
      </c>
      <c r="O5" s="844"/>
      <c r="P5" s="845"/>
    </row>
    <row r="6" spans="1:16" x14ac:dyDescent="0.25">
      <c r="A6" s="92">
        <v>1</v>
      </c>
      <c r="B6" s="100" t="s">
        <v>178</v>
      </c>
      <c r="C6" s="101" t="s">
        <v>28</v>
      </c>
      <c r="D6" s="102">
        <v>4</v>
      </c>
      <c r="E6" s="388">
        <v>34.9</v>
      </c>
      <c r="F6" s="388">
        <v>27.9</v>
      </c>
      <c r="G6" s="388">
        <v>34.5</v>
      </c>
      <c r="H6" s="388">
        <v>0</v>
      </c>
      <c r="I6" s="388">
        <v>0</v>
      </c>
      <c r="J6" s="388">
        <v>0</v>
      </c>
      <c r="K6" s="388">
        <v>0</v>
      </c>
      <c r="L6" s="388">
        <v>0</v>
      </c>
      <c r="M6" s="388">
        <v>0</v>
      </c>
      <c r="N6" s="388">
        <v>55</v>
      </c>
      <c r="O6" s="378">
        <f>AVERAGEIF(E6:N6,"&gt;0")</f>
        <v>38.075000000000003</v>
      </c>
      <c r="P6" s="380">
        <f t="shared" ref="P6:P11" si="0">O6*D6</f>
        <v>152.30000000000001</v>
      </c>
    </row>
    <row r="7" spans="1:16" x14ac:dyDescent="0.25">
      <c r="A7" s="89">
        <v>2</v>
      </c>
      <c r="B7" s="90" t="s">
        <v>433</v>
      </c>
      <c r="C7" s="97" t="s">
        <v>28</v>
      </c>
      <c r="D7" s="87">
        <v>4</v>
      </c>
      <c r="E7" s="388">
        <v>29.9</v>
      </c>
      <c r="F7" s="389">
        <v>19.899999999999999</v>
      </c>
      <c r="G7" s="389">
        <v>34.5</v>
      </c>
      <c r="H7" s="389">
        <v>0</v>
      </c>
      <c r="I7" s="389">
        <v>0</v>
      </c>
      <c r="J7" s="389">
        <v>0</v>
      </c>
      <c r="K7" s="389">
        <v>0</v>
      </c>
      <c r="L7" s="389">
        <v>0</v>
      </c>
      <c r="M7" s="389">
        <v>0</v>
      </c>
      <c r="N7" s="389">
        <v>0</v>
      </c>
      <c r="O7" s="378">
        <f t="shared" ref="O7:O11" si="1">AVERAGEIF(E7:N7,"&gt;0")</f>
        <v>28.099999999999998</v>
      </c>
      <c r="P7" s="381">
        <f t="shared" si="0"/>
        <v>112.39999999999999</v>
      </c>
    </row>
    <row r="8" spans="1:16" s="398" customFormat="1" x14ac:dyDescent="0.25">
      <c r="A8" s="89">
        <v>3</v>
      </c>
      <c r="B8" s="90" t="s">
        <v>432</v>
      </c>
      <c r="C8" s="97" t="s">
        <v>28</v>
      </c>
      <c r="D8" s="87">
        <v>1</v>
      </c>
      <c r="E8" s="388">
        <v>34</v>
      </c>
      <c r="F8" s="389">
        <v>24.9</v>
      </c>
      <c r="G8" s="389">
        <v>0</v>
      </c>
      <c r="H8" s="389">
        <v>0</v>
      </c>
      <c r="I8" s="389">
        <v>0</v>
      </c>
      <c r="J8" s="389">
        <v>0</v>
      </c>
      <c r="K8" s="389">
        <v>0</v>
      </c>
      <c r="L8" s="389">
        <v>0</v>
      </c>
      <c r="M8" s="389">
        <v>0</v>
      </c>
      <c r="N8" s="389">
        <v>59.9</v>
      </c>
      <c r="O8" s="378">
        <f t="shared" si="1"/>
        <v>39.6</v>
      </c>
      <c r="P8" s="381">
        <f t="shared" si="0"/>
        <v>39.6</v>
      </c>
    </row>
    <row r="9" spans="1:16" x14ac:dyDescent="0.25">
      <c r="A9" s="89">
        <v>4</v>
      </c>
      <c r="B9" s="103" t="s">
        <v>224</v>
      </c>
      <c r="C9" s="86" t="s">
        <v>29</v>
      </c>
      <c r="D9" s="87">
        <v>2</v>
      </c>
      <c r="E9" s="388">
        <v>44.9</v>
      </c>
      <c r="F9" s="389">
        <v>39.9</v>
      </c>
      <c r="G9" s="389">
        <v>0</v>
      </c>
      <c r="H9" s="389">
        <v>0</v>
      </c>
      <c r="I9" s="389">
        <v>0</v>
      </c>
      <c r="J9" s="389">
        <v>0</v>
      </c>
      <c r="K9" s="389">
        <v>0</v>
      </c>
      <c r="L9" s="389">
        <v>0</v>
      </c>
      <c r="M9" s="389">
        <v>0</v>
      </c>
      <c r="N9" s="389">
        <v>43</v>
      </c>
      <c r="O9" s="378">
        <f t="shared" si="1"/>
        <v>42.6</v>
      </c>
      <c r="P9" s="381">
        <f t="shared" si="0"/>
        <v>85.2</v>
      </c>
    </row>
    <row r="10" spans="1:16" x14ac:dyDescent="0.25">
      <c r="A10" s="89">
        <v>5</v>
      </c>
      <c r="B10" s="103" t="s">
        <v>145</v>
      </c>
      <c r="C10" s="86" t="s">
        <v>138</v>
      </c>
      <c r="D10" s="87">
        <v>1</v>
      </c>
      <c r="E10" s="388">
        <v>0</v>
      </c>
      <c r="F10" s="389">
        <v>0</v>
      </c>
      <c r="G10" s="389">
        <v>0</v>
      </c>
      <c r="H10" s="389">
        <v>0</v>
      </c>
      <c r="I10" s="389">
        <v>0</v>
      </c>
      <c r="J10" s="389">
        <v>0</v>
      </c>
      <c r="K10" s="389">
        <v>1.39</v>
      </c>
      <c r="L10" s="389">
        <v>4.99</v>
      </c>
      <c r="M10" s="389">
        <v>9.92</v>
      </c>
      <c r="N10" s="389">
        <v>0</v>
      </c>
      <c r="O10" s="378">
        <f t="shared" si="1"/>
        <v>5.4333333333333336</v>
      </c>
      <c r="P10" s="381">
        <f t="shared" si="0"/>
        <v>5.4333333333333336</v>
      </c>
    </row>
    <row r="11" spans="1:16" x14ac:dyDescent="0.25">
      <c r="A11" s="89">
        <v>6</v>
      </c>
      <c r="B11" s="90" t="s">
        <v>229</v>
      </c>
      <c r="C11" s="104" t="s">
        <v>29</v>
      </c>
      <c r="D11" s="87">
        <v>4</v>
      </c>
      <c r="E11" s="388">
        <v>0</v>
      </c>
      <c r="F11" s="389">
        <v>0</v>
      </c>
      <c r="G11" s="389">
        <v>0</v>
      </c>
      <c r="H11" s="389">
        <v>1.66</v>
      </c>
      <c r="I11" s="389">
        <v>2.5</v>
      </c>
      <c r="J11" s="389">
        <v>2.13</v>
      </c>
      <c r="K11" s="389">
        <v>0</v>
      </c>
      <c r="L11" s="389">
        <v>0</v>
      </c>
      <c r="M11" s="389">
        <v>0</v>
      </c>
      <c r="N11" s="389">
        <v>0</v>
      </c>
      <c r="O11" s="378">
        <f t="shared" si="1"/>
        <v>2.0966666666666667</v>
      </c>
      <c r="P11" s="381">
        <f t="shared" si="0"/>
        <v>8.3866666666666667</v>
      </c>
    </row>
    <row r="12" spans="1:16" ht="15.75" thickBot="1" x14ac:dyDescent="0.3">
      <c r="A12" s="105"/>
      <c r="B12" s="106"/>
      <c r="C12" s="107"/>
      <c r="D12" s="108"/>
      <c r="E12" s="315"/>
      <c r="F12" s="315"/>
      <c r="G12" s="315"/>
      <c r="H12" s="315"/>
      <c r="I12" s="315"/>
      <c r="J12" s="315"/>
      <c r="K12" s="315"/>
      <c r="L12" s="315"/>
      <c r="M12" s="315"/>
      <c r="N12" s="315"/>
      <c r="O12" s="109"/>
      <c r="P12" s="110"/>
    </row>
    <row r="13" spans="1:16" ht="15.75" thickBot="1" x14ac:dyDescent="0.3">
      <c r="A13" s="779" t="s">
        <v>548</v>
      </c>
      <c r="B13" s="780"/>
      <c r="C13" s="780"/>
      <c r="D13" s="780"/>
      <c r="E13" s="780"/>
      <c r="F13" s="780"/>
      <c r="G13" s="780"/>
      <c r="H13" s="780"/>
      <c r="I13" s="780"/>
      <c r="J13" s="780"/>
      <c r="K13" s="780"/>
      <c r="L13" s="780"/>
      <c r="M13" s="780"/>
      <c r="N13" s="780"/>
      <c r="O13" s="781"/>
      <c r="P13" s="130">
        <f>SUM(P6:P12)</f>
        <v>403.32</v>
      </c>
    </row>
    <row r="14" spans="1:16" ht="15.75" thickBot="1" x14ac:dyDescent="0.3">
      <c r="A14" s="93"/>
    </row>
    <row r="15" spans="1:16" ht="15.75" thickBot="1" x14ac:dyDescent="0.3">
      <c r="A15" s="840" t="s">
        <v>539</v>
      </c>
      <c r="B15" s="841"/>
      <c r="C15" s="841"/>
      <c r="D15" s="841"/>
      <c r="E15" s="841"/>
      <c r="F15" s="841"/>
      <c r="G15" s="841"/>
      <c r="H15" s="841"/>
      <c r="I15" s="841"/>
      <c r="J15" s="841"/>
      <c r="K15" s="841"/>
      <c r="L15" s="841"/>
      <c r="M15" s="841"/>
      <c r="N15" s="841"/>
      <c r="O15" s="841"/>
      <c r="P15" s="131">
        <f>P13/12</f>
        <v>33.61</v>
      </c>
    </row>
    <row r="16" spans="1:16" ht="15.75" thickBot="1" x14ac:dyDescent="0.3">
      <c r="A16" s="93"/>
      <c r="B16" s="839"/>
      <c r="C16" s="839"/>
      <c r="D16" s="839"/>
      <c r="E16" s="839"/>
      <c r="F16" s="839"/>
      <c r="G16" s="839"/>
      <c r="H16" s="839"/>
      <c r="I16" s="839"/>
      <c r="J16" s="839"/>
      <c r="K16" s="839"/>
      <c r="L16" s="839"/>
      <c r="M16" s="839"/>
      <c r="N16" s="839"/>
      <c r="O16" s="839"/>
      <c r="P16" s="839"/>
    </row>
    <row r="17" spans="1:16" ht="30.75" customHeight="1" thickBot="1" x14ac:dyDescent="0.3">
      <c r="A17" s="836" t="s">
        <v>463</v>
      </c>
      <c r="B17" s="837"/>
      <c r="C17" s="837"/>
      <c r="D17" s="837"/>
      <c r="E17" s="837"/>
      <c r="F17" s="837"/>
      <c r="G17" s="837"/>
      <c r="H17" s="837"/>
      <c r="I17" s="837"/>
      <c r="J17" s="837"/>
      <c r="K17" s="837"/>
      <c r="L17" s="837"/>
      <c r="M17" s="837"/>
      <c r="N17" s="837"/>
      <c r="O17" s="837"/>
      <c r="P17" s="838"/>
    </row>
    <row r="20" spans="1:16" x14ac:dyDescent="0.25">
      <c r="B20" s="306"/>
    </row>
  </sheetData>
  <mergeCells count="14">
    <mergeCell ref="A1:P1"/>
    <mergeCell ref="A17:P17"/>
    <mergeCell ref="B16:P16"/>
    <mergeCell ref="A15:O15"/>
    <mergeCell ref="E3:J3"/>
    <mergeCell ref="A13:O13"/>
    <mergeCell ref="A2:P2"/>
    <mergeCell ref="O3:P3"/>
    <mergeCell ref="O4:O5"/>
    <mergeCell ref="P4:P5"/>
    <mergeCell ref="A3:A5"/>
    <mergeCell ref="B3:B5"/>
    <mergeCell ref="C3:C5"/>
    <mergeCell ref="D3:D5"/>
  </mergeCells>
  <pageMargins left="0.70866141732283472" right="0.31496062992125984" top="0.78740157480314965" bottom="0.59055118110236227" header="0.31496062992125984" footer="0.31496062992125984"/>
  <pageSetup paperSize="9" scale="76" orientation="landscape" r:id="rId1"/>
  <headerFooter>
    <oddFooter>&amp;L&amp;F&amp;C&amp;A&amp;R&amp;P de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8"/>
  <sheetViews>
    <sheetView workbookViewId="0">
      <selection sqref="A1:F1"/>
    </sheetView>
  </sheetViews>
  <sheetFormatPr defaultRowHeight="15" x14ac:dyDescent="0.25"/>
  <cols>
    <col min="2" max="2" width="82.140625" bestFit="1" customWidth="1"/>
    <col min="3" max="3" width="18.85546875" bestFit="1" customWidth="1"/>
    <col min="4" max="4" width="20" bestFit="1" customWidth="1"/>
    <col min="5" max="5" width="22.42578125" bestFit="1" customWidth="1"/>
    <col min="6" max="6" width="24.140625" customWidth="1"/>
  </cols>
  <sheetData>
    <row r="1" spans="1:6" ht="15.75" thickBot="1" x14ac:dyDescent="0.3">
      <c r="A1" s="855" t="s">
        <v>235</v>
      </c>
      <c r="B1" s="856"/>
      <c r="C1" s="856"/>
      <c r="D1" s="856"/>
      <c r="E1" s="856"/>
      <c r="F1" s="857"/>
    </row>
    <row r="2" spans="1:6" ht="15.75" thickBot="1" x14ac:dyDescent="0.3"/>
    <row r="3" spans="1:6" ht="15.75" thickBot="1" x14ac:dyDescent="0.3">
      <c r="A3" s="852" t="s">
        <v>30</v>
      </c>
      <c r="B3" s="853"/>
      <c r="C3" s="853"/>
      <c r="D3" s="853"/>
      <c r="E3" s="853"/>
      <c r="F3" s="854"/>
    </row>
    <row r="4" spans="1:6" ht="30.75" thickBot="1" x14ac:dyDescent="0.3">
      <c r="A4" s="15"/>
      <c r="B4" s="16" t="s">
        <v>31</v>
      </c>
      <c r="C4" s="13" t="s">
        <v>232</v>
      </c>
      <c r="D4" s="13" t="s">
        <v>233</v>
      </c>
      <c r="E4" s="13" t="s">
        <v>234</v>
      </c>
      <c r="F4" s="329" t="s">
        <v>126</v>
      </c>
    </row>
    <row r="5" spans="1:6" x14ac:dyDescent="0.25">
      <c r="A5" s="14" t="s">
        <v>32</v>
      </c>
      <c r="B5" s="5" t="s">
        <v>94</v>
      </c>
      <c r="C5" s="17">
        <f>'PCFP-Servente'!D141</f>
        <v>1287.96</v>
      </c>
      <c r="D5" s="17">
        <f>'PCFP-Jardineiro'!D141</f>
        <v>1901.53</v>
      </c>
      <c r="E5" s="17">
        <f>'PCFP-Encarregado'!D141</f>
        <v>2575.91</v>
      </c>
      <c r="F5" s="330"/>
    </row>
    <row r="6" spans="1:6" x14ac:dyDescent="0.25">
      <c r="A6" s="1" t="s">
        <v>33</v>
      </c>
      <c r="B6" s="3" t="s">
        <v>93</v>
      </c>
      <c r="C6" s="2">
        <f>'PCFP-Servente'!D142</f>
        <v>1627.86441068</v>
      </c>
      <c r="D6" s="2">
        <f>'PCFP-Jardineiro'!D142</f>
        <v>1942.21656949</v>
      </c>
      <c r="E6" s="2">
        <f>'PCFP-Encarregado'!D142</f>
        <v>2287.7236980299999</v>
      </c>
      <c r="F6" s="331"/>
    </row>
    <row r="7" spans="1:6" x14ac:dyDescent="0.25">
      <c r="A7" s="1" t="s">
        <v>34</v>
      </c>
      <c r="B7" s="3" t="s">
        <v>92</v>
      </c>
      <c r="C7" s="2">
        <f>'PCFP-Servente'!D143</f>
        <v>86.535661424429605</v>
      </c>
      <c r="D7" s="2">
        <f>'PCFP-Jardineiro'!D143</f>
        <v>127.76030021770519</v>
      </c>
      <c r="E7" s="2">
        <f>'PCFP-Encarregado'!D143</f>
        <v>173.07065096726791</v>
      </c>
      <c r="F7" s="331"/>
    </row>
    <row r="8" spans="1:6" x14ac:dyDescent="0.25">
      <c r="A8" s="1" t="s">
        <v>35</v>
      </c>
      <c r="B8" s="3" t="s">
        <v>91</v>
      </c>
      <c r="C8" s="2">
        <f>'PCFP-Servente'!D144</f>
        <v>200.27281362624001</v>
      </c>
      <c r="D8" s="2">
        <f>'PCFP-Jardineiro'!D144</f>
        <v>295.68058270032009</v>
      </c>
      <c r="E8" s="2">
        <f>'PCFP-Encarregado'!D144</f>
        <v>400.54407229104004</v>
      </c>
      <c r="F8" s="331"/>
    </row>
    <row r="9" spans="1:6" x14ac:dyDescent="0.25">
      <c r="A9" s="1" t="s">
        <v>36</v>
      </c>
      <c r="B9" s="3" t="s">
        <v>89</v>
      </c>
      <c r="C9" s="2">
        <f>'PCFP-Servente'!D145</f>
        <v>423.30155290674605</v>
      </c>
      <c r="D9" s="2">
        <f>'PCFP-Jardineiro'!D145</f>
        <v>427.25219735119049</v>
      </c>
      <c r="E9" s="2">
        <f>'PCFP-Encarregado'!D145</f>
        <v>39.253611111111113</v>
      </c>
      <c r="F9" s="331"/>
    </row>
    <row r="10" spans="1:6" x14ac:dyDescent="0.25">
      <c r="A10" s="1"/>
      <c r="B10" s="4" t="s">
        <v>95</v>
      </c>
      <c r="C10" s="2">
        <f>SUM(C5:C9)</f>
        <v>3625.934438637416</v>
      </c>
      <c r="D10" s="2">
        <f t="shared" ref="D10:E10" si="0">SUM(D5:D9)</f>
        <v>4694.4396497592161</v>
      </c>
      <c r="E10" s="2">
        <f t="shared" si="0"/>
        <v>5476.5020323994195</v>
      </c>
      <c r="F10" s="331"/>
    </row>
    <row r="11" spans="1:6" x14ac:dyDescent="0.25">
      <c r="A11" s="1" t="s">
        <v>62</v>
      </c>
      <c r="B11" s="6" t="s">
        <v>97</v>
      </c>
      <c r="C11" s="2">
        <f>'PCFP-Servente'!D147</f>
        <v>791.87073947253975</v>
      </c>
      <c r="D11" s="2">
        <f>'PCFP-Jardineiro'!D147</f>
        <v>1025.2224522462666</v>
      </c>
      <c r="E11" s="2">
        <f>'PCFP-Encarregado'!D147</f>
        <v>1196.0176852366558</v>
      </c>
      <c r="F11" s="331"/>
    </row>
    <row r="12" spans="1:6" ht="15.75" thickBot="1" x14ac:dyDescent="0.3">
      <c r="A12" s="7"/>
      <c r="B12" s="8" t="s">
        <v>128</v>
      </c>
      <c r="C12" s="390">
        <f>'PCFP-Servente'!D148</f>
        <v>4417.8051781099557</v>
      </c>
      <c r="D12" s="390">
        <f>'PCFP-Jardineiro'!D148</f>
        <v>5719.6621020054827</v>
      </c>
      <c r="E12" s="390">
        <f>'PCFP-Encarregado'!D148</f>
        <v>6672.5197176360753</v>
      </c>
      <c r="F12" s="331"/>
    </row>
    <row r="13" spans="1:6" ht="15.75" thickBot="1" x14ac:dyDescent="0.3">
      <c r="A13" s="13"/>
      <c r="B13" s="12" t="s">
        <v>38</v>
      </c>
      <c r="C13" s="391">
        <f>'Preço por m²'!N21</f>
        <v>13.000000024224105</v>
      </c>
      <c r="D13" s="391">
        <f>'Preço por m²'!N23</f>
        <v>1.0000000000019331</v>
      </c>
      <c r="E13" s="391">
        <v>1</v>
      </c>
      <c r="F13" s="331"/>
    </row>
    <row r="14" spans="1:6" ht="15.75" thickBot="1" x14ac:dyDescent="0.3">
      <c r="A14" s="13"/>
      <c r="B14" s="12" t="s">
        <v>127</v>
      </c>
      <c r="C14" s="334">
        <f>C12*C13</f>
        <v>57431.467422446804</v>
      </c>
      <c r="D14" s="334">
        <f t="shared" ref="D14:E14" si="1">D12*D13</f>
        <v>5719.6621020165394</v>
      </c>
      <c r="E14" s="334">
        <f t="shared" si="1"/>
        <v>6672.5197176360753</v>
      </c>
      <c r="F14" s="331"/>
    </row>
    <row r="15" spans="1:6" ht="15.75" thickBot="1" x14ac:dyDescent="0.3">
      <c r="A15" s="9"/>
      <c r="B15" s="10" t="s">
        <v>39</v>
      </c>
      <c r="C15" s="11">
        <v>12</v>
      </c>
      <c r="D15" s="11">
        <v>12</v>
      </c>
      <c r="E15" s="11">
        <v>12</v>
      </c>
      <c r="F15" s="332"/>
    </row>
    <row r="16" spans="1:6" ht="15.75" thickBot="1" x14ac:dyDescent="0.3">
      <c r="A16" s="13"/>
      <c r="B16" s="12" t="s">
        <v>126</v>
      </c>
      <c r="C16" s="334">
        <f>C14*C15</f>
        <v>689177.60906936158</v>
      </c>
      <c r="D16" s="334">
        <f t="shared" ref="D16:E16" si="2">D14*D15</f>
        <v>68635.945224198469</v>
      </c>
      <c r="E16" s="334">
        <f t="shared" si="2"/>
        <v>80070.236611632907</v>
      </c>
      <c r="F16" s="333">
        <f>SUM(C16:E16)</f>
        <v>837883.79090519296</v>
      </c>
    </row>
    <row r="18" spans="5:6" x14ac:dyDescent="0.25">
      <c r="E18" s="358" t="s">
        <v>414</v>
      </c>
      <c r="F18" s="359">
        <f>F16/12</f>
        <v>69823.649242099418</v>
      </c>
    </row>
  </sheetData>
  <mergeCells count="2">
    <mergeCell ref="A3:F3"/>
    <mergeCell ref="A1:F1"/>
  </mergeCells>
  <pageMargins left="0.51181102362204722" right="0.51181102362204722" top="0.78740157480314965" bottom="0.78740157480314965" header="0.31496062992125984" footer="0.31496062992125984"/>
  <pageSetup paperSize="9" scale="77" orientation="landscape" r:id="rId1"/>
  <headerFooter>
    <oddFooter>&amp;L&amp;F&amp;C&amp;A&amp;R&amp;N de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5"/>
  <sheetViews>
    <sheetView zoomScale="90" zoomScaleNormal="90" workbookViewId="0">
      <selection activeCell="B3" sqref="B3"/>
    </sheetView>
  </sheetViews>
  <sheetFormatPr defaultRowHeight="15" x14ac:dyDescent="0.25"/>
  <cols>
    <col min="1" max="1" width="22.42578125" customWidth="1"/>
    <col min="2" max="2" width="12" bestFit="1" customWidth="1"/>
  </cols>
  <sheetData>
    <row r="1" spans="1:2" x14ac:dyDescent="0.25">
      <c r="A1" t="s">
        <v>146</v>
      </c>
    </row>
    <row r="3" spans="1:2" x14ac:dyDescent="0.25">
      <c r="A3" s="113" t="s">
        <v>236</v>
      </c>
      <c r="B3">
        <f>'PCFP-Servente'!D148/'PCFP-Servente'!D47</f>
        <v>3.4300794885788033</v>
      </c>
    </row>
    <row r="4" spans="1:2" x14ac:dyDescent="0.25">
      <c r="A4" s="113" t="s">
        <v>237</v>
      </c>
      <c r="B4">
        <f>'PCFP-Jardineiro'!D148/'PCFP-Jardineiro'!D47</f>
        <v>3.0079263025066565</v>
      </c>
    </row>
    <row r="5" spans="1:2" x14ac:dyDescent="0.25">
      <c r="A5" s="113" t="s">
        <v>238</v>
      </c>
      <c r="B5">
        <f>'PCFP-Encarregado'!D148/'PCFP-Encarregado'!D47</f>
        <v>2.5903543670532261</v>
      </c>
    </row>
  </sheetData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PCFP-Servente</vt:lpstr>
      <vt:lpstr>PCFP-Jardineiro</vt:lpstr>
      <vt:lpstr>PCFP-Encarregado</vt:lpstr>
      <vt:lpstr>Materiais</vt:lpstr>
      <vt:lpstr>EPI's</vt:lpstr>
      <vt:lpstr>EQP's</vt:lpstr>
      <vt:lpstr>Uniformes</vt:lpstr>
      <vt:lpstr>Totalização</vt:lpstr>
      <vt:lpstr>Fator K</vt:lpstr>
      <vt:lpstr>Preço por m²</vt:lpstr>
      <vt:lpstr>Quadro de horas</vt:lpstr>
      <vt:lpstr> Área CNC3 e SAN Consolidadas</vt:lpstr>
      <vt:lpstr>Áreas SAN-Detalhada</vt:lpstr>
      <vt:lpstr>Áreas CNC3-Detalhada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Ednaldo Rodrigues</dc:creator>
  <cp:lastModifiedBy>Usuário do Windows</cp:lastModifiedBy>
  <cp:lastPrinted>2021-04-30T19:23:12Z</cp:lastPrinted>
  <dcterms:created xsi:type="dcterms:W3CDTF">2019-10-01T01:38:00Z</dcterms:created>
  <dcterms:modified xsi:type="dcterms:W3CDTF">2021-05-21T13:23:14Z</dcterms:modified>
</cp:coreProperties>
</file>