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cdf1001\anac\SAS\GEAC\Dados econômicos\Documentos Contábeis\Demonstrações Contábeis Publicadas\14\"/>
    </mc:Choice>
  </mc:AlternateContent>
  <bookViews>
    <workbookView xWindow="0" yWindow="0" windowWidth="24000" windowHeight="9135" activeTab="1"/>
  </bookViews>
  <sheets>
    <sheet name="DRE 2014" sheetId="12" r:id="rId1"/>
    <sheet name="BP 2014" sheetId="1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7" i="12" l="1"/>
  <c r="O102" i="12" s="1"/>
  <c r="O93" i="12"/>
  <c r="O92" i="12"/>
  <c r="O73" i="12"/>
  <c r="O63" i="12"/>
  <c r="O66" i="12" s="1"/>
  <c r="O44" i="12"/>
  <c r="O34" i="12"/>
  <c r="O15" i="12"/>
  <c r="O5" i="12"/>
  <c r="N100" i="12"/>
  <c r="N97" i="12"/>
  <c r="N93" i="12"/>
  <c r="N90" i="12"/>
  <c r="N73" i="12"/>
  <c r="N63" i="12"/>
  <c r="N66" i="12" s="1"/>
  <c r="N44" i="12"/>
  <c r="N35" i="12"/>
  <c r="N34" i="12"/>
  <c r="N10" i="12"/>
  <c r="N15" i="12" s="1"/>
  <c r="N6" i="12"/>
  <c r="N3" i="12"/>
  <c r="M105" i="12"/>
  <c r="M101" i="12"/>
  <c r="M100" i="12"/>
  <c r="M98" i="12"/>
  <c r="M97" i="12"/>
  <c r="M94" i="12"/>
  <c r="M93" i="12"/>
  <c r="M91" i="12"/>
  <c r="M90" i="12"/>
  <c r="M76" i="12"/>
  <c r="M72" i="12"/>
  <c r="M71" i="12"/>
  <c r="M69" i="12"/>
  <c r="M68" i="12"/>
  <c r="M64" i="12"/>
  <c r="M62" i="12"/>
  <c r="M61" i="12"/>
  <c r="M43" i="12"/>
  <c r="M42" i="12"/>
  <c r="M40" i="12"/>
  <c r="M39" i="12"/>
  <c r="M35" i="12"/>
  <c r="M33" i="12"/>
  <c r="M32" i="12"/>
  <c r="M27" i="12"/>
  <c r="M15" i="12"/>
  <c r="M5" i="12"/>
  <c r="M8" i="12" s="1"/>
  <c r="L97" i="12"/>
  <c r="L102" i="12" s="1"/>
  <c r="L93" i="12"/>
  <c r="L90" i="12"/>
  <c r="L73" i="12"/>
  <c r="L64" i="12"/>
  <c r="L63" i="12"/>
  <c r="L39" i="12"/>
  <c r="L44" i="12" s="1"/>
  <c r="L32" i="12"/>
  <c r="L34" i="12" s="1"/>
  <c r="L15" i="12"/>
  <c r="L3" i="12"/>
  <c r="L5" i="12" s="1"/>
  <c r="J98" i="12"/>
  <c r="J97" i="12"/>
  <c r="J93" i="12"/>
  <c r="J91" i="12"/>
  <c r="J90" i="12"/>
  <c r="J92" i="12" s="1"/>
  <c r="J85" i="12"/>
  <c r="J83" i="12"/>
  <c r="J82" i="12"/>
  <c r="J73" i="12"/>
  <c r="J63" i="12"/>
  <c r="J66" i="12" s="1"/>
  <c r="J45" i="12"/>
  <c r="J40" i="12"/>
  <c r="J39" i="12"/>
  <c r="J35" i="12"/>
  <c r="J33" i="12"/>
  <c r="J34" i="12" s="1"/>
  <c r="J32" i="12"/>
  <c r="J16" i="12"/>
  <c r="J11" i="12"/>
  <c r="J10" i="12"/>
  <c r="J6" i="12"/>
  <c r="J4" i="12"/>
  <c r="J3" i="12"/>
  <c r="I114" i="12"/>
  <c r="I112" i="12"/>
  <c r="I111" i="12"/>
  <c r="I102" i="12"/>
  <c r="I92" i="12"/>
  <c r="I95" i="12" s="1"/>
  <c r="I72" i="12"/>
  <c r="I68" i="12"/>
  <c r="I64" i="12"/>
  <c r="I62" i="12"/>
  <c r="I61" i="12"/>
  <c r="I43" i="12"/>
  <c r="I40" i="12"/>
  <c r="I35" i="12"/>
  <c r="I33" i="12"/>
  <c r="I32" i="12"/>
  <c r="I11" i="12"/>
  <c r="I15" i="12" s="1"/>
  <c r="I6" i="12"/>
  <c r="I4" i="12"/>
  <c r="I3" i="12"/>
  <c r="G105" i="12"/>
  <c r="G98" i="12"/>
  <c r="G97" i="12"/>
  <c r="G93" i="12"/>
  <c r="G91" i="12"/>
  <c r="G90" i="12"/>
  <c r="G76" i="12"/>
  <c r="G74" i="12"/>
  <c r="G68" i="12"/>
  <c r="G73" i="12" s="1"/>
  <c r="G64" i="12"/>
  <c r="G62" i="12"/>
  <c r="G61" i="12"/>
  <c r="G47" i="12"/>
  <c r="G45" i="12"/>
  <c r="G44" i="12"/>
  <c r="G35" i="12"/>
  <c r="G33" i="12"/>
  <c r="G32" i="12"/>
  <c r="G18" i="12"/>
  <c r="G16" i="12"/>
  <c r="G15" i="12"/>
  <c r="G6" i="12"/>
  <c r="G4" i="12"/>
  <c r="G3" i="12"/>
  <c r="G5" i="12" s="1"/>
  <c r="D105" i="12"/>
  <c r="D97" i="12"/>
  <c r="D102" i="12" s="1"/>
  <c r="D93" i="12"/>
  <c r="D90" i="12"/>
  <c r="D92" i="12" s="1"/>
  <c r="D68" i="12"/>
  <c r="D73" i="12" s="1"/>
  <c r="D64" i="12"/>
  <c r="D61" i="12"/>
  <c r="D44" i="12"/>
  <c r="D35" i="12"/>
  <c r="D34" i="12"/>
  <c r="D32" i="12"/>
  <c r="D11" i="12"/>
  <c r="D15" i="12" s="1"/>
  <c r="D6" i="12"/>
  <c r="D4" i="12"/>
  <c r="D3" i="12"/>
  <c r="C105" i="12"/>
  <c r="C103" i="12"/>
  <c r="C101" i="12"/>
  <c r="C98" i="12"/>
  <c r="C97" i="12"/>
  <c r="C93" i="12"/>
  <c r="C91" i="12"/>
  <c r="C90" i="12"/>
  <c r="E5" i="12"/>
  <c r="E8" i="12" s="1"/>
  <c r="E15" i="12"/>
  <c r="E34" i="12"/>
  <c r="E37" i="12" s="1"/>
  <c r="E39" i="12"/>
  <c r="E44" i="12" s="1"/>
  <c r="E61" i="12"/>
  <c r="E64" i="12"/>
  <c r="E68" i="12"/>
  <c r="E73" i="12" s="1"/>
  <c r="E92" i="12"/>
  <c r="E93" i="12"/>
  <c r="E102" i="12"/>
  <c r="B100" i="12"/>
  <c r="B97" i="12"/>
  <c r="B93" i="12"/>
  <c r="B92" i="12"/>
  <c r="B73" i="12"/>
  <c r="B64" i="12"/>
  <c r="B63" i="12"/>
  <c r="B44" i="12"/>
  <c r="B35" i="12"/>
  <c r="B34" i="12"/>
  <c r="B15" i="12"/>
  <c r="B6" i="12"/>
  <c r="B5" i="12"/>
  <c r="J95" i="12" l="1"/>
  <c r="O95" i="12"/>
  <c r="O104" i="12" s="1"/>
  <c r="O107" i="12" s="1"/>
  <c r="M34" i="12"/>
  <c r="N37" i="12"/>
  <c r="C102" i="12"/>
  <c r="I44" i="12"/>
  <c r="G34" i="12"/>
  <c r="G92" i="12"/>
  <c r="G95" i="12" s="1"/>
  <c r="B37" i="12"/>
  <c r="E17" i="12"/>
  <c r="E20" i="12" s="1"/>
  <c r="J15" i="12"/>
  <c r="O37" i="12"/>
  <c r="I5" i="12"/>
  <c r="I8" i="12" s="1"/>
  <c r="I34" i="12"/>
  <c r="I63" i="12"/>
  <c r="I66" i="12" s="1"/>
  <c r="I73" i="12"/>
  <c r="J44" i="12"/>
  <c r="M73" i="12"/>
  <c r="N102" i="12"/>
  <c r="M44" i="12"/>
  <c r="M102" i="12"/>
  <c r="O75" i="12"/>
  <c r="O78" i="12" s="1"/>
  <c r="O8" i="12"/>
  <c r="N75" i="12"/>
  <c r="N78" i="12" s="1"/>
  <c r="N5" i="12"/>
  <c r="N46" i="12"/>
  <c r="N49" i="12" s="1"/>
  <c r="N92" i="12"/>
  <c r="M26" i="12"/>
  <c r="M17" i="12"/>
  <c r="M20" i="12" s="1"/>
  <c r="M24" i="12"/>
  <c r="M63" i="12"/>
  <c r="M92" i="12"/>
  <c r="M95" i="12" s="1"/>
  <c r="L8" i="12"/>
  <c r="L37" i="12"/>
  <c r="L92" i="12"/>
  <c r="L95" i="12" s="1"/>
  <c r="L104" i="12" s="1"/>
  <c r="L107" i="12" s="1"/>
  <c r="L66" i="12"/>
  <c r="J75" i="12"/>
  <c r="J78" i="12" s="1"/>
  <c r="J80" i="12" s="1"/>
  <c r="B102" i="12"/>
  <c r="E95" i="12"/>
  <c r="G102" i="12"/>
  <c r="J102" i="12"/>
  <c r="J104" i="12" s="1"/>
  <c r="J107" i="12" s="1"/>
  <c r="J81" i="12"/>
  <c r="J84" i="12"/>
  <c r="J37" i="12"/>
  <c r="J5" i="12"/>
  <c r="I113" i="12"/>
  <c r="I104" i="12"/>
  <c r="I107" i="12" s="1"/>
  <c r="G8" i="12"/>
  <c r="G63" i="12"/>
  <c r="D95" i="12"/>
  <c r="D5" i="12"/>
  <c r="D37" i="12"/>
  <c r="D63" i="12"/>
  <c r="D66" i="12" s="1"/>
  <c r="E46" i="12"/>
  <c r="E49" i="12" s="1"/>
  <c r="E63" i="12"/>
  <c r="E66" i="12" s="1"/>
  <c r="C92" i="12"/>
  <c r="C95" i="12" s="1"/>
  <c r="B8" i="12"/>
  <c r="B66" i="12"/>
  <c r="B95" i="12"/>
  <c r="E4" i="13"/>
  <c r="F4" i="13"/>
  <c r="G4" i="13"/>
  <c r="H4" i="13"/>
  <c r="I4" i="13"/>
  <c r="J4" i="13"/>
  <c r="L4" i="13"/>
  <c r="M4" i="13"/>
  <c r="N4" i="13"/>
  <c r="B5" i="13"/>
  <c r="D5" i="13"/>
  <c r="D3" i="13" s="1"/>
  <c r="C6" i="13"/>
  <c r="E6" i="13"/>
  <c r="F6" i="13"/>
  <c r="G6" i="13"/>
  <c r="H6" i="13"/>
  <c r="I6" i="13"/>
  <c r="J6" i="13"/>
  <c r="L6" i="13"/>
  <c r="M6" i="13"/>
  <c r="N6" i="13"/>
  <c r="O6" i="13"/>
  <c r="C7" i="13"/>
  <c r="E7" i="13"/>
  <c r="F7" i="13"/>
  <c r="G7" i="13"/>
  <c r="H7" i="13"/>
  <c r="I7" i="13"/>
  <c r="J7" i="13"/>
  <c r="L7" i="13"/>
  <c r="M7" i="13"/>
  <c r="N7" i="13"/>
  <c r="O7" i="13"/>
  <c r="P7" i="13"/>
  <c r="P5" i="13" s="1"/>
  <c r="P3" i="13" s="1"/>
  <c r="I8" i="13"/>
  <c r="C10" i="13"/>
  <c r="C18" i="13" s="1"/>
  <c r="E10" i="13"/>
  <c r="F10" i="13"/>
  <c r="G10" i="13"/>
  <c r="H10" i="13"/>
  <c r="I10" i="13"/>
  <c r="J10" i="13"/>
  <c r="L10" i="13"/>
  <c r="M10" i="13"/>
  <c r="N10" i="13"/>
  <c r="C11" i="13"/>
  <c r="F11" i="13"/>
  <c r="G11" i="13"/>
  <c r="H11" i="13"/>
  <c r="I11" i="13"/>
  <c r="J11" i="13"/>
  <c r="L11" i="13"/>
  <c r="M11" i="13"/>
  <c r="N11" i="13"/>
  <c r="B12" i="13"/>
  <c r="B20" i="13" s="1"/>
  <c r="D12" i="13"/>
  <c r="D26" i="13" s="1"/>
  <c r="O12" i="13"/>
  <c r="O9" i="13" s="1"/>
  <c r="P12" i="13"/>
  <c r="E13" i="13"/>
  <c r="F13" i="13"/>
  <c r="G13" i="13"/>
  <c r="H13" i="13"/>
  <c r="I13" i="13"/>
  <c r="J13" i="13"/>
  <c r="L13" i="13"/>
  <c r="M13" i="13"/>
  <c r="M12" i="13" s="1"/>
  <c r="N13" i="13"/>
  <c r="E14" i="13"/>
  <c r="F14" i="13"/>
  <c r="G14" i="13"/>
  <c r="H14" i="13"/>
  <c r="I14" i="13"/>
  <c r="J14" i="13"/>
  <c r="N14" i="13"/>
  <c r="F15" i="13"/>
  <c r="G15" i="13"/>
  <c r="H15" i="13"/>
  <c r="J15" i="13"/>
  <c r="N15" i="13"/>
  <c r="C16" i="13"/>
  <c r="E16" i="13"/>
  <c r="F16" i="13"/>
  <c r="H16" i="13"/>
  <c r="I16" i="13"/>
  <c r="L16" i="13"/>
  <c r="N16" i="13"/>
  <c r="B18" i="13"/>
  <c r="D18" i="13"/>
  <c r="O18" i="13"/>
  <c r="P18" i="13"/>
  <c r="B19" i="13"/>
  <c r="D19" i="13"/>
  <c r="P19" i="13"/>
  <c r="B24" i="13"/>
  <c r="D24" i="13"/>
  <c r="O24" i="13"/>
  <c r="P24" i="13"/>
  <c r="C31" i="13"/>
  <c r="E31" i="13"/>
  <c r="G31" i="13"/>
  <c r="H31" i="13"/>
  <c r="I31" i="13"/>
  <c r="J31" i="13"/>
  <c r="L31" i="13"/>
  <c r="N31" i="13"/>
  <c r="O31" i="13"/>
  <c r="O46" i="13" s="1"/>
  <c r="B32" i="13"/>
  <c r="D32" i="13"/>
  <c r="D30" i="13" s="1"/>
  <c r="D48" i="13" s="1"/>
  <c r="M32" i="13"/>
  <c r="M30" i="13" s="1"/>
  <c r="O32" i="13"/>
  <c r="P32" i="13"/>
  <c r="P30" i="13" s="1"/>
  <c r="P48" i="13" s="1"/>
  <c r="C33" i="13"/>
  <c r="E33" i="13"/>
  <c r="F33" i="13"/>
  <c r="G33" i="13"/>
  <c r="H33" i="13"/>
  <c r="I33" i="13"/>
  <c r="J33" i="13"/>
  <c r="L33" i="13"/>
  <c r="N33" i="13"/>
  <c r="C34" i="13"/>
  <c r="E34" i="13"/>
  <c r="F34" i="13"/>
  <c r="G34" i="13"/>
  <c r="H34" i="13"/>
  <c r="I34" i="13"/>
  <c r="J34" i="13"/>
  <c r="L34" i="13"/>
  <c r="N34" i="13"/>
  <c r="I35" i="13"/>
  <c r="C37" i="13"/>
  <c r="E37" i="13"/>
  <c r="F37" i="13"/>
  <c r="G37" i="13"/>
  <c r="H37" i="13"/>
  <c r="I37" i="13"/>
  <c r="J37" i="13"/>
  <c r="L37" i="13"/>
  <c r="N37" i="13"/>
  <c r="C38" i="13"/>
  <c r="E38" i="13"/>
  <c r="F38" i="13"/>
  <c r="G38" i="13"/>
  <c r="H38" i="13"/>
  <c r="I38" i="13"/>
  <c r="J38" i="13"/>
  <c r="L38" i="13"/>
  <c r="M38" i="13"/>
  <c r="N38" i="13"/>
  <c r="B39" i="13"/>
  <c r="B47" i="13" s="1"/>
  <c r="O39" i="13"/>
  <c r="P39" i="13"/>
  <c r="P52" i="13" s="1"/>
  <c r="C40" i="13"/>
  <c r="D40" i="13"/>
  <c r="D51" i="13" s="1"/>
  <c r="E40" i="13"/>
  <c r="F40" i="13"/>
  <c r="G40" i="13"/>
  <c r="H40" i="13"/>
  <c r="I40" i="13"/>
  <c r="J40" i="13"/>
  <c r="L40" i="13"/>
  <c r="N40" i="13"/>
  <c r="E41" i="13"/>
  <c r="G41" i="13"/>
  <c r="H41" i="13"/>
  <c r="I41" i="13"/>
  <c r="J41" i="13"/>
  <c r="N41" i="13"/>
  <c r="G42" i="13"/>
  <c r="H42" i="13"/>
  <c r="J42" i="13"/>
  <c r="N42" i="13"/>
  <c r="C43" i="13"/>
  <c r="F43" i="13"/>
  <c r="H43" i="13"/>
  <c r="I43" i="13"/>
  <c r="L43" i="13"/>
  <c r="M43" i="13"/>
  <c r="M39" i="13" s="1"/>
  <c r="N43" i="13"/>
  <c r="B45" i="13"/>
  <c r="D45" i="13"/>
  <c r="M45" i="13"/>
  <c r="P45" i="13"/>
  <c r="B46" i="13"/>
  <c r="D46" i="13"/>
  <c r="P46" i="13"/>
  <c r="B51" i="13"/>
  <c r="O51" i="13"/>
  <c r="P51" i="13"/>
  <c r="C58" i="13"/>
  <c r="E58" i="13"/>
  <c r="F58" i="13"/>
  <c r="G58" i="13"/>
  <c r="H58" i="13"/>
  <c r="I58" i="13"/>
  <c r="N58" i="13"/>
  <c r="B59" i="13"/>
  <c r="D59" i="13"/>
  <c r="D57" i="13" s="1"/>
  <c r="J59" i="13"/>
  <c r="J57" i="13" s="1"/>
  <c r="P59" i="13"/>
  <c r="P57" i="13" s="1"/>
  <c r="C60" i="13"/>
  <c r="E60" i="13"/>
  <c r="F60" i="13"/>
  <c r="G60" i="13"/>
  <c r="H60" i="13"/>
  <c r="I60" i="13"/>
  <c r="L60" i="13"/>
  <c r="N60" i="13"/>
  <c r="C61" i="13"/>
  <c r="E61" i="13"/>
  <c r="F61" i="13"/>
  <c r="G61" i="13"/>
  <c r="H61" i="13"/>
  <c r="I61" i="13"/>
  <c r="L61" i="13"/>
  <c r="N61" i="13"/>
  <c r="O61" i="13"/>
  <c r="O59" i="13" s="1"/>
  <c r="O57" i="13" s="1"/>
  <c r="I62" i="13"/>
  <c r="M62" i="13"/>
  <c r="M59" i="13" s="1"/>
  <c r="M57" i="13" s="1"/>
  <c r="C64" i="13"/>
  <c r="D72" i="13"/>
  <c r="E64" i="13"/>
  <c r="F64" i="13"/>
  <c r="G64" i="13"/>
  <c r="H64" i="13"/>
  <c r="I64" i="13"/>
  <c r="L64" i="13"/>
  <c r="L72" i="13" s="1"/>
  <c r="N64" i="13"/>
  <c r="O64" i="13"/>
  <c r="O72" i="13" s="1"/>
  <c r="C65" i="13"/>
  <c r="E65" i="13"/>
  <c r="F65" i="13"/>
  <c r="G65" i="13"/>
  <c r="H65" i="13"/>
  <c r="I65" i="13"/>
  <c r="L65" i="13"/>
  <c r="N65" i="13"/>
  <c r="O65" i="13"/>
  <c r="O73" i="13" s="1"/>
  <c r="B66" i="13"/>
  <c r="D66" i="13"/>
  <c r="D74" i="13" s="1"/>
  <c r="J66" i="13"/>
  <c r="J63" i="13" s="1"/>
  <c r="M66" i="13"/>
  <c r="M74" i="13" s="1"/>
  <c r="P66" i="13"/>
  <c r="P63" i="13" s="1"/>
  <c r="E67" i="13"/>
  <c r="F67" i="13"/>
  <c r="F66" i="13" s="1"/>
  <c r="F74" i="13" s="1"/>
  <c r="G67" i="13"/>
  <c r="H67" i="13"/>
  <c r="I67" i="13"/>
  <c r="L67" i="13"/>
  <c r="N67" i="13"/>
  <c r="O67" i="13"/>
  <c r="E68" i="13"/>
  <c r="G68" i="13"/>
  <c r="H68" i="13"/>
  <c r="I68" i="13"/>
  <c r="N68" i="13"/>
  <c r="O68" i="13"/>
  <c r="G69" i="13"/>
  <c r="H69" i="13"/>
  <c r="N69" i="13"/>
  <c r="C70" i="13"/>
  <c r="C66" i="13" s="1"/>
  <c r="C74" i="13" s="1"/>
  <c r="H70" i="13"/>
  <c r="I70" i="13"/>
  <c r="L70" i="13"/>
  <c r="N70" i="13"/>
  <c r="B72" i="13"/>
  <c r="J72" i="13"/>
  <c r="M72" i="13"/>
  <c r="P72" i="13"/>
  <c r="B73" i="13"/>
  <c r="J73" i="13"/>
  <c r="M73" i="13"/>
  <c r="P73" i="13"/>
  <c r="B78" i="13"/>
  <c r="J78" i="13"/>
  <c r="M78" i="13"/>
  <c r="P78" i="13"/>
  <c r="B85" i="13"/>
  <c r="C85" i="13"/>
  <c r="D85" i="13"/>
  <c r="E85" i="13"/>
  <c r="F85" i="13"/>
  <c r="G85" i="13"/>
  <c r="J85" i="13"/>
  <c r="K85" i="13"/>
  <c r="N85" i="13"/>
  <c r="P85" i="13"/>
  <c r="H86" i="13"/>
  <c r="H84" i="13" s="1"/>
  <c r="I86" i="13"/>
  <c r="I84" i="13" s="1"/>
  <c r="M86" i="13"/>
  <c r="M84" i="13" s="1"/>
  <c r="C87" i="13"/>
  <c r="D87" i="13"/>
  <c r="E87" i="13"/>
  <c r="F87" i="13"/>
  <c r="G87" i="13"/>
  <c r="J87" i="13"/>
  <c r="K87" i="13"/>
  <c r="L87" i="13"/>
  <c r="N87" i="13"/>
  <c r="O87" i="13"/>
  <c r="O86" i="13" s="1"/>
  <c r="O84" i="13" s="1"/>
  <c r="O108" i="13" s="1"/>
  <c r="P87" i="13"/>
  <c r="P86" i="13" s="1"/>
  <c r="B88" i="13"/>
  <c r="C88" i="13"/>
  <c r="D88" i="13"/>
  <c r="E88" i="13"/>
  <c r="F88" i="13"/>
  <c r="G88" i="13"/>
  <c r="J88" i="13"/>
  <c r="K88" i="13"/>
  <c r="L88" i="13"/>
  <c r="N88" i="13"/>
  <c r="J89" i="13"/>
  <c r="B91" i="13"/>
  <c r="C91" i="13"/>
  <c r="D91" i="13"/>
  <c r="E91" i="13"/>
  <c r="F91" i="13"/>
  <c r="G91" i="13"/>
  <c r="J91" i="13"/>
  <c r="K91" i="13"/>
  <c r="L91" i="13"/>
  <c r="L99" i="13" s="1"/>
  <c r="M91" i="13"/>
  <c r="N91" i="13"/>
  <c r="P91" i="13"/>
  <c r="C92" i="13"/>
  <c r="D92" i="13"/>
  <c r="E92" i="13"/>
  <c r="F92" i="13"/>
  <c r="G92" i="13"/>
  <c r="J92" i="13"/>
  <c r="K92" i="13"/>
  <c r="L92" i="13"/>
  <c r="M92" i="13"/>
  <c r="N92" i="13"/>
  <c r="P92" i="13"/>
  <c r="H93" i="13"/>
  <c r="H104" i="13" s="1"/>
  <c r="I93" i="13"/>
  <c r="I90" i="13" s="1"/>
  <c r="B94" i="13"/>
  <c r="C94" i="13"/>
  <c r="E94" i="13"/>
  <c r="F94" i="13"/>
  <c r="G94" i="13"/>
  <c r="J94" i="13"/>
  <c r="K94" i="13"/>
  <c r="L94" i="13"/>
  <c r="M94" i="13"/>
  <c r="N94" i="13"/>
  <c r="O94" i="13"/>
  <c r="P94" i="13"/>
  <c r="B95" i="13"/>
  <c r="C95" i="13"/>
  <c r="E95" i="13"/>
  <c r="G95" i="13"/>
  <c r="K95" i="13"/>
  <c r="N95" i="13"/>
  <c r="G96" i="13"/>
  <c r="J96" i="13"/>
  <c r="N96" i="13"/>
  <c r="B97" i="13"/>
  <c r="C97" i="13"/>
  <c r="D97" i="13"/>
  <c r="D93" i="13" s="1"/>
  <c r="D101" i="13" s="1"/>
  <c r="F97" i="13"/>
  <c r="J97" i="13"/>
  <c r="L97" i="13"/>
  <c r="M97" i="13"/>
  <c r="O97" i="13"/>
  <c r="H99" i="13"/>
  <c r="I99" i="13"/>
  <c r="O99" i="13"/>
  <c r="H100" i="13"/>
  <c r="I100" i="13"/>
  <c r="H105" i="13"/>
  <c r="I105" i="13"/>
  <c r="H3" i="12"/>
  <c r="H4" i="12"/>
  <c r="F5" i="12"/>
  <c r="K5" i="12"/>
  <c r="H6" i="12"/>
  <c r="K6" i="12"/>
  <c r="K11" i="12"/>
  <c r="K15" i="12" s="1"/>
  <c r="F15" i="12"/>
  <c r="H15" i="12"/>
  <c r="H16" i="12"/>
  <c r="K27" i="12"/>
  <c r="H32" i="12"/>
  <c r="H33" i="12"/>
  <c r="F34" i="12"/>
  <c r="F37" i="12" s="1"/>
  <c r="K34" i="12"/>
  <c r="H35" i="12"/>
  <c r="K35" i="12"/>
  <c r="K40" i="12"/>
  <c r="K44" i="12" s="1"/>
  <c r="H43" i="12"/>
  <c r="F44" i="12"/>
  <c r="H61" i="12"/>
  <c r="H62" i="12"/>
  <c r="K62" i="12"/>
  <c r="K63" i="12" s="1"/>
  <c r="F63" i="12"/>
  <c r="F82" i="12" s="1"/>
  <c r="H64" i="12"/>
  <c r="K64" i="12"/>
  <c r="K69" i="12"/>
  <c r="K73" i="12" s="1"/>
  <c r="H72" i="12"/>
  <c r="H73" i="12" s="1"/>
  <c r="F73" i="12"/>
  <c r="K82" i="12"/>
  <c r="K83" i="12"/>
  <c r="K85" i="12"/>
  <c r="F90" i="12"/>
  <c r="F92" i="12" s="1"/>
  <c r="H91" i="12"/>
  <c r="H92" i="12" s="1"/>
  <c r="K92" i="12"/>
  <c r="K95" i="12" s="1"/>
  <c r="K113" i="12" s="1"/>
  <c r="F93" i="12"/>
  <c r="H93" i="12"/>
  <c r="F97" i="12"/>
  <c r="H98" i="12"/>
  <c r="H102" i="12" s="1"/>
  <c r="K102" i="12"/>
  <c r="F105" i="12"/>
  <c r="K111" i="12"/>
  <c r="K112" i="12"/>
  <c r="K114" i="12"/>
  <c r="M104" i="12" l="1"/>
  <c r="M107" i="12" s="1"/>
  <c r="I75" i="12"/>
  <c r="I78" i="12" s="1"/>
  <c r="M37" i="12"/>
  <c r="B46" i="12"/>
  <c r="B49" i="12" s="1"/>
  <c r="G37" i="12"/>
  <c r="H5" i="12"/>
  <c r="H8" i="12" s="1"/>
  <c r="O46" i="12"/>
  <c r="O49" i="12" s="1"/>
  <c r="G104" i="12"/>
  <c r="G107" i="12" s="1"/>
  <c r="I37" i="12"/>
  <c r="I46" i="12" s="1"/>
  <c r="I49" i="12" s="1"/>
  <c r="O17" i="12"/>
  <c r="O20" i="12" s="1"/>
  <c r="N95" i="12"/>
  <c r="N8" i="12"/>
  <c r="M23" i="12"/>
  <c r="M22" i="12"/>
  <c r="M25" i="12"/>
  <c r="M66" i="12"/>
  <c r="M46" i="12"/>
  <c r="M49" i="12" s="1"/>
  <c r="L75" i="12"/>
  <c r="L78" i="12" s="1"/>
  <c r="L46" i="12"/>
  <c r="L49" i="12" s="1"/>
  <c r="L17" i="12"/>
  <c r="L20" i="12" s="1"/>
  <c r="F8" i="12"/>
  <c r="E104" i="12"/>
  <c r="E107" i="12" s="1"/>
  <c r="E82" i="12"/>
  <c r="J8" i="12"/>
  <c r="J46" i="12"/>
  <c r="J49" i="12" s="1"/>
  <c r="K104" i="12"/>
  <c r="K107" i="12" s="1"/>
  <c r="K109" i="12" s="1"/>
  <c r="I109" i="12"/>
  <c r="I110" i="12"/>
  <c r="I17" i="12"/>
  <c r="I20" i="12" s="1"/>
  <c r="I27" i="12"/>
  <c r="G46" i="12"/>
  <c r="G49" i="12" s="1"/>
  <c r="G17" i="12"/>
  <c r="G20" i="12" s="1"/>
  <c r="G27" i="12"/>
  <c r="G66" i="12"/>
  <c r="D104" i="12"/>
  <c r="D107" i="12" s="1"/>
  <c r="D46" i="12"/>
  <c r="D49" i="12" s="1"/>
  <c r="D75" i="12"/>
  <c r="D78" i="12" s="1"/>
  <c r="D8" i="12"/>
  <c r="C104" i="12"/>
  <c r="C107" i="12" s="1"/>
  <c r="E84" i="12"/>
  <c r="E85" i="12" s="1"/>
  <c r="E75" i="12"/>
  <c r="E78" i="12" s="1"/>
  <c r="B17" i="12"/>
  <c r="B20" i="12" s="1"/>
  <c r="B104" i="12"/>
  <c r="B107" i="12" s="1"/>
  <c r="B75" i="12"/>
  <c r="B78" i="12" s="1"/>
  <c r="P77" i="13"/>
  <c r="F72" i="13"/>
  <c r="L32" i="13"/>
  <c r="L30" i="13" s="1"/>
  <c r="L48" i="13" s="1"/>
  <c r="G32" i="13"/>
  <c r="O26" i="13"/>
  <c r="N32" i="13"/>
  <c r="N30" i="13" s="1"/>
  <c r="H32" i="13"/>
  <c r="H30" i="13" s="1"/>
  <c r="M79" i="13"/>
  <c r="I73" i="13"/>
  <c r="P49" i="13"/>
  <c r="P79" i="13"/>
  <c r="O66" i="13"/>
  <c r="O74" i="13" s="1"/>
  <c r="N45" i="13"/>
  <c r="H45" i="13"/>
  <c r="C51" i="13"/>
  <c r="O20" i="13"/>
  <c r="M18" i="13"/>
  <c r="H18" i="13"/>
  <c r="P80" i="13"/>
  <c r="P74" i="13"/>
  <c r="O25" i="13"/>
  <c r="O23" i="13"/>
  <c r="M24" i="13"/>
  <c r="L105" i="13"/>
  <c r="K93" i="13"/>
  <c r="K90" i="13" s="1"/>
  <c r="H46" i="13"/>
  <c r="D75" i="13"/>
  <c r="D99" i="13"/>
  <c r="J77" i="13"/>
  <c r="N78" i="13"/>
  <c r="C79" i="13"/>
  <c r="G73" i="13"/>
  <c r="G51" i="13"/>
  <c r="M48" i="13"/>
  <c r="C73" i="13"/>
  <c r="J74" i="13"/>
  <c r="I32" i="13"/>
  <c r="I30" i="13" s="1"/>
  <c r="I48" i="13" s="1"/>
  <c r="J80" i="13"/>
  <c r="J79" i="13"/>
  <c r="E45" i="13"/>
  <c r="P53" i="13"/>
  <c r="I106" i="13"/>
  <c r="I104" i="13"/>
  <c r="N73" i="13"/>
  <c r="P47" i="13"/>
  <c r="H24" i="13"/>
  <c r="F66" i="12"/>
  <c r="F84" i="12" s="1"/>
  <c r="F85" i="12" s="1"/>
  <c r="H95" i="12"/>
  <c r="H104" i="12" s="1"/>
  <c r="H107" i="12" s="1"/>
  <c r="F95" i="12"/>
  <c r="K8" i="12"/>
  <c r="D76" i="13"/>
  <c r="M36" i="13"/>
  <c r="J24" i="13"/>
  <c r="H72" i="13"/>
  <c r="F39" i="13"/>
  <c r="F47" i="13" s="1"/>
  <c r="J32" i="13"/>
  <c r="J30" i="13" s="1"/>
  <c r="F32" i="13"/>
  <c r="F30" i="13" s="1"/>
  <c r="F48" i="13" s="1"/>
  <c r="F59" i="13"/>
  <c r="F57" i="13" s="1"/>
  <c r="F76" i="13" s="1"/>
  <c r="I78" i="13"/>
  <c r="P76" i="13"/>
  <c r="M51" i="13"/>
  <c r="M26" i="13"/>
  <c r="D21" i="13"/>
  <c r="D22" i="13"/>
  <c r="M93" i="13"/>
  <c r="M101" i="13" s="1"/>
  <c r="D107" i="13"/>
  <c r="G78" i="13"/>
  <c r="J18" i="13"/>
  <c r="B93" i="13"/>
  <c r="B104" i="13" s="1"/>
  <c r="J86" i="13"/>
  <c r="J84" i="13" s="1"/>
  <c r="E86" i="13"/>
  <c r="E84" i="13" s="1"/>
  <c r="L66" i="13"/>
  <c r="L80" i="13" s="1"/>
  <c r="H59" i="13"/>
  <c r="H57" i="13" s="1"/>
  <c r="B57" i="13"/>
  <c r="B76" i="13" s="1"/>
  <c r="J39" i="13"/>
  <c r="J47" i="13" s="1"/>
  <c r="F5" i="13"/>
  <c r="F3" i="13" s="1"/>
  <c r="F21" i="13" s="1"/>
  <c r="N5" i="13"/>
  <c r="N3" i="13" s="1"/>
  <c r="I5" i="13"/>
  <c r="I3" i="13" s="1"/>
  <c r="E5" i="13"/>
  <c r="E3" i="13" s="1"/>
  <c r="J93" i="13"/>
  <c r="J106" i="13" s="1"/>
  <c r="P100" i="13"/>
  <c r="K105" i="13"/>
  <c r="N100" i="13"/>
  <c r="G100" i="13"/>
  <c r="C99" i="13"/>
  <c r="N59" i="13"/>
  <c r="N57" i="13" s="1"/>
  <c r="L51" i="13"/>
  <c r="C45" i="13"/>
  <c r="H12" i="13"/>
  <c r="H26" i="13" s="1"/>
  <c r="D105" i="13"/>
  <c r="O105" i="13"/>
  <c r="K86" i="13"/>
  <c r="K84" i="13" s="1"/>
  <c r="H66" i="13"/>
  <c r="H79" i="13" s="1"/>
  <c r="L45" i="13"/>
  <c r="I39" i="13"/>
  <c r="I47" i="13" s="1"/>
  <c r="N51" i="13"/>
  <c r="J12" i="13"/>
  <c r="J20" i="13" s="1"/>
  <c r="L5" i="13"/>
  <c r="L3" i="13" s="1"/>
  <c r="G5" i="13"/>
  <c r="G3" i="13" s="1"/>
  <c r="M52" i="13"/>
  <c r="M50" i="13"/>
  <c r="B36" i="13"/>
  <c r="H106" i="13"/>
  <c r="N93" i="13"/>
  <c r="N90" i="13" s="1"/>
  <c r="E93" i="13"/>
  <c r="E104" i="13" s="1"/>
  <c r="L100" i="13"/>
  <c r="C100" i="13"/>
  <c r="F86" i="13"/>
  <c r="D79" i="13"/>
  <c r="F78" i="13"/>
  <c r="H73" i="13"/>
  <c r="G66" i="13"/>
  <c r="G74" i="13" s="1"/>
  <c r="O78" i="13"/>
  <c r="H78" i="13"/>
  <c r="C78" i="13"/>
  <c r="E72" i="13"/>
  <c r="L59" i="13"/>
  <c r="L57" i="13" s="1"/>
  <c r="L75" i="13" s="1"/>
  <c r="B50" i="13"/>
  <c r="M46" i="13"/>
  <c r="D39" i="13"/>
  <c r="D49" i="13" s="1"/>
  <c r="F24" i="13"/>
  <c r="N12" i="13"/>
  <c r="N25" i="13" s="1"/>
  <c r="M9" i="13"/>
  <c r="J19" i="13"/>
  <c r="F19" i="13"/>
  <c r="J5" i="13"/>
  <c r="J3" i="13" s="1"/>
  <c r="J21" i="13" s="1"/>
  <c r="L12" i="13"/>
  <c r="L20" i="13" s="1"/>
  <c r="P99" i="13"/>
  <c r="P105" i="13"/>
  <c r="L93" i="13"/>
  <c r="L104" i="13" s="1"/>
  <c r="N86" i="13"/>
  <c r="N84" i="13" s="1"/>
  <c r="N108" i="13" s="1"/>
  <c r="D86" i="13"/>
  <c r="D84" i="13" s="1"/>
  <c r="D103" i="13" s="1"/>
  <c r="D80" i="13"/>
  <c r="P75" i="13"/>
  <c r="I66" i="13"/>
  <c r="I80" i="13" s="1"/>
  <c r="E66" i="13"/>
  <c r="E77" i="13" s="1"/>
  <c r="L73" i="13"/>
  <c r="C59" i="13"/>
  <c r="C57" i="13" s="1"/>
  <c r="C76" i="13" s="1"/>
  <c r="B53" i="13"/>
  <c r="P50" i="13"/>
  <c r="E32" i="13"/>
  <c r="E30" i="13" s="1"/>
  <c r="E48" i="13" s="1"/>
  <c r="M49" i="13"/>
  <c r="B26" i="13"/>
  <c r="F18" i="13"/>
  <c r="J9" i="13"/>
  <c r="M19" i="13"/>
  <c r="H19" i="13"/>
  <c r="P36" i="13"/>
  <c r="J100" i="13"/>
  <c r="O93" i="13"/>
  <c r="O103" i="13" s="1"/>
  <c r="F93" i="13"/>
  <c r="F107" i="13" s="1"/>
  <c r="G86" i="13"/>
  <c r="G84" i="13" s="1"/>
  <c r="G102" i="13" s="1"/>
  <c r="B86" i="13"/>
  <c r="B84" i="13" s="1"/>
  <c r="J99" i="13"/>
  <c r="E100" i="13"/>
  <c r="H80" i="13"/>
  <c r="D78" i="13"/>
  <c r="O76" i="13"/>
  <c r="C63" i="13"/>
  <c r="B52" i="13"/>
  <c r="L46" i="13"/>
  <c r="H24" i="12"/>
  <c r="K66" i="12"/>
  <c r="K101" i="13"/>
  <c r="K100" i="13"/>
  <c r="K99" i="13"/>
  <c r="F100" i="13"/>
  <c r="F84" i="13"/>
  <c r="B99" i="13"/>
  <c r="B63" i="13"/>
  <c r="B74" i="13"/>
  <c r="B77" i="13"/>
  <c r="B79" i="13"/>
  <c r="B80" i="13"/>
  <c r="F105" i="13"/>
  <c r="F99" i="13"/>
  <c r="B101" i="13"/>
  <c r="H103" i="13"/>
  <c r="O102" i="13"/>
  <c r="O79" i="13"/>
  <c r="O47" i="13"/>
  <c r="O53" i="13"/>
  <c r="O36" i="13"/>
  <c r="O50" i="13"/>
  <c r="O52" i="13"/>
  <c r="M100" i="13"/>
  <c r="M102" i="13"/>
  <c r="D100" i="13"/>
  <c r="M108" i="13"/>
  <c r="C105" i="13"/>
  <c r="C93" i="13"/>
  <c r="C106" i="13" s="1"/>
  <c r="H90" i="13"/>
  <c r="H101" i="13"/>
  <c r="H107" i="13"/>
  <c r="I19" i="13"/>
  <c r="C24" i="13"/>
  <c r="C19" i="13"/>
  <c r="N106" i="13"/>
  <c r="H102" i="13"/>
  <c r="B100" i="13"/>
  <c r="G93" i="13"/>
  <c r="G107" i="13" s="1"/>
  <c r="N99" i="13"/>
  <c r="N107" i="13"/>
  <c r="N105" i="13"/>
  <c r="J105" i="13"/>
  <c r="E99" i="13"/>
  <c r="E105" i="13"/>
  <c r="I103" i="13"/>
  <c r="I102" i="13"/>
  <c r="M75" i="13"/>
  <c r="M76" i="13"/>
  <c r="I72" i="13"/>
  <c r="I79" i="13"/>
  <c r="O63" i="13"/>
  <c r="J75" i="13"/>
  <c r="J76" i="13"/>
  <c r="D106" i="13"/>
  <c r="I107" i="13"/>
  <c r="M105" i="13"/>
  <c r="G105" i="13"/>
  <c r="I101" i="13"/>
  <c r="O100" i="13"/>
  <c r="M99" i="13"/>
  <c r="G99" i="13"/>
  <c r="P93" i="13"/>
  <c r="B90" i="13"/>
  <c r="D90" i="13"/>
  <c r="L86" i="13"/>
  <c r="L84" i="13" s="1"/>
  <c r="C86" i="13"/>
  <c r="C84" i="13" s="1"/>
  <c r="F79" i="13"/>
  <c r="L78" i="13"/>
  <c r="O77" i="13"/>
  <c r="I77" i="13"/>
  <c r="N66" i="13"/>
  <c r="N79" i="13" s="1"/>
  <c r="F63" i="13"/>
  <c r="F77" i="13"/>
  <c r="F75" i="13"/>
  <c r="F80" i="13"/>
  <c r="G79" i="13"/>
  <c r="C77" i="13"/>
  <c r="N72" i="13"/>
  <c r="F73" i="13"/>
  <c r="L39" i="13"/>
  <c r="G39" i="13"/>
  <c r="G36" i="13" s="1"/>
  <c r="C39" i="13"/>
  <c r="C50" i="13" s="1"/>
  <c r="O30" i="13"/>
  <c r="O45" i="13"/>
  <c r="I45" i="13"/>
  <c r="I46" i="13"/>
  <c r="C46" i="13"/>
  <c r="N18" i="13"/>
  <c r="N19" i="13"/>
  <c r="I18" i="13"/>
  <c r="E18" i="13"/>
  <c r="E19" i="13"/>
  <c r="M63" i="13"/>
  <c r="M77" i="13"/>
  <c r="M80" i="13"/>
  <c r="C72" i="13"/>
  <c r="P20" i="13"/>
  <c r="P9" i="13"/>
  <c r="P26" i="13"/>
  <c r="P23" i="13"/>
  <c r="P25" i="13"/>
  <c r="B105" i="13"/>
  <c r="D104" i="13"/>
  <c r="D102" i="13"/>
  <c r="P84" i="13"/>
  <c r="P108" i="13" s="1"/>
  <c r="O80" i="13"/>
  <c r="C80" i="13"/>
  <c r="E78" i="13"/>
  <c r="E73" i="13"/>
  <c r="I59" i="13"/>
  <c r="I57" i="13" s="1"/>
  <c r="I76" i="13" s="1"/>
  <c r="E59" i="13"/>
  <c r="E57" i="13" s="1"/>
  <c r="I51" i="13"/>
  <c r="E46" i="13"/>
  <c r="E51" i="13"/>
  <c r="J51" i="13"/>
  <c r="J45" i="13"/>
  <c r="J46" i="13"/>
  <c r="F45" i="13"/>
  <c r="F51" i="13"/>
  <c r="F46" i="13"/>
  <c r="N46" i="13"/>
  <c r="P22" i="13"/>
  <c r="P21" i="13"/>
  <c r="O75" i="13"/>
  <c r="H75" i="13"/>
  <c r="D63" i="13"/>
  <c r="D73" i="13"/>
  <c r="D77" i="13"/>
  <c r="G59" i="13"/>
  <c r="N39" i="13"/>
  <c r="N47" i="13" s="1"/>
  <c r="H39" i="13"/>
  <c r="H53" i="13" s="1"/>
  <c r="M53" i="13"/>
  <c r="M47" i="13"/>
  <c r="C12" i="13"/>
  <c r="M25" i="13"/>
  <c r="M23" i="13"/>
  <c r="M20" i="13"/>
  <c r="L18" i="13"/>
  <c r="L19" i="13"/>
  <c r="G18" i="13"/>
  <c r="G19" i="13"/>
  <c r="D47" i="13"/>
  <c r="N48" i="13"/>
  <c r="H51" i="13"/>
  <c r="G45" i="13"/>
  <c r="G30" i="13"/>
  <c r="G46" i="13"/>
  <c r="D9" i="13"/>
  <c r="D25" i="13"/>
  <c r="D23" i="13"/>
  <c r="D20" i="13"/>
  <c r="G72" i="13"/>
  <c r="E39" i="13"/>
  <c r="E36" i="13" s="1"/>
  <c r="G12" i="13"/>
  <c r="G26" i="13" s="1"/>
  <c r="N24" i="13"/>
  <c r="I24" i="13"/>
  <c r="E24" i="13"/>
  <c r="O19" i="13"/>
  <c r="O5" i="13"/>
  <c r="O3" i="13" s="1"/>
  <c r="M5" i="13"/>
  <c r="M3" i="13" s="1"/>
  <c r="H5" i="13"/>
  <c r="H3" i="13" s="1"/>
  <c r="C32" i="13"/>
  <c r="C30" i="13" s="1"/>
  <c r="B30" i="13"/>
  <c r="I12" i="13"/>
  <c r="I9" i="13" s="1"/>
  <c r="E12" i="13"/>
  <c r="J25" i="13"/>
  <c r="F12" i="13"/>
  <c r="F9" i="13" s="1"/>
  <c r="B23" i="13"/>
  <c r="B9" i="13"/>
  <c r="B25" i="13"/>
  <c r="L24" i="13"/>
  <c r="G24" i="13"/>
  <c r="C5" i="13"/>
  <c r="C3" i="13" s="1"/>
  <c r="C21" i="13" s="1"/>
  <c r="B3" i="13"/>
  <c r="H34" i="12"/>
  <c r="F102" i="12"/>
  <c r="H63" i="12"/>
  <c r="H44" i="12"/>
  <c r="F46" i="12"/>
  <c r="F49" i="12" s="1"/>
  <c r="K37" i="12"/>
  <c r="F17" i="12" l="1"/>
  <c r="F20" i="12" s="1"/>
  <c r="N17" i="12"/>
  <c r="N20" i="12" s="1"/>
  <c r="N104" i="12"/>
  <c r="N107" i="12" s="1"/>
  <c r="M75" i="12"/>
  <c r="M78" i="12" s="1"/>
  <c r="K110" i="12"/>
  <c r="K17" i="12"/>
  <c r="K20" i="12" s="1"/>
  <c r="F104" i="12"/>
  <c r="F107" i="12" s="1"/>
  <c r="F75" i="12"/>
  <c r="F78" i="12" s="1"/>
  <c r="F81" i="12" s="1"/>
  <c r="J17" i="12"/>
  <c r="J20" i="12" s="1"/>
  <c r="G75" i="12"/>
  <c r="G78" i="12" s="1"/>
  <c r="D17" i="12"/>
  <c r="D20" i="12" s="1"/>
  <c r="E81" i="12"/>
  <c r="E80" i="12"/>
  <c r="E83" i="12"/>
  <c r="B107" i="13"/>
  <c r="H77" i="13"/>
  <c r="F53" i="13"/>
  <c r="L103" i="13"/>
  <c r="C36" i="13"/>
  <c r="L74" i="13"/>
  <c r="K103" i="13"/>
  <c r="E80" i="13"/>
  <c r="N52" i="13"/>
  <c r="E63" i="13"/>
  <c r="D53" i="13"/>
  <c r="J53" i="13"/>
  <c r="J49" i="13"/>
  <c r="L26" i="13"/>
  <c r="D36" i="13"/>
  <c r="K104" i="13"/>
  <c r="K107" i="13"/>
  <c r="K106" i="13"/>
  <c r="L9" i="13"/>
  <c r="F104" i="13"/>
  <c r="H63" i="13"/>
  <c r="C104" i="13"/>
  <c r="B75" i="13"/>
  <c r="J26" i="13"/>
  <c r="H74" i="13"/>
  <c r="H76" i="13"/>
  <c r="J23" i="13"/>
  <c r="C103" i="13"/>
  <c r="O104" i="13"/>
  <c r="M106" i="13"/>
  <c r="L22" i="13"/>
  <c r="J107" i="13"/>
  <c r="M103" i="13"/>
  <c r="G108" i="13"/>
  <c r="J101" i="13"/>
  <c r="B106" i="13"/>
  <c r="J48" i="13"/>
  <c r="C52" i="13"/>
  <c r="N50" i="13"/>
  <c r="E76" i="13"/>
  <c r="J22" i="13"/>
  <c r="L63" i="13"/>
  <c r="L77" i="13"/>
  <c r="M90" i="13"/>
  <c r="M107" i="13"/>
  <c r="D108" i="13"/>
  <c r="J90" i="13"/>
  <c r="G103" i="13"/>
  <c r="L79" i="13"/>
  <c r="M104" i="13"/>
  <c r="I36" i="13"/>
  <c r="G77" i="13"/>
  <c r="J50" i="13"/>
  <c r="N23" i="13"/>
  <c r="I53" i="13"/>
  <c r="F49" i="13"/>
  <c r="H25" i="13"/>
  <c r="I50" i="13"/>
  <c r="I52" i="13"/>
  <c r="F50" i="13"/>
  <c r="G63" i="13"/>
  <c r="O101" i="13"/>
  <c r="J52" i="13"/>
  <c r="N20" i="13"/>
  <c r="H9" i="13"/>
  <c r="H20" i="13"/>
  <c r="F101" i="13"/>
  <c r="F106" i="13"/>
  <c r="F90" i="13"/>
  <c r="H23" i="13"/>
  <c r="F52" i="13"/>
  <c r="F36" i="13"/>
  <c r="J36" i="13"/>
  <c r="I49" i="13"/>
  <c r="O106" i="13"/>
  <c r="J103" i="13"/>
  <c r="J102" i="13"/>
  <c r="J108" i="13"/>
  <c r="J104" i="13"/>
  <c r="N36" i="13"/>
  <c r="N63" i="13"/>
  <c r="E101" i="13"/>
  <c r="E107" i="13"/>
  <c r="N26" i="13"/>
  <c r="L76" i="13"/>
  <c r="E103" i="13"/>
  <c r="N22" i="13"/>
  <c r="N21" i="13"/>
  <c r="E74" i="13"/>
  <c r="E79" i="13"/>
  <c r="L106" i="13"/>
  <c r="L101" i="13"/>
  <c r="L90" i="13"/>
  <c r="L107" i="13"/>
  <c r="N101" i="13"/>
  <c r="N104" i="13"/>
  <c r="N9" i="13"/>
  <c r="N49" i="13"/>
  <c r="E90" i="13"/>
  <c r="O90" i="13"/>
  <c r="O107" i="13"/>
  <c r="I74" i="13"/>
  <c r="I63" i="13"/>
  <c r="L23" i="13"/>
  <c r="I75" i="13"/>
  <c r="E106" i="13"/>
  <c r="D50" i="13"/>
  <c r="D52" i="13"/>
  <c r="G80" i="13"/>
  <c r="L25" i="13"/>
  <c r="K75" i="12"/>
  <c r="K78" i="12" s="1"/>
  <c r="K84" i="12"/>
  <c r="H26" i="12"/>
  <c r="H27" i="12" s="1"/>
  <c r="H17" i="12"/>
  <c r="H20" i="12" s="1"/>
  <c r="C49" i="13"/>
  <c r="C48" i="13"/>
  <c r="C20" i="13"/>
  <c r="C25" i="13"/>
  <c r="C108" i="13"/>
  <c r="L108" i="13"/>
  <c r="E20" i="13"/>
  <c r="E9" i="13"/>
  <c r="E25" i="13"/>
  <c r="E23" i="13"/>
  <c r="H49" i="13"/>
  <c r="H48" i="13"/>
  <c r="G22" i="13"/>
  <c r="G21" i="13"/>
  <c r="L50" i="13"/>
  <c r="L52" i="13"/>
  <c r="L47" i="13"/>
  <c r="L53" i="13"/>
  <c r="E102" i="13"/>
  <c r="B21" i="13"/>
  <c r="B22" i="13"/>
  <c r="I20" i="13"/>
  <c r="I25" i="13"/>
  <c r="E26" i="13"/>
  <c r="O21" i="13"/>
  <c r="O22" i="13"/>
  <c r="I26" i="13"/>
  <c r="L21" i="13"/>
  <c r="I22" i="13"/>
  <c r="C53" i="13"/>
  <c r="C47" i="13"/>
  <c r="N80" i="13"/>
  <c r="N77" i="13"/>
  <c r="N74" i="13"/>
  <c r="G104" i="13"/>
  <c r="G101" i="13"/>
  <c r="G106" i="13"/>
  <c r="I21" i="13"/>
  <c r="C101" i="13"/>
  <c r="C90" i="13"/>
  <c r="C107" i="13"/>
  <c r="G20" i="13"/>
  <c r="G25" i="13"/>
  <c r="G9" i="13"/>
  <c r="P101" i="13"/>
  <c r="P90" i="13"/>
  <c r="P107" i="13"/>
  <c r="P104" i="13"/>
  <c r="P106" i="13"/>
  <c r="C22" i="13"/>
  <c r="B49" i="13"/>
  <c r="B48" i="13"/>
  <c r="H47" i="13"/>
  <c r="H50" i="13"/>
  <c r="H52" i="13"/>
  <c r="H36" i="13"/>
  <c r="L102" i="13"/>
  <c r="N76" i="13"/>
  <c r="N75" i="13"/>
  <c r="E52" i="13"/>
  <c r="E47" i="13"/>
  <c r="E53" i="13"/>
  <c r="G48" i="13"/>
  <c r="G49" i="13"/>
  <c r="G57" i="13"/>
  <c r="E22" i="13"/>
  <c r="E21" i="13"/>
  <c r="G52" i="13"/>
  <c r="G47" i="13"/>
  <c r="G53" i="13"/>
  <c r="C23" i="13"/>
  <c r="F102" i="13"/>
  <c r="F108" i="13"/>
  <c r="F103" i="13"/>
  <c r="F25" i="13"/>
  <c r="F23" i="13"/>
  <c r="F26" i="13"/>
  <c r="F20" i="13"/>
  <c r="H21" i="13"/>
  <c r="H22" i="13"/>
  <c r="G23" i="13"/>
  <c r="G50" i="13"/>
  <c r="C75" i="13"/>
  <c r="N103" i="13"/>
  <c r="N102" i="13"/>
  <c r="E49" i="13"/>
  <c r="M21" i="13"/>
  <c r="M22" i="13"/>
  <c r="L49" i="13"/>
  <c r="L36" i="13"/>
  <c r="F22" i="13"/>
  <c r="E50" i="13"/>
  <c r="E75" i="13"/>
  <c r="P103" i="13"/>
  <c r="P102" i="13"/>
  <c r="O49" i="13"/>
  <c r="O48" i="13"/>
  <c r="C102" i="13"/>
  <c r="K108" i="13"/>
  <c r="E108" i="13"/>
  <c r="C9" i="13"/>
  <c r="C26" i="13"/>
  <c r="I23" i="13"/>
  <c r="K102" i="13"/>
  <c r="N53" i="13"/>
  <c r="G90" i="13"/>
  <c r="B103" i="13"/>
  <c r="B102" i="13"/>
  <c r="B108" i="13"/>
  <c r="H37" i="12"/>
  <c r="K46" i="12"/>
  <c r="K49" i="12" s="1"/>
  <c r="H66" i="12"/>
  <c r="H82" i="12"/>
  <c r="F80" i="12" l="1"/>
  <c r="F83" i="12"/>
  <c r="H25" i="12"/>
  <c r="H22" i="12"/>
  <c r="H23" i="12"/>
  <c r="K80" i="12"/>
  <c r="K81" i="12"/>
  <c r="G76" i="13"/>
  <c r="G75" i="13"/>
  <c r="H46" i="12"/>
  <c r="H75" i="12"/>
  <c r="H84" i="12"/>
  <c r="H85" i="12" s="1"/>
  <c r="H49" i="12" l="1"/>
  <c r="H78" i="12"/>
  <c r="H80" i="12" l="1"/>
  <c r="H81" i="12"/>
  <c r="H83" i="12"/>
</calcChain>
</file>

<file path=xl/comments1.xml><?xml version="1.0" encoding="utf-8"?>
<comments xmlns="http://schemas.openxmlformats.org/spreadsheetml/2006/main">
  <authors>
    <author>marcos.rogerio</author>
  </authors>
  <commentList>
    <comment ref="O69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Estorno de despesa. (Saldo invertido)</t>
        </r>
      </text>
    </comment>
  </commentList>
</comments>
</file>

<file path=xl/comments2.xml><?xml version="1.0" encoding="utf-8"?>
<comments xmlns="http://schemas.openxmlformats.org/spreadsheetml/2006/main">
  <authors>
    <author>marcos.rogerio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Diminuído 0,00001 para corrigir arrendodamento. Valor irrisório não influencia o montante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Inserida soma de 0,003 para corrigir erro de arrendondamento. Valor é irrisório e não interfere no montante
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Acrescida soma para corrigir diferença de arrendondamento. O valor irrisório e não compromete o saldo total</t>
        </r>
      </text>
    </comment>
  </commentList>
</comments>
</file>

<file path=xl/sharedStrings.xml><?xml version="1.0" encoding="utf-8"?>
<sst xmlns="http://schemas.openxmlformats.org/spreadsheetml/2006/main" count="342" uniqueCount="84">
  <si>
    <t>Margem EBIT</t>
  </si>
  <si>
    <t>EBIT</t>
  </si>
  <si>
    <t>Margem Líquida</t>
  </si>
  <si>
    <t>Margem Bruta</t>
  </si>
  <si>
    <t>RESULTADO LÍQUIDO DO EXERCÍCIO</t>
  </si>
  <si>
    <t>RESULTADO ANTES DO IMPOSTO RENDA E C. SOCIAL</t>
  </si>
  <si>
    <t xml:space="preserve">       Outros</t>
  </si>
  <si>
    <t xml:space="preserve">       Resultado líquido com derivativos</t>
  </si>
  <si>
    <t xml:space="preserve">       Despesas Financeiras</t>
  </si>
  <si>
    <t xml:space="preserve">       Receitas Financeiras</t>
  </si>
  <si>
    <t>RESULTADO FINANCEIRO</t>
  </si>
  <si>
    <t>RESULTADO ANTES DO RESULTADO FINANCEIRO</t>
  </si>
  <si>
    <t>LUCRO BRUTO</t>
  </si>
  <si>
    <t>TAM</t>
  </si>
  <si>
    <t>Grau de Endividamento Ajustado</t>
  </si>
  <si>
    <t>Grau de Endividamento</t>
  </si>
  <si>
    <t>Multiplicador de Capital Próprio</t>
  </si>
  <si>
    <t>Participação de Capitais de Terceiros sobre os Recursos Totais</t>
  </si>
  <si>
    <t>Situação Líquida Patrimonial</t>
  </si>
  <si>
    <t>Índice de Liquidez Geral</t>
  </si>
  <si>
    <t>Índice de Liquidez Corrente</t>
  </si>
  <si>
    <t>Outros</t>
  </si>
  <si>
    <t>Resultado do Exercício</t>
  </si>
  <si>
    <t>Capital Social</t>
  </si>
  <si>
    <t>Patrimônio Líquido</t>
  </si>
  <si>
    <t>Passsivo Não Circulante</t>
  </si>
  <si>
    <t>Passivo Circulante</t>
  </si>
  <si>
    <t>PASSIVO TOTAL</t>
  </si>
  <si>
    <t>Investimentos, Imobilizado e Intangível</t>
  </si>
  <si>
    <t>Ativo Realizável a Longo Prazo</t>
  </si>
  <si>
    <t>Ativo Não Circulante</t>
  </si>
  <si>
    <t>Ativo Circulante</t>
  </si>
  <si>
    <t>ATIVO TOTAL</t>
  </si>
  <si>
    <t>GAF</t>
  </si>
  <si>
    <t>Retorno sobre o patrimônio líquido</t>
  </si>
  <si>
    <t>Retorno sobre o ativo</t>
  </si>
  <si>
    <t xml:space="preserve">Outros </t>
  </si>
  <si>
    <t>Imposto de Renda e Contribuição Social</t>
  </si>
  <si>
    <t>Outros resultados operacionais</t>
  </si>
  <si>
    <t>Resultado de equivalência operacional (CPC 26 - 82.E)</t>
  </si>
  <si>
    <t>Despesas operacionais</t>
  </si>
  <si>
    <t>Custo dos serviços prestados</t>
  </si>
  <si>
    <t>Receita operacional líquida</t>
  </si>
  <si>
    <t>Variação do valor justo de derivativos de combustível</t>
  </si>
  <si>
    <t xml:space="preserve">WEB </t>
  </si>
  <si>
    <t>TTL</t>
  </si>
  <si>
    <t>Contas</t>
  </si>
  <si>
    <t>Grau de alavancagem financeira</t>
  </si>
  <si>
    <t>Endividamento Total</t>
  </si>
  <si>
    <t>Endividamento curto prazo</t>
  </si>
  <si>
    <t>Lucros ou Prejuízos Acumulados</t>
  </si>
  <si>
    <t xml:space="preserve">       Variação cambial líquida       </t>
  </si>
  <si>
    <t>DEMONSTRAÇÃO DO RESULTADO DO EXERCÍCIO ENCERRADA EM 31/12/2014</t>
  </si>
  <si>
    <t xml:space="preserve">      Outros</t>
  </si>
  <si>
    <t xml:space="preserve">      Variação cambial líquida</t>
  </si>
  <si>
    <t xml:space="preserve">      Resultado líquido com derivativos</t>
  </si>
  <si>
    <t xml:space="preserve">      Despesas Financeiras</t>
  </si>
  <si>
    <t xml:space="preserve">      Receitas Financeiras</t>
  </si>
  <si>
    <t xml:space="preserve">      Variação do valor justo de derivativos de combustível</t>
  </si>
  <si>
    <t>DEMONSTRAÇÃO DO RESULTADO ENCERRADO EM 30/09/2014 (julho a setembro)</t>
  </si>
  <si>
    <t>DEMONSTRAÇÃO DO RESULTADO ENCERRADO EM 30/06/2014 (abril a junho)</t>
  </si>
  <si>
    <t>DEMONSTRAÇÃO DO RESULTADO ENCERRADO EM 31/03/2014 (janeiro a março)</t>
  </si>
  <si>
    <t>BALANÇO PATRIMONIAL ENCERRADO EM 30/09/2014 (julho a setembro)</t>
  </si>
  <si>
    <t>BALANÇO PATRIMONIAL ENCERRADO EM 30/06/2014 (abril a junho)</t>
  </si>
  <si>
    <t>BALANÇO PATRIMONIAL ENCERRADO EM 31/03/2014 (janeiro a março)</t>
  </si>
  <si>
    <t>Indústria</t>
  </si>
  <si>
    <t>AZUL</t>
  </si>
  <si>
    <t>GOL</t>
  </si>
  <si>
    <t>NOAR</t>
  </si>
  <si>
    <t>AVIANCA</t>
  </si>
  <si>
    <t>MAP</t>
  </si>
  <si>
    <t>PASSAREDO</t>
  </si>
  <si>
    <t>SOL</t>
  </si>
  <si>
    <t>SETE</t>
  </si>
  <si>
    <t>AMERICA DO SUL</t>
  </si>
  <si>
    <t>TRIP</t>
  </si>
  <si>
    <t>TOTAL</t>
  </si>
  <si>
    <t>ABSA</t>
  </si>
  <si>
    <t>BALANÇO PATRIMONIAL ENCERRADO EM 31/12/2014 (janeiro a dezembro)</t>
  </si>
  <si>
    <t>ABAETÉ</t>
  </si>
  <si>
    <t>NO AR</t>
  </si>
  <si>
    <t>WEBJET</t>
  </si>
  <si>
    <t xml:space="preserve">       Variação do valor justo de derivativos de combustível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</si>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</sst>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* #,##0_);_(* \(#,##0\);_(* &quot;-&quot;??_);_(@_)"/>
    <numFmt numFmtId="166" formatCode="&quot;R$ &quot;#,##0.00_);[Red]\(&quot;R$ &quot;#,##0.00\)"/>
    <numFmt numFmtId="167" formatCode="#,##0.000000_);\(#,##0.000000\)"/>
    <numFmt numFmtId="168" formatCode="#,##0.00000000000000_);\(#,##0.00000000000000\)"/>
    <numFmt numFmtId="169" formatCode="#,##0.0000000_);\(#,##0.0000000\)"/>
    <numFmt numFmtId="170" formatCode="#,##0.00000_);\(#,##0.0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0" xfId="1"/>
    <xf numFmtId="10" fontId="0" fillId="0" borderId="1" xfId="2" applyNumberFormat="1" applyFont="1" applyFill="1" applyBorder="1" applyAlignment="1">
      <alignment horizontal="right"/>
    </xf>
    <xf numFmtId="0" fontId="4" fillId="0" borderId="2" xfId="1" applyFont="1" applyFill="1" applyBorder="1"/>
    <xf numFmtId="3" fontId="4" fillId="0" borderId="3" xfId="1" applyNumberFormat="1" applyFont="1" applyFill="1" applyBorder="1" applyAlignment="1">
      <alignment horizontal="right"/>
    </xf>
    <xf numFmtId="3" fontId="0" fillId="0" borderId="3" xfId="2" applyNumberFormat="1" applyFont="1" applyFill="1" applyBorder="1" applyAlignment="1">
      <alignment horizontal="right"/>
    </xf>
    <xf numFmtId="0" fontId="4" fillId="0" borderId="4" xfId="1" applyFont="1" applyFill="1" applyBorder="1"/>
    <xf numFmtId="164" fontId="0" fillId="0" borderId="1" xfId="3" applyFont="1" applyFill="1" applyBorder="1" applyAlignment="1">
      <alignment horizontal="right"/>
    </xf>
    <xf numFmtId="164" fontId="0" fillId="0" borderId="3" xfId="3" applyFont="1" applyFill="1" applyBorder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165" fontId="3" fillId="2" borderId="0" xfId="4" applyNumberFormat="1" applyFont="1" applyFill="1" applyBorder="1"/>
    <xf numFmtId="164" fontId="6" fillId="2" borderId="0" xfId="4" applyFont="1" applyFill="1"/>
    <xf numFmtId="3" fontId="3" fillId="0" borderId="1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0" fontId="3" fillId="0" borderId="2" xfId="1" applyFont="1" applyFill="1" applyBorder="1"/>
    <xf numFmtId="3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/>
    <xf numFmtId="3" fontId="3" fillId="0" borderId="1" xfId="1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right"/>
    </xf>
    <xf numFmtId="3" fontId="3" fillId="2" borderId="1" xfId="2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 vertical="center"/>
    </xf>
    <xf numFmtId="0" fontId="7" fillId="0" borderId="0" xfId="1" applyFont="1"/>
    <xf numFmtId="4" fontId="3" fillId="0" borderId="3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left"/>
    </xf>
    <xf numFmtId="3" fontId="3" fillId="0" borderId="3" xfId="2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left"/>
    </xf>
    <xf numFmtId="0" fontId="1" fillId="0" borderId="0" xfId="5" applyFont="1"/>
    <xf numFmtId="164" fontId="6" fillId="2" borderId="0" xfId="4" applyFont="1" applyFill="1" applyAlignment="1">
      <alignment horizontal="right"/>
    </xf>
    <xf numFmtId="0" fontId="1" fillId="2" borderId="0" xfId="5" applyFont="1" applyFill="1" applyAlignment="1">
      <alignment horizontal="right"/>
    </xf>
    <xf numFmtId="0" fontId="1" fillId="0" borderId="0" xfId="5" applyFont="1" applyAlignment="1">
      <alignment horizontal="right"/>
    </xf>
    <xf numFmtId="3" fontId="4" fillId="0" borderId="1" xfId="1" applyNumberFormat="1" applyFont="1" applyFill="1" applyBorder="1" applyAlignment="1"/>
    <xf numFmtId="3" fontId="3" fillId="0" borderId="1" xfId="1" applyNumberFormat="1" applyFont="1" applyFill="1" applyBorder="1" applyAlignment="1"/>
    <xf numFmtId="166" fontId="3" fillId="2" borderId="0" xfId="5" applyNumberFormat="1" applyFont="1" applyFill="1" applyAlignment="1">
      <alignment horizontal="right"/>
    </xf>
    <xf numFmtId="166" fontId="1" fillId="2" borderId="0" xfId="5" applyNumberFormat="1" applyFont="1" applyFill="1" applyAlignment="1">
      <alignment horizontal="right"/>
    </xf>
    <xf numFmtId="164" fontId="7" fillId="0" borderId="3" xfId="3" applyFont="1" applyFill="1" applyBorder="1" applyAlignment="1">
      <alignment horizontal="right"/>
    </xf>
    <xf numFmtId="0" fontId="7" fillId="0" borderId="4" xfId="1" applyFont="1" applyFill="1" applyBorder="1"/>
    <xf numFmtId="3" fontId="7" fillId="0" borderId="1" xfId="1" applyNumberFormat="1" applyFont="1" applyFill="1" applyBorder="1" applyAlignment="1">
      <alignment horizontal="right"/>
    </xf>
    <xf numFmtId="165" fontId="4" fillId="0" borderId="0" xfId="1" applyNumberFormat="1"/>
    <xf numFmtId="3" fontId="7" fillId="0" borderId="3" xfId="2" applyNumberFormat="1" applyFont="1" applyFill="1" applyBorder="1" applyAlignment="1">
      <alignment horizontal="right"/>
    </xf>
    <xf numFmtId="164" fontId="7" fillId="0" borderId="1" xfId="3" applyFont="1" applyFill="1" applyBorder="1" applyAlignment="1">
      <alignment horizontal="right"/>
    </xf>
    <xf numFmtId="167" fontId="4" fillId="0" borderId="0" xfId="1" applyNumberFormat="1"/>
    <xf numFmtId="168" fontId="4" fillId="0" borderId="0" xfId="1" applyNumberFormat="1"/>
    <xf numFmtId="169" fontId="4" fillId="0" borderId="0" xfId="1" applyNumberFormat="1"/>
    <xf numFmtId="170" fontId="4" fillId="0" borderId="0" xfId="1" applyNumberFormat="1"/>
    <xf numFmtId="0" fontId="2" fillId="4" borderId="5" xfId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/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5"/>
    <cellStyle name="Porcentagem 2" xfId="2"/>
    <cellStyle name="Separador de milhares 2" xfId="4"/>
    <cellStyle name="Vírgula 2" xfId="3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o%20Acompanhamento%20Economico%20-%20financeiro%20-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DRE"/>
    </sheetNames>
    <sheetDataSet>
      <sheetData sheetId="0">
        <row r="3">
          <cell r="I3">
            <v>4154.55476</v>
          </cell>
        </row>
        <row r="12">
          <cell r="I12">
            <v>2582.6384300000009</v>
          </cell>
        </row>
        <row r="55">
          <cell r="E55">
            <v>4360266</v>
          </cell>
          <cell r="F55">
            <v>8778792</v>
          </cell>
          <cell r="I55">
            <v>3975.6616300000001</v>
          </cell>
          <cell r="L55">
            <v>273249.74300000002</v>
          </cell>
          <cell r="O55">
            <v>2103.6995000000002</v>
          </cell>
        </row>
        <row r="64">
          <cell r="E64">
            <v>-408538</v>
          </cell>
          <cell r="F64">
            <v>553315</v>
          </cell>
          <cell r="I64">
            <v>-9494.6911599999985</v>
          </cell>
          <cell r="L64">
            <v>-90882.689000000013</v>
          </cell>
          <cell r="O64">
            <v>-2438.914859999999</v>
          </cell>
        </row>
        <row r="81">
          <cell r="J81">
            <v>1027403</v>
          </cell>
          <cell r="O81">
            <v>0</v>
          </cell>
        </row>
        <row r="90">
          <cell r="J90">
            <v>15361</v>
          </cell>
          <cell r="O90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8"/>
  <sheetViews>
    <sheetView topLeftCell="A70" workbookViewId="0">
      <selection activeCell="O44" sqref="B44:O44"/>
    </sheetView>
  </sheetViews>
  <sheetFormatPr defaultRowHeight="12.75" x14ac:dyDescent="0.2"/>
  <cols>
    <col min="1" max="1" width="49.42578125" style="1" bestFit="1" customWidth="1"/>
    <col min="2" max="2" width="9.140625" style="1" bestFit="1" customWidth="1"/>
    <col min="3" max="3" width="16.28515625" style="1" bestFit="1" customWidth="1"/>
    <col min="4" max="6" width="9.85546875" style="1" bestFit="1" customWidth="1"/>
    <col min="7" max="7" width="7.28515625" style="1" bestFit="1" customWidth="1"/>
    <col min="8" max="8" width="8.85546875" style="1" bestFit="1" customWidth="1"/>
    <col min="9" max="9" width="11.5703125" style="1" bestFit="1" customWidth="1"/>
    <col min="10" max="10" width="7.85546875" style="1" bestFit="1" customWidth="1"/>
    <col min="11" max="11" width="6.7109375" style="1" bestFit="1" customWidth="1"/>
    <col min="12" max="12" width="10.85546875" style="1" bestFit="1" customWidth="1"/>
    <col min="13" max="13" width="7.85546875" style="1" bestFit="1" customWidth="1"/>
    <col min="14" max="14" width="8.28515625" style="1" bestFit="1" customWidth="1"/>
    <col min="15" max="15" width="7.28515625" style="1" bestFit="1" customWidth="1"/>
    <col min="16" max="16" width="10.85546875" style="1" bestFit="1" customWidth="1"/>
    <col min="17" max="16384" width="9.140625" style="1"/>
  </cols>
  <sheetData>
    <row r="1" spans="1:31" ht="15" x14ac:dyDescent="0.25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8"/>
      <c r="R1" s="18"/>
      <c r="S1" s="18"/>
      <c r="T1" s="18"/>
      <c r="U1" s="18"/>
      <c r="V1" s="19"/>
    </row>
    <row r="2" spans="1:31" ht="15" x14ac:dyDescent="0.25">
      <c r="A2" s="20" t="s">
        <v>46</v>
      </c>
      <c r="B2" s="26" t="s">
        <v>77</v>
      </c>
      <c r="C2" s="26" t="s">
        <v>74</v>
      </c>
      <c r="D2" s="20" t="s">
        <v>69</v>
      </c>
      <c r="E2" s="20" t="s">
        <v>66</v>
      </c>
      <c r="F2" s="20" t="s">
        <v>67</v>
      </c>
      <c r="G2" s="26" t="s">
        <v>70</v>
      </c>
      <c r="H2" s="20" t="s">
        <v>68</v>
      </c>
      <c r="I2" s="20" t="s">
        <v>71</v>
      </c>
      <c r="J2" s="26" t="s">
        <v>73</v>
      </c>
      <c r="K2" s="26" t="s">
        <v>72</v>
      </c>
      <c r="L2" s="26" t="s">
        <v>13</v>
      </c>
      <c r="M2" s="26" t="s">
        <v>76</v>
      </c>
      <c r="N2" s="26" t="s">
        <v>75</v>
      </c>
      <c r="O2" s="26" t="s">
        <v>44</v>
      </c>
      <c r="P2" s="26" t="s">
        <v>65</v>
      </c>
      <c r="Q2" s="18"/>
      <c r="R2" s="18"/>
      <c r="S2" s="18"/>
      <c r="T2" s="18"/>
      <c r="U2" s="18"/>
      <c r="V2" s="18"/>
    </row>
    <row r="3" spans="1:31" ht="15" x14ac:dyDescent="0.25">
      <c r="A3" s="14" t="s">
        <v>42</v>
      </c>
      <c r="B3" s="18">
        <v>-241399</v>
      </c>
      <c r="C3" s="18"/>
      <c r="D3" s="18">
        <f>545929429.86/1000</f>
        <v>545929.42986000003</v>
      </c>
      <c r="E3" s="18">
        <v>1070401</v>
      </c>
      <c r="F3" s="18">
        <v>2422644</v>
      </c>
      <c r="G3" s="18">
        <f>7003939.74/1000</f>
        <v>7003.9397399999998</v>
      </c>
      <c r="H3" s="18">
        <f>372750.17/1000</f>
        <v>372.75016999999997</v>
      </c>
      <c r="I3" s="18">
        <f>51442882/1000</f>
        <v>51442.881999999998</v>
      </c>
      <c r="J3" s="18">
        <f>8709868.61/1000</f>
        <v>8709.8686099999995</v>
      </c>
      <c r="K3" s="18"/>
      <c r="L3" s="18">
        <f>3762500</f>
        <v>3762500</v>
      </c>
      <c r="M3" s="18"/>
      <c r="N3" s="18">
        <f>330422</f>
        <v>330422</v>
      </c>
      <c r="O3" s="18"/>
      <c r="P3" s="18">
        <v>7958026.8703799993</v>
      </c>
      <c r="Q3" s="18"/>
      <c r="R3" s="18"/>
      <c r="S3" s="18"/>
      <c r="T3" s="18"/>
      <c r="U3" s="18"/>
      <c r="V3" s="18"/>
    </row>
    <row r="4" spans="1:31" ht="15" x14ac:dyDescent="0.25">
      <c r="A4" s="16" t="s">
        <v>41</v>
      </c>
      <c r="B4" s="18">
        <v>234371</v>
      </c>
      <c r="C4" s="18"/>
      <c r="D4" s="18">
        <f>-474714059.89/1000</f>
        <v>-474714.05988999997</v>
      </c>
      <c r="E4" s="18">
        <v>-962773</v>
      </c>
      <c r="F4" s="18">
        <v>-2050931</v>
      </c>
      <c r="G4" s="18">
        <f>-4763430.56/1000</f>
        <v>-4763.4305599999998</v>
      </c>
      <c r="H4" s="18">
        <f>-370400.03/1000</f>
        <v>-370.40003000000002</v>
      </c>
      <c r="I4" s="18">
        <f>-38340525/1000</f>
        <v>-38340.525000000001</v>
      </c>
      <c r="J4" s="18">
        <f>-6010824.86/1000</f>
        <v>-6010.8248600000006</v>
      </c>
      <c r="K4" s="18"/>
      <c r="L4" s="18">
        <v>-3957903</v>
      </c>
      <c r="M4" s="18"/>
      <c r="N4" s="18">
        <v>-270987</v>
      </c>
      <c r="O4" s="18">
        <v>-4837</v>
      </c>
      <c r="P4" s="18">
        <v>-7537259.24034</v>
      </c>
      <c r="Q4" s="18"/>
      <c r="R4" s="18"/>
      <c r="S4" s="18"/>
      <c r="T4" s="18"/>
      <c r="U4" s="18"/>
      <c r="V4" s="19"/>
    </row>
    <row r="5" spans="1:31" ht="15" x14ac:dyDescent="0.25">
      <c r="A5" s="14" t="s">
        <v>12</v>
      </c>
      <c r="B5" s="18">
        <f>B3+B4</f>
        <v>-7028</v>
      </c>
      <c r="C5" s="18"/>
      <c r="D5" s="18">
        <f t="shared" ref="D5" si="0">D3+D4</f>
        <v>71215.369970000058</v>
      </c>
      <c r="E5" s="18">
        <f t="shared" ref="E5:K5" si="1">E3+E4</f>
        <v>107628</v>
      </c>
      <c r="F5" s="18">
        <f t="shared" si="1"/>
        <v>371713</v>
      </c>
      <c r="G5" s="18">
        <f t="shared" ref="G5" si="2">G3+G4</f>
        <v>2240.50918</v>
      </c>
      <c r="H5" s="18">
        <f t="shared" si="1"/>
        <v>2.3501399999999535</v>
      </c>
      <c r="I5" s="18">
        <f t="shared" ref="I5:J5" si="3">I3+I4</f>
        <v>13102.356999999996</v>
      </c>
      <c r="J5" s="18">
        <f t="shared" si="3"/>
        <v>2699.0437499999989</v>
      </c>
      <c r="K5" s="18">
        <f t="shared" si="1"/>
        <v>0</v>
      </c>
      <c r="L5" s="18">
        <f>L3+L4</f>
        <v>-195403</v>
      </c>
      <c r="M5" s="18">
        <f>M3+M4</f>
        <v>0</v>
      </c>
      <c r="N5" s="18">
        <f>N3+N4</f>
        <v>59435</v>
      </c>
      <c r="O5" s="18">
        <f>O3+O4</f>
        <v>-4837</v>
      </c>
      <c r="P5" s="18">
        <v>420767.63004000008</v>
      </c>
      <c r="Q5" s="18"/>
      <c r="R5" s="18"/>
      <c r="S5" s="18"/>
      <c r="T5" s="18"/>
      <c r="U5" s="18"/>
      <c r="V5" s="18"/>
    </row>
    <row r="6" spans="1:31" ht="15" x14ac:dyDescent="0.25">
      <c r="A6" s="16" t="s">
        <v>40</v>
      </c>
      <c r="B6" s="18">
        <f>6859+4401</f>
        <v>11260</v>
      </c>
      <c r="C6" s="18"/>
      <c r="D6" s="18">
        <f>(-37058784.52-5854277.92-15514.2)/1000</f>
        <v>-42928.576640000007</v>
      </c>
      <c r="E6" s="18">
        <v>-118479</v>
      </c>
      <c r="F6" s="18">
        <v>-344071</v>
      </c>
      <c r="G6" s="18">
        <f>-1244228.11/1000</f>
        <v>-1244.22811</v>
      </c>
      <c r="H6" s="18">
        <f>-180335.91/1000</f>
        <v>-180.33591000000001</v>
      </c>
      <c r="I6" s="18">
        <f>-9336612/1000</f>
        <v>-9336.6119999999992</v>
      </c>
      <c r="J6" s="18">
        <f>-3552195.43/1000</f>
        <v>-3552.1954300000002</v>
      </c>
      <c r="K6" s="18">
        <f>(-416.61-1513.72-18354.35)/1000</f>
        <v>-20.284680000000002</v>
      </c>
      <c r="L6" s="18"/>
      <c r="M6" s="18"/>
      <c r="N6" s="18">
        <f>-15071-16787</f>
        <v>-31858</v>
      </c>
      <c r="O6" s="18">
        <v>-986</v>
      </c>
      <c r="P6" s="18">
        <v>-541396.23277000012</v>
      </c>
      <c r="Q6" s="9"/>
      <c r="R6" s="9"/>
      <c r="S6" s="9"/>
      <c r="T6" s="9"/>
      <c r="U6" s="9"/>
      <c r="V6" s="9"/>
    </row>
    <row r="7" spans="1:31" ht="15" x14ac:dyDescent="0.25">
      <c r="A7" s="14" t="s">
        <v>39</v>
      </c>
      <c r="B7" s="18"/>
      <c r="C7" s="18"/>
      <c r="D7" s="18"/>
      <c r="E7" s="18"/>
      <c r="F7" s="18">
        <v>-9425</v>
      </c>
      <c r="G7" s="18"/>
      <c r="H7" s="18"/>
      <c r="I7" s="18"/>
      <c r="J7" s="18"/>
      <c r="K7" s="18"/>
      <c r="L7" s="18">
        <v>-55196</v>
      </c>
      <c r="M7" s="18"/>
      <c r="N7" s="18"/>
      <c r="O7" s="18"/>
      <c r="P7" s="18">
        <v>-64621</v>
      </c>
      <c r="Q7" s="9"/>
      <c r="R7" s="9"/>
      <c r="S7" s="9"/>
      <c r="T7" s="9"/>
      <c r="U7" s="9"/>
      <c r="V7" s="9"/>
    </row>
    <row r="8" spans="1:31" ht="15" x14ac:dyDescent="0.25">
      <c r="A8" s="14" t="s">
        <v>11</v>
      </c>
      <c r="B8" s="18">
        <f>B5+B6+B7</f>
        <v>4232</v>
      </c>
      <c r="C8" s="18"/>
      <c r="D8" s="18">
        <f t="shared" ref="D8" si="4">D5+D6+D7</f>
        <v>28286.793330000051</v>
      </c>
      <c r="E8" s="18">
        <f t="shared" ref="E8:K8" si="5">E5+E6+E7</f>
        <v>-10851</v>
      </c>
      <c r="F8" s="18">
        <f t="shared" si="5"/>
        <v>18217</v>
      </c>
      <c r="G8" s="18">
        <f t="shared" ref="G8" si="6">G5+G6+G7</f>
        <v>996.28107</v>
      </c>
      <c r="H8" s="18">
        <f t="shared" si="5"/>
        <v>-177.98577000000006</v>
      </c>
      <c r="I8" s="18">
        <f t="shared" ref="I8:J8" si="7">I5+I6+I7</f>
        <v>3765.7449999999972</v>
      </c>
      <c r="J8" s="18">
        <f t="shared" si="7"/>
        <v>-853.15168000000131</v>
      </c>
      <c r="K8" s="18">
        <f t="shared" si="5"/>
        <v>-20.284680000000002</v>
      </c>
      <c r="L8" s="18">
        <f>L5+L6+L7</f>
        <v>-250599</v>
      </c>
      <c r="M8" s="18">
        <f>M5+M6+M7</f>
        <v>0</v>
      </c>
      <c r="N8" s="18">
        <f>N5+N6+N7</f>
        <v>27577</v>
      </c>
      <c r="O8" s="18">
        <f>O5+O6+O7</f>
        <v>-5823</v>
      </c>
      <c r="P8" s="18">
        <v>-185249.60272999996</v>
      </c>
      <c r="Q8" s="9"/>
      <c r="R8" s="9"/>
      <c r="S8" s="9"/>
      <c r="T8" s="9"/>
      <c r="U8" s="9"/>
      <c r="V8" s="9"/>
    </row>
    <row r="9" spans="1:31" ht="15" x14ac:dyDescent="0.25">
      <c r="A9" s="14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>
        <v>0</v>
      </c>
      <c r="Q9" s="9"/>
      <c r="R9" s="9"/>
      <c r="S9" s="9"/>
      <c r="T9" s="9"/>
      <c r="U9" s="9"/>
      <c r="V9" s="9"/>
    </row>
    <row r="10" spans="1:31" x14ac:dyDescent="0.2">
      <c r="A10" s="6" t="s">
        <v>57</v>
      </c>
      <c r="B10" s="9"/>
      <c r="C10" s="9"/>
      <c r="D10" s="9"/>
      <c r="E10" s="9">
        <v>4755</v>
      </c>
      <c r="F10" s="9">
        <v>89910</v>
      </c>
      <c r="G10" s="9"/>
      <c r="H10" s="9"/>
      <c r="I10" s="9"/>
      <c r="J10" s="9">
        <f>17017.66/1000</f>
        <v>17.017659999999999</v>
      </c>
      <c r="K10" s="9"/>
      <c r="L10" s="9">
        <v>476381</v>
      </c>
      <c r="M10" s="9"/>
      <c r="N10" s="9">
        <f>1137</f>
        <v>1137</v>
      </c>
      <c r="O10" s="9">
        <v>1276</v>
      </c>
      <c r="P10" s="9">
        <v>573476.01766000001</v>
      </c>
      <c r="Q10" s="9"/>
      <c r="R10" s="9"/>
      <c r="S10" s="9"/>
      <c r="T10" s="9"/>
      <c r="U10" s="9"/>
      <c r="V10" s="9"/>
    </row>
    <row r="11" spans="1:31" x14ac:dyDescent="0.2">
      <c r="A11" s="3" t="s">
        <v>56</v>
      </c>
      <c r="B11" s="9">
        <v>-6</v>
      </c>
      <c r="C11" s="9"/>
      <c r="D11" s="9">
        <f>-35137159.75/1000</f>
        <v>-35137.159749999999</v>
      </c>
      <c r="E11" s="9">
        <v>-105522</v>
      </c>
      <c r="F11" s="9">
        <v>-324871</v>
      </c>
      <c r="G11" s="9"/>
      <c r="H11" s="9"/>
      <c r="I11" s="9">
        <f>-871615/1000</f>
        <v>-871.61500000000001</v>
      </c>
      <c r="J11" s="9">
        <f>-705220.58/1000</f>
        <v>-705.22057999999993</v>
      </c>
      <c r="K11" s="9">
        <f>-827.8/1000</f>
        <v>-0.82779999999999998</v>
      </c>
      <c r="L11" s="9">
        <v>-347447</v>
      </c>
      <c r="M11" s="9"/>
      <c r="N11" s="9">
        <v>-16022</v>
      </c>
      <c r="O11" s="9"/>
      <c r="P11" s="9">
        <v>-830582.82313000003</v>
      </c>
      <c r="Q11" s="38"/>
      <c r="R11" s="38"/>
      <c r="S11" s="38"/>
      <c r="T11" s="38"/>
      <c r="U11" s="38"/>
      <c r="V11" s="38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ht="15" x14ac:dyDescent="0.25">
      <c r="A12" s="6" t="s">
        <v>55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v>129</v>
      </c>
      <c r="O12" s="9"/>
      <c r="P12" s="9">
        <v>129</v>
      </c>
      <c r="Q12" s="12"/>
      <c r="R12" s="12"/>
      <c r="S12" s="12"/>
      <c r="T12" s="12"/>
      <c r="U12" s="12"/>
      <c r="V12" s="15"/>
    </row>
    <row r="13" spans="1:31" ht="15" x14ac:dyDescent="0.25">
      <c r="A13" s="3" t="s">
        <v>54</v>
      </c>
      <c r="B13" s="9"/>
      <c r="C13" s="9"/>
      <c r="D13" s="9"/>
      <c r="E13" s="9"/>
      <c r="F13" s="9">
        <v>-24327</v>
      </c>
      <c r="G13" s="9"/>
      <c r="H13" s="9"/>
      <c r="I13" s="9"/>
      <c r="J13" s="9"/>
      <c r="K13" s="9"/>
      <c r="L13" s="9"/>
      <c r="M13" s="9"/>
      <c r="N13" s="9">
        <v>5485</v>
      </c>
      <c r="O13" s="9"/>
      <c r="P13" s="9">
        <v>-18842</v>
      </c>
      <c r="Q13" s="12"/>
      <c r="R13" s="12"/>
      <c r="S13" s="12"/>
      <c r="T13" s="12"/>
      <c r="U13" s="12"/>
      <c r="V13" s="12"/>
      <c r="W13" s="12"/>
      <c r="X13" s="12"/>
    </row>
    <row r="14" spans="1:31" ht="15" x14ac:dyDescent="0.25">
      <c r="A14" s="6" t="s">
        <v>53</v>
      </c>
      <c r="B14" s="9">
        <v>515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515</v>
      </c>
      <c r="Q14" s="12"/>
      <c r="R14" s="12"/>
      <c r="S14" s="12"/>
      <c r="T14" s="12"/>
      <c r="U14" s="12"/>
      <c r="V14" s="15"/>
    </row>
    <row r="15" spans="1:31" s="22" customFormat="1" ht="15" x14ac:dyDescent="0.25">
      <c r="A15" s="16" t="s">
        <v>10</v>
      </c>
      <c r="B15" s="38">
        <f>B9+B10+B11+B12+B13+B14</f>
        <v>509</v>
      </c>
      <c r="C15" s="38"/>
      <c r="D15" s="38">
        <f t="shared" ref="D15" si="8">D9+D10+D11+D12+D13+D14</f>
        <v>-35137.159749999999</v>
      </c>
      <c r="E15" s="38">
        <f t="shared" ref="E15:K15" si="9">E9+E10+E11+E12+E13+E14</f>
        <v>-100767</v>
      </c>
      <c r="F15" s="38">
        <f t="shared" si="9"/>
        <v>-259288</v>
      </c>
      <c r="G15" s="38">
        <f t="shared" ref="G15" si="10">G9+G10+G11+G12+G13+G14</f>
        <v>0</v>
      </c>
      <c r="H15" s="38">
        <f t="shared" si="9"/>
        <v>0</v>
      </c>
      <c r="I15" s="38">
        <f t="shared" ref="I15:J15" si="11">I9+I10+I11+I12+I13+I14</f>
        <v>-871.61500000000001</v>
      </c>
      <c r="J15" s="38">
        <f t="shared" si="11"/>
        <v>-688.20291999999995</v>
      </c>
      <c r="K15" s="38">
        <f t="shared" si="9"/>
        <v>-0.82779999999999998</v>
      </c>
      <c r="L15" s="38">
        <f>L9+L10+L11+L12+L13+L14</f>
        <v>128934</v>
      </c>
      <c r="M15" s="38">
        <f>M9+M10+M11+M12+M13+M14</f>
        <v>0</v>
      </c>
      <c r="N15" s="38">
        <f>N9+N10+N11+N12+N13+N14</f>
        <v>-9271</v>
      </c>
      <c r="O15" s="38">
        <f>O9+O10+O11+O12+O13+O14</f>
        <v>1276</v>
      </c>
      <c r="P15" s="38">
        <v>-275304.80547000002</v>
      </c>
      <c r="Q15" s="12"/>
      <c r="R15" s="12"/>
      <c r="S15" s="12"/>
      <c r="T15" s="12"/>
      <c r="U15" s="12"/>
      <c r="V15" s="17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x14ac:dyDescent="0.25">
      <c r="A16" s="16" t="s">
        <v>38</v>
      </c>
      <c r="B16" s="12"/>
      <c r="C16" s="12"/>
      <c r="D16" s="12"/>
      <c r="E16" s="12"/>
      <c r="F16" s="12"/>
      <c r="G16" s="12">
        <f>5358.78/1000</f>
        <v>5.3587799999999994</v>
      </c>
      <c r="H16" s="12">
        <f>-6464.4/1000</f>
        <v>-6.4643999999999995</v>
      </c>
      <c r="I16" s="12"/>
      <c r="J16" s="12">
        <f>(964139.81-21288.31)/1000</f>
        <v>942.85149999999999</v>
      </c>
      <c r="K16" s="12"/>
      <c r="L16" s="12"/>
      <c r="M16" s="12"/>
      <c r="N16" s="12"/>
      <c r="O16" s="12">
        <v>-5043</v>
      </c>
      <c r="P16" s="12">
        <v>-4101.2541199999996</v>
      </c>
      <c r="Q16" s="12"/>
      <c r="R16" s="12"/>
      <c r="S16" s="12"/>
      <c r="T16" s="12"/>
      <c r="U16" s="12"/>
      <c r="V16" s="15"/>
    </row>
    <row r="17" spans="1:24" ht="15" x14ac:dyDescent="0.25">
      <c r="A17" s="16" t="s">
        <v>5</v>
      </c>
      <c r="B17" s="12">
        <f>B8+B15+B16</f>
        <v>4741</v>
      </c>
      <c r="C17" s="12"/>
      <c r="D17" s="12">
        <f t="shared" ref="D17" si="12">D8+D15+D16</f>
        <v>-6850.3664199999475</v>
      </c>
      <c r="E17" s="12">
        <f t="shared" ref="E17:K17" si="13">E8+E15+E16</f>
        <v>-111618</v>
      </c>
      <c r="F17" s="12">
        <f t="shared" si="13"/>
        <v>-241071</v>
      </c>
      <c r="G17" s="12">
        <f t="shared" ref="G17" si="14">G8+G15+G16</f>
        <v>1001.63985</v>
      </c>
      <c r="H17" s="12">
        <f t="shared" si="13"/>
        <v>-184.45017000000007</v>
      </c>
      <c r="I17" s="12">
        <f t="shared" ref="I17:J17" si="15">I8+I15+I16</f>
        <v>2894.1299999999974</v>
      </c>
      <c r="J17" s="12">
        <f t="shared" si="15"/>
        <v>-598.50310000000127</v>
      </c>
      <c r="K17" s="12">
        <f t="shared" si="13"/>
        <v>-21.112480000000001</v>
      </c>
      <c r="L17" s="12">
        <f>L8+L15+L16</f>
        <v>-121665</v>
      </c>
      <c r="M17" s="12">
        <f>M8+M15+M16</f>
        <v>0</v>
      </c>
      <c r="N17" s="12">
        <f>N8+N15+N16</f>
        <v>18306</v>
      </c>
      <c r="O17" s="12">
        <f>O8+O15+O16</f>
        <v>-9590</v>
      </c>
      <c r="P17" s="12">
        <v>-464655.66231999994</v>
      </c>
      <c r="Q17" s="10"/>
      <c r="R17" s="11"/>
      <c r="S17" s="10"/>
      <c r="T17" s="10"/>
      <c r="U17" s="10"/>
      <c r="V17" s="9"/>
    </row>
    <row r="18" spans="1:24" ht="15" x14ac:dyDescent="0.25">
      <c r="A18" s="16" t="s">
        <v>37</v>
      </c>
      <c r="B18" s="12"/>
      <c r="C18" s="12"/>
      <c r="D18" s="12"/>
      <c r="E18" s="12"/>
      <c r="F18" s="12">
        <v>-545</v>
      </c>
      <c r="G18" s="12">
        <f>(-140906.82-77169.68)/1000</f>
        <v>-218.07650000000001</v>
      </c>
      <c r="H18" s="12"/>
      <c r="I18" s="12"/>
      <c r="J18" s="12"/>
      <c r="K18" s="12"/>
      <c r="L18" s="12">
        <v>2875</v>
      </c>
      <c r="M18" s="12"/>
      <c r="N18" s="12">
        <v>-211</v>
      </c>
      <c r="O18" s="12"/>
      <c r="P18" s="12">
        <v>1900.9234999999999</v>
      </c>
      <c r="Q18" s="8"/>
      <c r="R18" s="8"/>
      <c r="S18" s="8"/>
      <c r="T18" s="8"/>
      <c r="U18" s="8"/>
      <c r="V18" s="8"/>
    </row>
    <row r="19" spans="1:24" ht="15" x14ac:dyDescent="0.25">
      <c r="A19" s="16" t="s">
        <v>36</v>
      </c>
      <c r="B19" s="12"/>
      <c r="C19" s="12"/>
      <c r="D19" s="12"/>
      <c r="E19" s="12"/>
      <c r="F19" s="12">
        <v>-8370</v>
      </c>
      <c r="G19" s="12"/>
      <c r="H19" s="12"/>
      <c r="I19" s="12"/>
      <c r="J19" s="12"/>
      <c r="K19" s="12"/>
      <c r="L19" s="12"/>
      <c r="M19" s="12"/>
      <c r="N19" s="12"/>
      <c r="O19" s="12"/>
      <c r="P19" s="12">
        <v>-8370</v>
      </c>
      <c r="Q19" s="7"/>
      <c r="R19" s="7"/>
      <c r="S19" s="7"/>
      <c r="T19" s="7"/>
      <c r="U19" s="7"/>
      <c r="V19" s="7"/>
    </row>
    <row r="20" spans="1:24" ht="15" x14ac:dyDescent="0.25">
      <c r="A20" s="16" t="s">
        <v>4</v>
      </c>
      <c r="B20" s="12">
        <f>B17+B18+B19</f>
        <v>4741</v>
      </c>
      <c r="C20" s="12"/>
      <c r="D20" s="12">
        <f t="shared" ref="D20" si="16">D17+D18+D19</f>
        <v>-6850.3664199999475</v>
      </c>
      <c r="E20" s="12">
        <f t="shared" ref="E20:K20" si="17">E17+E18+E19</f>
        <v>-111618</v>
      </c>
      <c r="F20" s="12">
        <f t="shared" si="17"/>
        <v>-249986</v>
      </c>
      <c r="G20" s="12">
        <f t="shared" ref="G20" si="18">G17+G18+G19</f>
        <v>783.56335000000001</v>
      </c>
      <c r="H20" s="12">
        <f t="shared" si="17"/>
        <v>-184.45017000000007</v>
      </c>
      <c r="I20" s="12">
        <f t="shared" ref="I20:J20" si="19">I17+I18+I19</f>
        <v>2894.1299999999974</v>
      </c>
      <c r="J20" s="12">
        <f t="shared" si="19"/>
        <v>-598.50310000000127</v>
      </c>
      <c r="K20" s="12">
        <f t="shared" si="17"/>
        <v>-21.112480000000001</v>
      </c>
      <c r="L20" s="12">
        <f>L17+L18+L19</f>
        <v>-118790</v>
      </c>
      <c r="M20" s="12">
        <f>M17+M18+M19</f>
        <v>0</v>
      </c>
      <c r="N20" s="12">
        <f>N17+N18+N19</f>
        <v>18095</v>
      </c>
      <c r="O20" s="12">
        <f>O17+O18+O19</f>
        <v>-9590</v>
      </c>
      <c r="P20" s="12">
        <v>-471124.73881999991</v>
      </c>
      <c r="Q20" s="8"/>
      <c r="R20" s="8"/>
      <c r="S20" s="8"/>
      <c r="T20" s="8"/>
      <c r="U20" s="8"/>
      <c r="V20" s="8"/>
    </row>
    <row r="21" spans="1:24" ht="15" x14ac:dyDescent="0.25">
      <c r="A21" s="14"/>
      <c r="B21" s="9"/>
      <c r="C21" s="12"/>
      <c r="D21" s="9"/>
      <c r="E21" s="13"/>
      <c r="F21" s="10"/>
      <c r="G21" s="10"/>
      <c r="H21" s="9"/>
      <c r="I21" s="10"/>
      <c r="J21" s="10"/>
      <c r="K21" s="9"/>
      <c r="L21" s="10"/>
      <c r="M21" s="10"/>
      <c r="N21" s="9"/>
      <c r="O21" s="10"/>
      <c r="P21" s="10"/>
      <c r="Q21" s="18"/>
      <c r="R21" s="18"/>
      <c r="S21" s="18"/>
      <c r="T21" s="18"/>
      <c r="U21" s="18"/>
      <c r="V21" s="18"/>
    </row>
    <row r="22" spans="1:24" ht="15" x14ac:dyDescent="0.25">
      <c r="A22" s="6" t="s">
        <v>35</v>
      </c>
      <c r="B22" s="8">
        <v>1.7192299184444614E-2</v>
      </c>
      <c r="C22" s="8"/>
      <c r="D22" s="8">
        <v>-7.813605719339969E-3</v>
      </c>
      <c r="E22" s="8">
        <v>-3.5860813086700416E-2</v>
      </c>
      <c r="F22" s="8">
        <v>-3.053256663800516E-2</v>
      </c>
      <c r="G22" s="8">
        <v>1.6301944245806062E-2</v>
      </c>
      <c r="H22" s="8">
        <f>IFERROR(H20/[1]BP!I3,"")</f>
        <v>-4.439709683836255E-2</v>
      </c>
      <c r="I22" s="8">
        <v>1.063038979528419E-2</v>
      </c>
      <c r="J22" s="8">
        <v>-1.8176361397755442E-2</v>
      </c>
      <c r="K22" s="8">
        <v>-1.0150550560374144E-2</v>
      </c>
      <c r="L22" s="8">
        <v>-9.7630999695740416E-3</v>
      </c>
      <c r="M22" s="8" t="str">
        <f>IFERROR(M20/[1]BP!Q3,"")</f>
        <v/>
      </c>
      <c r="N22" s="8">
        <v>1.7311018590091917E-2</v>
      </c>
      <c r="O22" s="8">
        <v>-0.30559892928842292</v>
      </c>
      <c r="P22" s="8">
        <v>-1.8007419891395097E-2</v>
      </c>
      <c r="Q22" s="18"/>
      <c r="R22" s="18"/>
      <c r="S22" s="18"/>
      <c r="T22" s="18"/>
      <c r="U22" s="18"/>
      <c r="V22" s="18"/>
    </row>
    <row r="23" spans="1:24" ht="15" x14ac:dyDescent="0.25">
      <c r="A23" s="3" t="s">
        <v>34</v>
      </c>
      <c r="B23" s="7">
        <v>5.240816687485491E-2</v>
      </c>
      <c r="C23" s="7"/>
      <c r="D23" s="7">
        <v>0.7468263816888272</v>
      </c>
      <c r="E23" s="7">
        <v>0.57766414971302593</v>
      </c>
      <c r="F23" s="7">
        <v>-2.0125104656404971</v>
      </c>
      <c r="G23" s="7">
        <v>0.12826331957340423</v>
      </c>
      <c r="H23" s="7">
        <f>(IFERROR(H20/[1]BP!I12,""))</f>
        <v>-7.1419277223409086E-2</v>
      </c>
      <c r="I23" s="7">
        <v>-2.6682210614967804E-2</v>
      </c>
      <c r="J23" s="7">
        <v>-0.11595669982648825</v>
      </c>
      <c r="K23" s="7">
        <v>8.8004131231501324E-3</v>
      </c>
      <c r="L23" s="7">
        <v>-9.4477905977025933E-2</v>
      </c>
      <c r="M23" s="7" t="str">
        <f>(IFERROR(M20/[1]BP!Q12,""))</f>
        <v/>
      </c>
      <c r="N23" s="7">
        <v>-5.0169403179567369E-2</v>
      </c>
      <c r="O23" s="7">
        <v>8.3372454923234751E-2</v>
      </c>
      <c r="P23" s="7">
        <v>-0.67018061748659408</v>
      </c>
      <c r="Q23" s="9"/>
      <c r="R23" s="9"/>
      <c r="S23" s="9"/>
      <c r="T23" s="9"/>
      <c r="U23" s="9"/>
      <c r="V23" s="9"/>
    </row>
    <row r="24" spans="1:24" ht="15" x14ac:dyDescent="0.25">
      <c r="A24" s="6" t="s">
        <v>3</v>
      </c>
      <c r="B24" s="8">
        <v>2.9113625160004805E-2</v>
      </c>
      <c r="C24" s="8"/>
      <c r="D24" s="8">
        <v>0.13044794084147976</v>
      </c>
      <c r="E24" s="8">
        <v>0.10054923341813021</v>
      </c>
      <c r="F24" s="8">
        <v>0.15343277840243966</v>
      </c>
      <c r="G24" s="8">
        <v>0.31989269799171632</v>
      </c>
      <c r="H24" s="8">
        <f t="shared" ref="H24" si="20">IFERROR(H5/H3,"")</f>
        <v>6.3048663398327992E-3</v>
      </c>
      <c r="I24" s="8">
        <v>0.25469718045734679</v>
      </c>
      <c r="J24" s="8">
        <v>0.30988340592200952</v>
      </c>
      <c r="K24" s="8" t="s">
        <v>83</v>
      </c>
      <c r="L24" s="8">
        <v>-5.1934352159468442E-2</v>
      </c>
      <c r="M24" s="8" t="str">
        <f>IFERROR(M5/M3,"")</f>
        <v/>
      </c>
      <c r="N24" s="8">
        <v>0.17987603730986435</v>
      </c>
      <c r="O24" s="8" t="s">
        <v>83</v>
      </c>
      <c r="P24" s="8">
        <v>5.2873361310968814E-2</v>
      </c>
      <c r="Q24" s="9"/>
      <c r="R24" s="9"/>
      <c r="S24" s="9"/>
      <c r="T24" s="9"/>
      <c r="U24" s="9"/>
      <c r="V24" s="9"/>
    </row>
    <row r="25" spans="1:24" ht="15" x14ac:dyDescent="0.25">
      <c r="A25" s="3" t="s">
        <v>2</v>
      </c>
      <c r="B25" s="7">
        <v>-1.963968367723147E-2</v>
      </c>
      <c r="C25" s="7"/>
      <c r="D25" s="7">
        <v>-1.2548080475816587E-2</v>
      </c>
      <c r="E25" s="7">
        <v>-0.10427680841105343</v>
      </c>
      <c r="F25" s="7">
        <v>-0.1031872615208838</v>
      </c>
      <c r="G25" s="7">
        <v>0.11187465613460576</v>
      </c>
      <c r="H25" s="7">
        <f t="shared" ref="H25" si="21">IFERROR(H20/H3,"")</f>
        <v>-0.4948359111412346</v>
      </c>
      <c r="I25" s="7">
        <v>5.6259095281636778E-2</v>
      </c>
      <c r="J25" s="7">
        <v>-6.8715514182710657E-2</v>
      </c>
      <c r="K25" s="7" t="s">
        <v>83</v>
      </c>
      <c r="L25" s="7">
        <v>-3.1572093023255816E-2</v>
      </c>
      <c r="M25" s="7" t="str">
        <f>IFERROR(M20/M3,"")</f>
        <v/>
      </c>
      <c r="N25" s="7">
        <v>5.4763302685656524E-2</v>
      </c>
      <c r="O25" s="7" t="s">
        <v>83</v>
      </c>
      <c r="P25" s="7">
        <v>-5.9201199806642964E-2</v>
      </c>
      <c r="Q25" s="9"/>
      <c r="R25" s="9"/>
      <c r="S25" s="9"/>
      <c r="T25" s="9"/>
      <c r="U25" s="9"/>
      <c r="V25" s="9"/>
    </row>
    <row r="26" spans="1:24" ht="15" x14ac:dyDescent="0.25">
      <c r="A26" s="6" t="s">
        <v>1</v>
      </c>
      <c r="B26" s="5">
        <v>4232</v>
      </c>
      <c r="C26" s="5"/>
      <c r="D26" s="5">
        <v>28286.793330000051</v>
      </c>
      <c r="E26" s="5">
        <v>-10851</v>
      </c>
      <c r="F26" s="5">
        <v>18217</v>
      </c>
      <c r="G26" s="5">
        <v>996.28107</v>
      </c>
      <c r="H26" s="5">
        <f t="shared" ref="H26" si="22">+H8</f>
        <v>-177.98577000000006</v>
      </c>
      <c r="I26" s="5">
        <v>3765.7449999999972</v>
      </c>
      <c r="J26" s="5">
        <v>-853.15168000000131</v>
      </c>
      <c r="K26" s="5">
        <v>-20.284680000000002</v>
      </c>
      <c r="L26" s="5">
        <v>-250599</v>
      </c>
      <c r="M26" s="5">
        <f>+M8</f>
        <v>0</v>
      </c>
      <c r="N26" s="5">
        <v>27577</v>
      </c>
      <c r="O26" s="5">
        <v>-5823</v>
      </c>
      <c r="P26" s="5">
        <v>-185249.60272999996</v>
      </c>
      <c r="Q26" s="9"/>
      <c r="R26" s="9"/>
      <c r="S26" s="9"/>
      <c r="T26" s="9"/>
      <c r="U26" s="9"/>
      <c r="V26" s="9"/>
    </row>
    <row r="27" spans="1:24" ht="15" x14ac:dyDescent="0.25">
      <c r="A27" s="3" t="s">
        <v>0</v>
      </c>
      <c r="B27" s="2">
        <v>-1.7531141388323894E-2</v>
      </c>
      <c r="C27" s="2"/>
      <c r="D27" s="2">
        <v>5.181401071793109E-2</v>
      </c>
      <c r="E27" s="2">
        <v>-1.0137322367972377E-2</v>
      </c>
      <c r="F27" s="2">
        <v>7.5194704628496799E-3</v>
      </c>
      <c r="G27" s="2">
        <f t="shared" ref="G27" si="23">IF(G3=0,0,G26/G3)</f>
        <v>0.14224580835699766</v>
      </c>
      <c r="H27" s="2">
        <f t="shared" ref="H27:K27" si="24">IF(H3=0,0,H26/H3)</f>
        <v>-0.47749346432222978</v>
      </c>
      <c r="I27" s="2">
        <f t="shared" ref="I27" si="25">IF(I3=0,0,I26/I3)</f>
        <v>7.3202450049357604E-2</v>
      </c>
      <c r="J27" s="2">
        <v>-9.795230194637819E-2</v>
      </c>
      <c r="K27" s="2">
        <f t="shared" si="24"/>
        <v>0</v>
      </c>
      <c r="L27" s="2">
        <v>-6.6604385382059803E-2</v>
      </c>
      <c r="M27" s="2">
        <f>IF(M3=0,0,M26/M3)</f>
        <v>0</v>
      </c>
      <c r="N27" s="2">
        <v>8.3459939108170761E-2</v>
      </c>
      <c r="O27" s="2">
        <v>0</v>
      </c>
      <c r="P27" s="2">
        <v>-2.3278333404415132E-2</v>
      </c>
      <c r="Q27" s="9"/>
      <c r="R27" s="9"/>
      <c r="S27" s="9"/>
      <c r="T27" s="9"/>
      <c r="U27" s="9"/>
      <c r="V27" s="9"/>
    </row>
    <row r="28" spans="1:24" ht="15" x14ac:dyDescent="0.25">
      <c r="A28" s="14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9"/>
      <c r="R28" s="9"/>
      <c r="S28" s="9"/>
      <c r="T28" s="9"/>
      <c r="U28" s="9"/>
      <c r="V28" s="9"/>
    </row>
    <row r="29" spans="1:24" ht="15" x14ac:dyDescent="0.25">
      <c r="Q29" s="12"/>
      <c r="R29" s="12"/>
      <c r="S29" s="12"/>
      <c r="T29" s="12"/>
      <c r="U29" s="12"/>
      <c r="V29" s="15"/>
    </row>
    <row r="30" spans="1:24" ht="15" x14ac:dyDescent="0.25">
      <c r="A30" s="49" t="s">
        <v>60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12"/>
      <c r="R30" s="12"/>
      <c r="S30" s="12"/>
      <c r="T30" s="12"/>
      <c r="U30" s="12"/>
      <c r="V30" s="12"/>
      <c r="W30" s="12"/>
      <c r="X30" s="12"/>
    </row>
    <row r="31" spans="1:24" ht="15" x14ac:dyDescent="0.25">
      <c r="A31" s="20" t="s">
        <v>46</v>
      </c>
      <c r="B31" s="26" t="s">
        <v>77</v>
      </c>
      <c r="C31" s="26" t="s">
        <v>74</v>
      </c>
      <c r="D31" s="20" t="s">
        <v>69</v>
      </c>
      <c r="E31" s="20" t="s">
        <v>66</v>
      </c>
      <c r="F31" s="20" t="s">
        <v>67</v>
      </c>
      <c r="G31" s="26" t="s">
        <v>70</v>
      </c>
      <c r="H31" s="20" t="s">
        <v>68</v>
      </c>
      <c r="I31" s="20" t="s">
        <v>71</v>
      </c>
      <c r="J31" s="26" t="s">
        <v>73</v>
      </c>
      <c r="K31" s="26" t="s">
        <v>72</v>
      </c>
      <c r="L31" s="26" t="s">
        <v>13</v>
      </c>
      <c r="M31" s="26" t="s">
        <v>76</v>
      </c>
      <c r="N31" s="26" t="s">
        <v>75</v>
      </c>
      <c r="O31" s="26" t="s">
        <v>44</v>
      </c>
      <c r="P31" s="26" t="s">
        <v>65</v>
      </c>
      <c r="Q31" s="18"/>
      <c r="R31" s="18"/>
      <c r="S31" s="18"/>
      <c r="T31" s="18"/>
      <c r="U31" s="18"/>
      <c r="V31" s="18"/>
    </row>
    <row r="32" spans="1:24" ht="15" x14ac:dyDescent="0.25">
      <c r="A32" s="16" t="s">
        <v>42</v>
      </c>
      <c r="B32" s="18">
        <v>479650</v>
      </c>
      <c r="C32" s="18"/>
      <c r="D32" s="18">
        <f>1044882</f>
        <v>1044882</v>
      </c>
      <c r="E32" s="18">
        <v>1266031</v>
      </c>
      <c r="F32" s="18">
        <v>2332494</v>
      </c>
      <c r="G32" s="18">
        <f>18204158.28/1000</f>
        <v>18204.15828</v>
      </c>
      <c r="H32" s="18">
        <f>395470.62/1000</f>
        <v>395.47062</v>
      </c>
      <c r="I32" s="18">
        <f>57841458/1000</f>
        <v>57841.457999999999</v>
      </c>
      <c r="J32" s="18">
        <f>7914696.75/1000</f>
        <v>7914.6967500000001</v>
      </c>
      <c r="K32" s="18"/>
      <c r="L32" s="18">
        <f>3572468</f>
        <v>3572468</v>
      </c>
      <c r="M32" s="18">
        <f>49368014.31/1000</f>
        <v>49368.014310000006</v>
      </c>
      <c r="N32" s="18">
        <v>108613</v>
      </c>
      <c r="O32" s="18"/>
      <c r="P32" s="18">
        <v>8937861.7979600001</v>
      </c>
      <c r="Q32" s="12"/>
      <c r="R32" s="12"/>
      <c r="S32" s="12"/>
      <c r="T32" s="12"/>
      <c r="U32" s="12"/>
      <c r="V32" s="17"/>
    </row>
    <row r="33" spans="1:31" ht="15" x14ac:dyDescent="0.25">
      <c r="A33" s="16" t="s">
        <v>41</v>
      </c>
      <c r="B33" s="18">
        <v>-455758</v>
      </c>
      <c r="C33" s="18"/>
      <c r="D33" s="18">
        <v>-960934</v>
      </c>
      <c r="E33" s="18">
        <v>-1027347</v>
      </c>
      <c r="F33" s="18">
        <v>-2010573</v>
      </c>
      <c r="G33" s="18">
        <f>-6716116.72/1000</f>
        <v>-6716.11672</v>
      </c>
      <c r="H33" s="18">
        <f>-718739.88/1000</f>
        <v>-718.73987999999997</v>
      </c>
      <c r="I33" s="18">
        <f>-49835316/1000</f>
        <v>-49835.315999999999</v>
      </c>
      <c r="J33" s="18">
        <f>-6567532.09/1000</f>
        <v>-6567.5320899999997</v>
      </c>
      <c r="K33" s="18"/>
      <c r="L33" s="18">
        <v>-3715610</v>
      </c>
      <c r="M33" s="18">
        <f>-41334435.82/1000</f>
        <v>-41334.435819999999</v>
      </c>
      <c r="N33" s="18">
        <v>-95576</v>
      </c>
      <c r="O33" s="18">
        <v>-8157.7279400000007</v>
      </c>
      <c r="P33" s="18">
        <v>-8379127.86845</v>
      </c>
      <c r="Q33" s="12"/>
      <c r="R33" s="12"/>
      <c r="S33" s="12"/>
      <c r="T33" s="12"/>
      <c r="U33" s="12"/>
      <c r="V33" s="15"/>
    </row>
    <row r="34" spans="1:31" ht="15" x14ac:dyDescent="0.25">
      <c r="A34" s="16" t="s">
        <v>12</v>
      </c>
      <c r="B34" s="18">
        <f>B32+B33</f>
        <v>23892</v>
      </c>
      <c r="C34" s="18"/>
      <c r="D34" s="18">
        <f t="shared" ref="D34" si="26">D32+D33</f>
        <v>83948</v>
      </c>
      <c r="E34" s="18">
        <f t="shared" ref="E34:K34" si="27">E32+E33</f>
        <v>238684</v>
      </c>
      <c r="F34" s="18">
        <f t="shared" si="27"/>
        <v>321921</v>
      </c>
      <c r="G34" s="18">
        <f t="shared" ref="G34" si="28">G32+G33</f>
        <v>11488.04156</v>
      </c>
      <c r="H34" s="18">
        <f t="shared" si="27"/>
        <v>-323.26925999999997</v>
      </c>
      <c r="I34" s="18">
        <f t="shared" ref="I34:J34" si="29">I32+I33</f>
        <v>8006.1419999999998</v>
      </c>
      <c r="J34" s="18">
        <f t="shared" si="29"/>
        <v>1347.1646600000004</v>
      </c>
      <c r="K34" s="18">
        <f t="shared" si="27"/>
        <v>0</v>
      </c>
      <c r="L34" s="18">
        <f>L32+L33</f>
        <v>-143142</v>
      </c>
      <c r="M34" s="18">
        <f>M32+M33</f>
        <v>8033.5784900000072</v>
      </c>
      <c r="N34" s="18">
        <f>N32+N33</f>
        <v>13037</v>
      </c>
      <c r="O34" s="18">
        <f>O32+O33</f>
        <v>-8157.7279400000007</v>
      </c>
      <c r="P34" s="18">
        <v>558733.92951000005</v>
      </c>
      <c r="Q34" s="12"/>
      <c r="R34" s="12"/>
      <c r="S34" s="12"/>
      <c r="T34" s="12"/>
      <c r="U34" s="12"/>
      <c r="V34" s="15"/>
    </row>
    <row r="35" spans="1:31" ht="15" x14ac:dyDescent="0.25">
      <c r="A35" s="16" t="s">
        <v>40</v>
      </c>
      <c r="B35" s="18">
        <f>-14397-9199-862</f>
        <v>-24458</v>
      </c>
      <c r="C35" s="18"/>
      <c r="D35" s="18">
        <f>(-69851-12192-20)</f>
        <v>-82063</v>
      </c>
      <c r="E35" s="18">
        <v>-151488</v>
      </c>
      <c r="F35" s="18">
        <v>-345151</v>
      </c>
      <c r="G35" s="18">
        <f>-7968954.07/1000</f>
        <v>-7968.9540700000007</v>
      </c>
      <c r="H35" s="18">
        <f>-264188.73/1000</f>
        <v>-264.18872999999996</v>
      </c>
      <c r="I35" s="18">
        <f>-9887939/1000</f>
        <v>-9887.9390000000003</v>
      </c>
      <c r="J35" s="18">
        <f>-2347153.25/1000</f>
        <v>-2347.1532499999998</v>
      </c>
      <c r="K35" s="18">
        <f>-(1249.83+4141.1+14554.26)/1000</f>
        <v>-19.945190000000004</v>
      </c>
      <c r="L35" s="18"/>
      <c r="M35" s="18">
        <f>(-4913119.61)/1000</f>
        <v>-4913.1196100000006</v>
      </c>
      <c r="N35" s="18">
        <f>-23183</f>
        <v>-23183</v>
      </c>
      <c r="O35" s="18"/>
      <c r="P35" s="18">
        <v>-651744.29985000007</v>
      </c>
      <c r="Q35" s="25"/>
      <c r="R35" s="25"/>
      <c r="S35" s="25"/>
      <c r="T35" s="25"/>
      <c r="U35" s="25"/>
      <c r="V35" s="15"/>
    </row>
    <row r="36" spans="1:31" ht="15" x14ac:dyDescent="0.25">
      <c r="A36" s="16" t="s">
        <v>39</v>
      </c>
      <c r="B36" s="18"/>
      <c r="C36" s="18"/>
      <c r="D36" s="18"/>
      <c r="E36" s="18"/>
      <c r="F36" s="18">
        <v>-7379</v>
      </c>
      <c r="G36" s="18"/>
      <c r="H36" s="18"/>
      <c r="I36" s="18"/>
      <c r="J36" s="18"/>
      <c r="K36" s="18"/>
      <c r="L36" s="18">
        <v>-43174</v>
      </c>
      <c r="M36" s="18"/>
      <c r="N36" s="18"/>
      <c r="O36" s="18"/>
      <c r="P36" s="18">
        <v>-50553</v>
      </c>
      <c r="Q36" s="36"/>
      <c r="R36" s="36"/>
      <c r="S36" s="36"/>
      <c r="T36" s="36"/>
      <c r="U36" s="36"/>
      <c r="V36" s="36"/>
      <c r="W36" s="22"/>
      <c r="X36" s="22"/>
      <c r="Y36" s="22"/>
      <c r="Z36" s="22"/>
      <c r="AA36" s="22"/>
    </row>
    <row r="37" spans="1:31" ht="15" x14ac:dyDescent="0.25">
      <c r="A37" s="16" t="s">
        <v>11</v>
      </c>
      <c r="B37" s="18">
        <f>B34+B35+B36</f>
        <v>-566</v>
      </c>
      <c r="C37" s="18"/>
      <c r="D37" s="18">
        <f t="shared" ref="D37" si="30">D34+D35+D36</f>
        <v>1885</v>
      </c>
      <c r="E37" s="18">
        <f t="shared" ref="E37:K37" si="31">E34+E35+E36</f>
        <v>87196</v>
      </c>
      <c r="F37" s="18">
        <f t="shared" si="31"/>
        <v>-30609</v>
      </c>
      <c r="G37" s="18">
        <f t="shared" ref="G37" si="32">G34+G35+G36</f>
        <v>3519.087489999999</v>
      </c>
      <c r="H37" s="18">
        <f t="shared" si="31"/>
        <v>-587.45798999999988</v>
      </c>
      <c r="I37" s="18">
        <f t="shared" ref="I37:J37" si="33">I34+I35+I36</f>
        <v>-1881.7970000000005</v>
      </c>
      <c r="J37" s="18">
        <f t="shared" si="33"/>
        <v>-999.98858999999948</v>
      </c>
      <c r="K37" s="18">
        <f t="shared" si="31"/>
        <v>-19.945190000000004</v>
      </c>
      <c r="L37" s="18">
        <f>L34+L35+L36</f>
        <v>-186316</v>
      </c>
      <c r="M37" s="18">
        <f>M34+M35+M36</f>
        <v>3120.4588800000065</v>
      </c>
      <c r="N37" s="18">
        <f>N34+N35+N36</f>
        <v>-10146</v>
      </c>
      <c r="O37" s="18">
        <f>O34+O35+O36</f>
        <v>-8157.7279400000007</v>
      </c>
      <c r="P37" s="18">
        <v>-143563.37033999999</v>
      </c>
      <c r="Q37" s="41"/>
      <c r="R37" s="41"/>
      <c r="S37" s="41"/>
      <c r="T37" s="41"/>
      <c r="U37" s="41"/>
      <c r="V37" s="41"/>
      <c r="W37" s="22"/>
      <c r="X37" s="22"/>
      <c r="Y37" s="22"/>
      <c r="Z37" s="22"/>
      <c r="AA37" s="22"/>
    </row>
    <row r="38" spans="1:31" ht="15" x14ac:dyDescent="0.25">
      <c r="A38" s="6" t="s">
        <v>43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0</v>
      </c>
      <c r="Q38" s="8"/>
      <c r="R38" s="8"/>
      <c r="S38" s="8"/>
      <c r="T38" s="8"/>
      <c r="U38" s="8"/>
      <c r="V38" s="8"/>
    </row>
    <row r="39" spans="1:31" ht="15" x14ac:dyDescent="0.25">
      <c r="A39" s="6" t="s">
        <v>57</v>
      </c>
      <c r="B39" s="9"/>
      <c r="C39" s="9"/>
      <c r="D39" s="9"/>
      <c r="E39" s="9">
        <f>12392</f>
        <v>12392</v>
      </c>
      <c r="F39" s="9">
        <v>49803</v>
      </c>
      <c r="G39" s="9"/>
      <c r="H39" s="9"/>
      <c r="I39" s="9"/>
      <c r="J39" s="9">
        <f>13650.47/1000</f>
        <v>13.650469999999999</v>
      </c>
      <c r="K39" s="9"/>
      <c r="L39" s="9">
        <f>253532</f>
        <v>253532</v>
      </c>
      <c r="M39" s="9">
        <f>281334.7/1000</f>
        <v>281.3347</v>
      </c>
      <c r="N39" s="9">
        <v>616</v>
      </c>
      <c r="O39" s="9">
        <v>1446.1382599999999</v>
      </c>
      <c r="P39" s="9">
        <v>318084.12342999998</v>
      </c>
      <c r="Q39" s="7"/>
      <c r="R39" s="7"/>
      <c r="S39" s="7"/>
      <c r="T39" s="7"/>
      <c r="U39" s="7"/>
      <c r="V39" s="7"/>
    </row>
    <row r="40" spans="1:31" ht="15" x14ac:dyDescent="0.25">
      <c r="A40" s="6" t="s">
        <v>56</v>
      </c>
      <c r="B40" s="9">
        <v>-887</v>
      </c>
      <c r="C40" s="9"/>
      <c r="D40" s="9">
        <v>-63000</v>
      </c>
      <c r="E40" s="9">
        <v>-87263</v>
      </c>
      <c r="F40" s="9">
        <v>-213366</v>
      </c>
      <c r="G40" s="9"/>
      <c r="H40" s="9"/>
      <c r="I40" s="9">
        <f>-35956/1000</f>
        <v>-35.956000000000003</v>
      </c>
      <c r="J40" s="9">
        <f>-648753.56/1000</f>
        <v>-648.75356000000011</v>
      </c>
      <c r="K40" s="9">
        <f>-580.32/1000</f>
        <v>-0.58032000000000006</v>
      </c>
      <c r="L40" s="9">
        <v>-171425</v>
      </c>
      <c r="M40" s="9">
        <f>-6759671.83/1000</f>
        <v>-6759.6718300000002</v>
      </c>
      <c r="N40" s="9">
        <v>-11769</v>
      </c>
      <c r="O40" s="9"/>
      <c r="P40" s="9">
        <v>-555154.96171000006</v>
      </c>
      <c r="Q40" s="18"/>
      <c r="R40" s="18"/>
      <c r="S40" s="18"/>
      <c r="T40" s="18"/>
      <c r="U40" s="18"/>
      <c r="V40" s="18"/>
    </row>
    <row r="41" spans="1:31" ht="15" x14ac:dyDescent="0.25">
      <c r="A41" s="6" t="s">
        <v>55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v>-129</v>
      </c>
      <c r="O41" s="9"/>
      <c r="P41" s="9">
        <v>-129</v>
      </c>
      <c r="Q41" s="18"/>
      <c r="R41" s="18"/>
      <c r="S41" s="18"/>
      <c r="T41" s="18"/>
      <c r="U41" s="18"/>
      <c r="V41" s="18"/>
    </row>
    <row r="42" spans="1:31" ht="15" x14ac:dyDescent="0.25">
      <c r="A42" s="6" t="s">
        <v>54</v>
      </c>
      <c r="B42" s="9"/>
      <c r="C42" s="9"/>
      <c r="D42" s="9"/>
      <c r="E42" s="9"/>
      <c r="F42" s="9">
        <v>7476</v>
      </c>
      <c r="G42" s="9"/>
      <c r="H42" s="9"/>
      <c r="I42" s="9"/>
      <c r="J42" s="9"/>
      <c r="K42" s="9"/>
      <c r="L42" s="9"/>
      <c r="M42" s="9">
        <f>(1138769.31-5318577.49)/1000</f>
        <v>-4179.80818</v>
      </c>
      <c r="N42" s="9">
        <v>438</v>
      </c>
      <c r="O42" s="9"/>
      <c r="P42" s="9">
        <v>3734.19182</v>
      </c>
      <c r="Q42" s="18"/>
      <c r="R42" s="18"/>
      <c r="S42" s="18"/>
      <c r="T42" s="18"/>
      <c r="U42" s="18"/>
      <c r="V42" s="18"/>
      <c r="AA42" s="22"/>
    </row>
    <row r="43" spans="1:31" x14ac:dyDescent="0.2">
      <c r="A43" s="6" t="s">
        <v>53</v>
      </c>
      <c r="B43" s="9"/>
      <c r="C43" s="9"/>
      <c r="D43" s="9"/>
      <c r="E43" s="9"/>
      <c r="F43" s="9"/>
      <c r="G43" s="9"/>
      <c r="H43" s="9">
        <f>-24592.1/1000</f>
        <v>-24.592099999999999</v>
      </c>
      <c r="I43" s="9">
        <f>35707/1000</f>
        <v>35.707000000000001</v>
      </c>
      <c r="J43" s="9"/>
      <c r="K43" s="9"/>
      <c r="L43" s="9"/>
      <c r="M43" s="9">
        <f>(5630257.37-835510.06)/1000</f>
        <v>4794.7473100000007</v>
      </c>
      <c r="N43" s="9"/>
      <c r="O43" s="9"/>
      <c r="P43" s="9">
        <v>4805.8622100000002</v>
      </c>
      <c r="Q43" s="9"/>
      <c r="R43" s="9"/>
      <c r="S43" s="9"/>
      <c r="T43" s="9"/>
      <c r="U43" s="9"/>
      <c r="V43" s="9"/>
    </row>
    <row r="44" spans="1:31" ht="15" x14ac:dyDescent="0.25">
      <c r="A44" s="16" t="s">
        <v>10</v>
      </c>
      <c r="B44" s="12">
        <f>B38+B39+B40+B41+B42+B43</f>
        <v>-887</v>
      </c>
      <c r="C44" s="12"/>
      <c r="D44" s="12">
        <f t="shared" ref="D44" si="34">D38+D39+D40+D41+D42+D43</f>
        <v>-63000</v>
      </c>
      <c r="E44" s="12">
        <f t="shared" ref="E44:K44" si="35">E38+E39+E40+E41+E42+E43</f>
        <v>-74871</v>
      </c>
      <c r="F44" s="12">
        <f t="shared" si="35"/>
        <v>-156087</v>
      </c>
      <c r="G44" s="12">
        <f t="shared" ref="G44" si="36">G38+G39+G40+G41+G42+G43</f>
        <v>0</v>
      </c>
      <c r="H44" s="12">
        <f t="shared" si="35"/>
        <v>-24.592099999999999</v>
      </c>
      <c r="I44" s="12">
        <f t="shared" ref="I44:J44" si="37">I38+I39+I40+I41+I42+I43</f>
        <v>-0.24900000000000233</v>
      </c>
      <c r="J44" s="12">
        <f t="shared" si="37"/>
        <v>-635.10309000000007</v>
      </c>
      <c r="K44" s="12">
        <f t="shared" si="35"/>
        <v>-0.58032000000000006</v>
      </c>
      <c r="L44" s="12">
        <f>L38+L39+L40+L41+L42+L43</f>
        <v>82107</v>
      </c>
      <c r="M44" s="12">
        <f>M38+M39+M40+M41+M42+M43</f>
        <v>-5863.3979999999992</v>
      </c>
      <c r="N44" s="12">
        <f>N38+N39+N40+N41+N42+N43</f>
        <v>-10844</v>
      </c>
      <c r="O44" s="12">
        <f>O38+O39+O40+O41+O42+O43</f>
        <v>1446.1382599999999</v>
      </c>
      <c r="P44" s="12">
        <v>-228659.78425</v>
      </c>
      <c r="Q44" s="9"/>
      <c r="R44" s="9"/>
      <c r="S44" s="9"/>
      <c r="T44" s="9"/>
      <c r="U44" s="9"/>
      <c r="V44" s="9"/>
    </row>
    <row r="45" spans="1:31" ht="15" x14ac:dyDescent="0.25">
      <c r="A45" s="14" t="s">
        <v>38</v>
      </c>
      <c r="B45" s="12"/>
      <c r="C45" s="12"/>
      <c r="D45" s="12"/>
      <c r="E45" s="12"/>
      <c r="F45" s="12"/>
      <c r="G45" s="12">
        <f>7879.45/1000</f>
        <v>7.8794499999999994</v>
      </c>
      <c r="H45" s="12"/>
      <c r="I45" s="12"/>
      <c r="J45" s="12">
        <f>(961534.23-109.9)/1000</f>
        <v>961.42432999999994</v>
      </c>
      <c r="K45" s="12"/>
      <c r="L45" s="12"/>
      <c r="M45" s="12"/>
      <c r="N45" s="12"/>
      <c r="O45" s="12">
        <v>-10537.58977</v>
      </c>
      <c r="P45" s="12">
        <v>-9568.2859900000003</v>
      </c>
      <c r="Q45" s="9"/>
      <c r="R45" s="9"/>
      <c r="S45" s="9"/>
      <c r="T45" s="9"/>
      <c r="U45" s="9"/>
      <c r="V45" s="9"/>
    </row>
    <row r="46" spans="1:31" ht="15" x14ac:dyDescent="0.25">
      <c r="A46" s="16" t="s">
        <v>5</v>
      </c>
      <c r="B46" s="12">
        <f>B37+B44+B45</f>
        <v>-1453</v>
      </c>
      <c r="C46" s="12"/>
      <c r="D46" s="12">
        <f t="shared" ref="D46" si="38">D37+D44+D45</f>
        <v>-61115</v>
      </c>
      <c r="E46" s="12">
        <f t="shared" ref="E46:K46" si="39">E37+E44+E45</f>
        <v>12325</v>
      </c>
      <c r="F46" s="12">
        <f t="shared" si="39"/>
        <v>-186696</v>
      </c>
      <c r="G46" s="12">
        <f t="shared" ref="G46" si="40">G37+G44+G45</f>
        <v>3526.9669399999989</v>
      </c>
      <c r="H46" s="12">
        <f t="shared" si="39"/>
        <v>-612.05008999999984</v>
      </c>
      <c r="I46" s="12">
        <f t="shared" ref="I46:J46" si="41">I37+I44+I45</f>
        <v>-1882.0460000000005</v>
      </c>
      <c r="J46" s="12">
        <f t="shared" si="41"/>
        <v>-673.6673499999996</v>
      </c>
      <c r="K46" s="12">
        <f t="shared" si="39"/>
        <v>-20.525510000000004</v>
      </c>
      <c r="L46" s="12">
        <f>L37+L44+L45</f>
        <v>-104209</v>
      </c>
      <c r="M46" s="12">
        <f>M37+M44+M45</f>
        <v>-2742.9391199999927</v>
      </c>
      <c r="N46" s="12">
        <f>N37+N44+N45</f>
        <v>-20990</v>
      </c>
      <c r="O46" s="12">
        <f>O37+O44+O45</f>
        <v>-17249.179450000003</v>
      </c>
      <c r="P46" s="12">
        <v>-381791.44057999999</v>
      </c>
      <c r="Q46" s="9"/>
      <c r="R46" s="9"/>
      <c r="S46" s="9"/>
      <c r="T46" s="9"/>
      <c r="U46" s="9"/>
      <c r="V46" s="9"/>
    </row>
    <row r="47" spans="1:31" ht="15" x14ac:dyDescent="0.25">
      <c r="A47" s="14" t="s">
        <v>37</v>
      </c>
      <c r="B47" s="12"/>
      <c r="C47" s="12"/>
      <c r="D47" s="12"/>
      <c r="E47" s="12"/>
      <c r="F47" s="12">
        <v>-504</v>
      </c>
      <c r="G47" s="12">
        <f>(-508756.64-197777.56)/1000</f>
        <v>-706.53419999999994</v>
      </c>
      <c r="H47" s="12"/>
      <c r="I47" s="12"/>
      <c r="J47" s="12"/>
      <c r="K47" s="12"/>
      <c r="L47" s="12">
        <v>18505</v>
      </c>
      <c r="M47" s="12"/>
      <c r="N47" s="12">
        <v>211</v>
      </c>
      <c r="O47" s="12"/>
      <c r="P47" s="12">
        <v>17505.465799999998</v>
      </c>
      <c r="Q47" s="9"/>
      <c r="R47" s="9"/>
      <c r="S47" s="9"/>
      <c r="T47" s="9"/>
      <c r="U47" s="9"/>
      <c r="V47" s="9"/>
      <c r="AB47" s="22"/>
      <c r="AC47" s="22"/>
      <c r="AD47" s="22"/>
      <c r="AE47" s="22"/>
    </row>
    <row r="48" spans="1:31" ht="15" x14ac:dyDescent="0.25">
      <c r="A48" s="16" t="s">
        <v>36</v>
      </c>
      <c r="B48" s="12"/>
      <c r="C48" s="12"/>
      <c r="D48" s="12"/>
      <c r="E48" s="12"/>
      <c r="F48" s="12">
        <v>-38215</v>
      </c>
      <c r="G48" s="12"/>
      <c r="H48" s="12"/>
      <c r="I48" s="12"/>
      <c r="J48" s="12"/>
      <c r="K48" s="12"/>
      <c r="L48" s="12"/>
      <c r="M48" s="12"/>
      <c r="N48" s="12"/>
      <c r="O48" s="12"/>
      <c r="P48" s="12">
        <v>-38215</v>
      </c>
      <c r="Q48" s="9"/>
      <c r="R48" s="9"/>
      <c r="S48" s="9"/>
      <c r="T48" s="9"/>
      <c r="U48" s="9"/>
      <c r="V48" s="9"/>
      <c r="AB48" s="22"/>
      <c r="AC48" s="22"/>
      <c r="AD48" s="22"/>
      <c r="AE48" s="22"/>
    </row>
    <row r="49" spans="1:31" ht="15" x14ac:dyDescent="0.25">
      <c r="A49" s="16" t="s">
        <v>4</v>
      </c>
      <c r="B49" s="12">
        <f>B46+B47+B48</f>
        <v>-1453</v>
      </c>
      <c r="C49" s="12"/>
      <c r="D49" s="12">
        <f t="shared" ref="D49" si="42">D46+D47+D48</f>
        <v>-61115</v>
      </c>
      <c r="E49" s="12">
        <f t="shared" ref="E49:K49" si="43">E46+E47+E48</f>
        <v>12325</v>
      </c>
      <c r="F49" s="12">
        <f t="shared" si="43"/>
        <v>-225415</v>
      </c>
      <c r="G49" s="12">
        <f t="shared" ref="G49" si="44">G46+G47+G48</f>
        <v>2820.4327399999988</v>
      </c>
      <c r="H49" s="12">
        <f t="shared" si="43"/>
        <v>-612.05008999999984</v>
      </c>
      <c r="I49" s="12">
        <f t="shared" ref="I49:J49" si="45">I46+I47+I48</f>
        <v>-1882.0460000000005</v>
      </c>
      <c r="J49" s="12">
        <f t="shared" si="45"/>
        <v>-673.6673499999996</v>
      </c>
      <c r="K49" s="12">
        <f t="shared" si="43"/>
        <v>-20.525510000000004</v>
      </c>
      <c r="L49" s="12">
        <f>L46+L47+L48</f>
        <v>-85704</v>
      </c>
      <c r="M49" s="12">
        <f>M46+M47+M48</f>
        <v>-2742.9391199999927</v>
      </c>
      <c r="N49" s="12">
        <f>N46+N47+N48</f>
        <v>-20779</v>
      </c>
      <c r="O49" s="12">
        <f>O46+O47+O48</f>
        <v>-17249.179450000003</v>
      </c>
      <c r="P49" s="12">
        <v>-402500.97477999999</v>
      </c>
      <c r="Q49" s="12"/>
      <c r="R49" s="12"/>
      <c r="S49" s="12"/>
      <c r="T49" s="12"/>
      <c r="U49" s="12"/>
      <c r="V49" s="15"/>
    </row>
    <row r="50" spans="1:31" ht="15" x14ac:dyDescent="0.25">
      <c r="A50" s="16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12"/>
      <c r="R50" s="12"/>
      <c r="S50" s="12"/>
      <c r="T50" s="12"/>
      <c r="U50" s="12"/>
      <c r="V50" s="12"/>
      <c r="W50" s="12"/>
      <c r="X50" s="12"/>
    </row>
    <row r="51" spans="1:31" ht="15" x14ac:dyDescent="0.25">
      <c r="A51" s="6" t="s">
        <v>35</v>
      </c>
      <c r="B51" s="8">
        <v>-1.6574024503778401E-2</v>
      </c>
      <c r="C51" s="8"/>
      <c r="D51" s="8">
        <v>-6.7842537376392592E-2</v>
      </c>
      <c r="E51" s="8">
        <v>3.2289248793574113E-3</v>
      </c>
      <c r="F51" s="8">
        <v>-2.838809532388873E-2</v>
      </c>
      <c r="G51" s="8">
        <v>6.0157652500543377E-2</v>
      </c>
      <c r="H51" s="8">
        <v>-0.14977275581776342</v>
      </c>
      <c r="I51" s="8">
        <v>-7.0043603868962289E-3</v>
      </c>
      <c r="J51" s="8">
        <v>-2.0229404991524993E-2</v>
      </c>
      <c r="K51" s="8">
        <v>-9.868346973862574E-3</v>
      </c>
      <c r="L51" s="8">
        <v>-7.9090207908024141E-3</v>
      </c>
      <c r="M51" s="8">
        <v>-2.6724644324763042E-2</v>
      </c>
      <c r="N51" s="8" t="s">
        <v>83</v>
      </c>
      <c r="O51" s="8">
        <v>-0.64861169624727399</v>
      </c>
      <c r="P51" s="8">
        <v>-1.6574024503778401E-2</v>
      </c>
      <c r="Q51" s="18"/>
      <c r="R51" s="18"/>
      <c r="S51" s="18"/>
      <c r="T51" s="18"/>
      <c r="U51" s="18"/>
      <c r="V51" s="18"/>
    </row>
    <row r="52" spans="1:31" ht="15" x14ac:dyDescent="0.25">
      <c r="A52" s="3" t="s">
        <v>34</v>
      </c>
      <c r="B52" s="7">
        <v>-0.8831743192365813</v>
      </c>
      <c r="C52" s="7"/>
      <c r="D52" s="7">
        <v>0.97598173078458617</v>
      </c>
      <c r="E52" s="7">
        <v>-2.5812383242160994E-2</v>
      </c>
      <c r="F52" s="7">
        <v>-3.1292714871621472</v>
      </c>
      <c r="G52" s="7">
        <v>0.39307361489439246</v>
      </c>
      <c r="H52" s="7">
        <v>6.8019767780758078E-2</v>
      </c>
      <c r="I52" s="7">
        <v>1.4045476095187706E-2</v>
      </c>
      <c r="J52" s="7">
        <v>-0.15011186694872444</v>
      </c>
      <c r="K52" s="7">
        <v>8.4831639149482163E-3</v>
      </c>
      <c r="L52" s="7">
        <v>-7.3149435529506354E-2</v>
      </c>
      <c r="M52" s="7">
        <v>1.778083234293039</v>
      </c>
      <c r="N52" s="7">
        <v>0.2395826127060994</v>
      </c>
      <c r="O52" s="7">
        <v>0.14429267669374202</v>
      </c>
      <c r="P52" s="7">
        <v>-0.8831743192365813</v>
      </c>
      <c r="Q52" s="9"/>
      <c r="R52" s="9"/>
      <c r="S52" s="9"/>
      <c r="T52" s="9"/>
      <c r="U52" s="9"/>
      <c r="V52" s="9"/>
    </row>
    <row r="53" spans="1:31" ht="15" x14ac:dyDescent="0.25">
      <c r="A53" s="6" t="s">
        <v>3</v>
      </c>
      <c r="B53" s="8">
        <v>6.2513153832556109E-2</v>
      </c>
      <c r="C53" s="8"/>
      <c r="D53" s="8">
        <v>8.0342086474836399E-2</v>
      </c>
      <c r="E53" s="8">
        <v>0.18852934880741468</v>
      </c>
      <c r="F53" s="8">
        <v>0.13801578910813919</v>
      </c>
      <c r="G53" s="8">
        <v>0.63106689050387665</v>
      </c>
      <c r="H53" s="8">
        <v>-0.81742926946128125</v>
      </c>
      <c r="I53" s="8">
        <v>0.1384152868345746</v>
      </c>
      <c r="J53" s="8">
        <v>0.17021052133172385</v>
      </c>
      <c r="K53" s="8" t="s">
        <v>83</v>
      </c>
      <c r="L53" s="8">
        <v>-4.0068098580589108E-2</v>
      </c>
      <c r="M53" s="8">
        <v>0.16272841033374766</v>
      </c>
      <c r="N53" s="8">
        <v>0.12003167208345225</v>
      </c>
      <c r="O53" s="8" t="s">
        <v>83</v>
      </c>
      <c r="P53" s="8">
        <v>6.2513153832556109E-2</v>
      </c>
      <c r="Q53" s="12"/>
      <c r="R53" s="12"/>
      <c r="S53" s="12"/>
      <c r="T53" s="12"/>
      <c r="U53" s="12"/>
      <c r="V53" s="15"/>
      <c r="AB53" s="22"/>
      <c r="AC53" s="22"/>
      <c r="AD53" s="22"/>
      <c r="AE53" s="22"/>
    </row>
    <row r="54" spans="1:31" ht="15" x14ac:dyDescent="0.25">
      <c r="A54" s="3" t="s">
        <v>2</v>
      </c>
      <c r="B54" s="7">
        <v>-4.503325111514566E-2</v>
      </c>
      <c r="C54" s="7"/>
      <c r="D54" s="7">
        <v>-5.8489858184943372E-2</v>
      </c>
      <c r="E54" s="7">
        <v>9.735148665396029E-3</v>
      </c>
      <c r="F54" s="7">
        <v>-9.6641191788703423E-2</v>
      </c>
      <c r="G54" s="7">
        <v>0.15493343315404304</v>
      </c>
      <c r="H54" s="7">
        <v>-1.5476499619617756</v>
      </c>
      <c r="I54" s="7">
        <v>-3.2538011057743399E-2</v>
      </c>
      <c r="J54" s="7">
        <v>-8.5116002707242011E-2</v>
      </c>
      <c r="K54" s="7" t="s">
        <v>83</v>
      </c>
      <c r="L54" s="7">
        <v>-2.3990137910262596E-2</v>
      </c>
      <c r="M54" s="7">
        <v>-5.5561058275021238E-2</v>
      </c>
      <c r="N54" s="7">
        <v>-0.19131227385303784</v>
      </c>
      <c r="O54" s="7" t="s">
        <v>83</v>
      </c>
      <c r="P54" s="7">
        <v>-4.503325111514566E-2</v>
      </c>
      <c r="Q54" s="12"/>
      <c r="R54" s="12"/>
      <c r="S54" s="12"/>
      <c r="T54" s="12"/>
      <c r="U54" s="12"/>
      <c r="V54" s="15"/>
    </row>
    <row r="55" spans="1:31" ht="15" x14ac:dyDescent="0.25">
      <c r="A55" s="6" t="s">
        <v>1</v>
      </c>
      <c r="B55" s="5">
        <v>-143563.37033999999</v>
      </c>
      <c r="C55" s="5"/>
      <c r="D55" s="5">
        <v>1885</v>
      </c>
      <c r="E55" s="5">
        <v>87196</v>
      </c>
      <c r="F55" s="5">
        <v>-30609</v>
      </c>
      <c r="G55" s="5">
        <v>3519.087489999999</v>
      </c>
      <c r="H55" s="5">
        <v>-587.45798999999988</v>
      </c>
      <c r="I55" s="5">
        <v>-1881.7970000000005</v>
      </c>
      <c r="J55" s="5">
        <v>-999.98858999999948</v>
      </c>
      <c r="K55" s="5">
        <v>-19.945190000000004</v>
      </c>
      <c r="L55" s="5">
        <v>-186316</v>
      </c>
      <c r="M55" s="5">
        <v>3120.4588800000065</v>
      </c>
      <c r="N55" s="5">
        <v>-10146</v>
      </c>
      <c r="O55" s="5">
        <v>-8157.7279400000007</v>
      </c>
      <c r="P55" s="5">
        <v>-143563.37033999999</v>
      </c>
      <c r="Q55" s="25"/>
      <c r="R55" s="25"/>
      <c r="S55" s="25"/>
      <c r="T55" s="25"/>
      <c r="U55" s="25"/>
      <c r="V55" s="15"/>
    </row>
    <row r="56" spans="1:31" ht="15" x14ac:dyDescent="0.25">
      <c r="A56" s="3" t="s">
        <v>0</v>
      </c>
      <c r="B56" s="2">
        <v>-1.6062384224017342E-2</v>
      </c>
      <c r="C56" s="2"/>
      <c r="D56" s="2">
        <v>1.8040314600117524E-3</v>
      </c>
      <c r="E56" s="2">
        <v>6.8873510996176238E-2</v>
      </c>
      <c r="F56" s="2">
        <v>-1.3122863338555212E-2</v>
      </c>
      <c r="G56" s="2">
        <v>0.19331228809772791</v>
      </c>
      <c r="H56" s="2">
        <v>-1.4854655701098602</v>
      </c>
      <c r="I56" s="2">
        <v>-3.2533706187005185E-2</v>
      </c>
      <c r="J56" s="2">
        <v>-0.12634578703220681</v>
      </c>
      <c r="K56" s="2">
        <v>0</v>
      </c>
      <c r="L56" s="2">
        <v>-5.2153301303188723E-2</v>
      </c>
      <c r="M56" s="2">
        <v>6.3208110020498129E-2</v>
      </c>
      <c r="N56" s="2">
        <v>-9.3414232182151308E-2</v>
      </c>
      <c r="O56" s="2">
        <v>0</v>
      </c>
      <c r="P56" s="2">
        <v>-1.6062384224017342E-2</v>
      </c>
      <c r="Q56" s="36"/>
      <c r="R56" s="36"/>
      <c r="S56" s="36"/>
      <c r="T56" s="36"/>
      <c r="U56" s="36"/>
      <c r="V56" s="36"/>
      <c r="W56" s="22"/>
      <c r="X56" s="22"/>
      <c r="Y56" s="22"/>
      <c r="Z56" s="22"/>
    </row>
    <row r="57" spans="1:31" s="22" customFormat="1" x14ac:dyDescent="0.2">
      <c r="A57" s="37" t="s">
        <v>33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1"/>
      <c r="R57" s="41"/>
      <c r="S57" s="41"/>
      <c r="T57" s="41"/>
      <c r="U57" s="41"/>
      <c r="V57" s="41"/>
      <c r="AA57" s="1"/>
      <c r="AB57" s="1"/>
      <c r="AC57" s="1"/>
      <c r="AD57" s="1"/>
      <c r="AE57" s="1"/>
    </row>
    <row r="58" spans="1:31" ht="15" x14ac:dyDescent="0.25">
      <c r="Q58" s="18"/>
      <c r="R58" s="18"/>
      <c r="S58" s="18"/>
      <c r="T58" s="18"/>
      <c r="U58" s="18"/>
      <c r="V58" s="18"/>
    </row>
    <row r="59" spans="1:31" ht="15" x14ac:dyDescent="0.25">
      <c r="A59" s="49" t="s">
        <v>59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18"/>
      <c r="R59" s="18"/>
      <c r="S59" s="18"/>
      <c r="T59" s="18"/>
      <c r="U59" s="18"/>
      <c r="V59" s="18"/>
    </row>
    <row r="60" spans="1:31" ht="15" x14ac:dyDescent="0.25">
      <c r="A60" s="20" t="s">
        <v>46</v>
      </c>
      <c r="B60" s="26" t="s">
        <v>77</v>
      </c>
      <c r="C60" s="26" t="s">
        <v>74</v>
      </c>
      <c r="D60" s="20" t="s">
        <v>69</v>
      </c>
      <c r="E60" s="20" t="s">
        <v>66</v>
      </c>
      <c r="F60" s="20" t="s">
        <v>67</v>
      </c>
      <c r="G60" s="26" t="s">
        <v>70</v>
      </c>
      <c r="H60" s="20" t="s">
        <v>68</v>
      </c>
      <c r="I60" s="20" t="s">
        <v>71</v>
      </c>
      <c r="J60" s="26" t="s">
        <v>73</v>
      </c>
      <c r="K60" s="26" t="s">
        <v>72</v>
      </c>
      <c r="L60" s="26" t="s">
        <v>13</v>
      </c>
      <c r="M60" s="26" t="s">
        <v>76</v>
      </c>
      <c r="N60" s="26" t="s">
        <v>75</v>
      </c>
      <c r="O60" s="26" t="s">
        <v>44</v>
      </c>
      <c r="P60" s="26" t="s">
        <v>65</v>
      </c>
      <c r="Q60" s="18"/>
      <c r="R60" s="18"/>
      <c r="S60" s="18"/>
      <c r="T60" s="18"/>
      <c r="U60" s="18"/>
      <c r="V60" s="18"/>
    </row>
    <row r="61" spans="1:31" ht="15" x14ac:dyDescent="0.25">
      <c r="A61" s="16" t="s">
        <v>42</v>
      </c>
      <c r="B61" s="18">
        <v>724971</v>
      </c>
      <c r="C61" s="18"/>
      <c r="D61" s="18">
        <f>546484</f>
        <v>546484</v>
      </c>
      <c r="E61" s="18">
        <f>1469917</f>
        <v>1469917</v>
      </c>
      <c r="F61" s="18">
        <v>2409577</v>
      </c>
      <c r="G61" s="18">
        <f>13626150.92/1000</f>
        <v>13626.15092</v>
      </c>
      <c r="H61" s="18">
        <f>395470.62/1000</f>
        <v>395.47062</v>
      </c>
      <c r="I61" s="18">
        <f>66152978/1000</f>
        <v>66152.978000000003</v>
      </c>
      <c r="J61" s="18"/>
      <c r="K61" s="18"/>
      <c r="L61" s="18">
        <v>3576058</v>
      </c>
      <c r="M61" s="18">
        <f>23646962.34/1000</f>
        <v>23646.962339999998</v>
      </c>
      <c r="N61" s="18"/>
      <c r="O61" s="18"/>
      <c r="P61" s="18">
        <v>8830828.5618799999</v>
      </c>
      <c r="Q61" s="9"/>
      <c r="R61" s="9"/>
      <c r="S61" s="9"/>
      <c r="T61" s="9"/>
      <c r="U61" s="9"/>
      <c r="V61" s="9"/>
    </row>
    <row r="62" spans="1:31" ht="15" x14ac:dyDescent="0.25">
      <c r="A62" s="16" t="s">
        <v>41</v>
      </c>
      <c r="B62" s="18">
        <v>-682575</v>
      </c>
      <c r="C62" s="18"/>
      <c r="D62" s="18">
        <v>-507457</v>
      </c>
      <c r="E62" s="18">
        <v>-1204983</v>
      </c>
      <c r="F62" s="18">
        <v>-2001392</v>
      </c>
      <c r="G62" s="18">
        <f>-9717215.73/1000</f>
        <v>-9717.2157299999999</v>
      </c>
      <c r="H62" s="18">
        <f>-1075410.52/1000</f>
        <v>-1075.4105199999999</v>
      </c>
      <c r="I62" s="18">
        <f>-52487774/1000</f>
        <v>-52487.773999999998</v>
      </c>
      <c r="J62" s="18"/>
      <c r="K62" s="18">
        <f>-1249.83/1000</f>
        <v>-1.24983</v>
      </c>
      <c r="L62" s="18">
        <v>-2733579</v>
      </c>
      <c r="M62" s="18">
        <f>-23166748.46/1000</f>
        <v>-23166.748460000003</v>
      </c>
      <c r="N62" s="18">
        <v>-744</v>
      </c>
      <c r="O62" s="18">
        <v>-12174.924590000001</v>
      </c>
      <c r="P62" s="18">
        <v>-7229353.3231300004</v>
      </c>
      <c r="Q62" s="9"/>
      <c r="R62" s="9"/>
      <c r="S62" s="9"/>
      <c r="T62" s="9"/>
      <c r="U62" s="9"/>
      <c r="V62" s="9"/>
    </row>
    <row r="63" spans="1:31" ht="15" x14ac:dyDescent="0.25">
      <c r="A63" s="16" t="s">
        <v>12</v>
      </c>
      <c r="B63" s="18">
        <f>B61+B62</f>
        <v>42396</v>
      </c>
      <c r="C63" s="18"/>
      <c r="D63" s="18">
        <f t="shared" ref="D63" si="46">D61+D62</f>
        <v>39027</v>
      </c>
      <c r="E63" s="18">
        <f t="shared" ref="E63:K63" si="47">E61+E62</f>
        <v>264934</v>
      </c>
      <c r="F63" s="18">
        <f t="shared" si="47"/>
        <v>408185</v>
      </c>
      <c r="G63" s="18">
        <f t="shared" ref="G63" si="48">G61+G62</f>
        <v>3908.9351900000001</v>
      </c>
      <c r="H63" s="18">
        <f t="shared" si="47"/>
        <v>-679.93989999999985</v>
      </c>
      <c r="I63" s="18">
        <f t="shared" ref="I63:J63" si="49">I61+I62</f>
        <v>13665.204000000005</v>
      </c>
      <c r="J63" s="18">
        <f t="shared" si="49"/>
        <v>0</v>
      </c>
      <c r="K63" s="18">
        <f t="shared" si="47"/>
        <v>-1.24983</v>
      </c>
      <c r="L63" s="18">
        <f>L61+L62</f>
        <v>842479</v>
      </c>
      <c r="M63" s="18">
        <f>M61+M62</f>
        <v>480.2138799999957</v>
      </c>
      <c r="N63" s="18">
        <f>N61+N62</f>
        <v>-744</v>
      </c>
      <c r="O63" s="18">
        <f>O61+O62</f>
        <v>-12174.924590000001</v>
      </c>
      <c r="P63" s="18">
        <v>1601475.23875</v>
      </c>
      <c r="Q63" s="9"/>
      <c r="R63" s="9"/>
      <c r="S63" s="9"/>
      <c r="T63" s="9"/>
      <c r="U63" s="9"/>
      <c r="V63" s="9"/>
    </row>
    <row r="64" spans="1:31" ht="15" x14ac:dyDescent="0.25">
      <c r="A64" s="16" t="s">
        <v>40</v>
      </c>
      <c r="B64" s="18">
        <f>-21784-13720-967</f>
        <v>-36471</v>
      </c>
      <c r="C64" s="18"/>
      <c r="D64" s="18">
        <f>-28889-37020-3414</f>
        <v>-69323</v>
      </c>
      <c r="E64" s="18">
        <f>-62628-94771</f>
        <v>-157399</v>
      </c>
      <c r="F64" s="18">
        <v>-297000</v>
      </c>
      <c r="G64" s="18">
        <f>-1372324.21/1000</f>
        <v>-1372.32421</v>
      </c>
      <c r="H64" s="18">
        <f>-394616.36/1000</f>
        <v>-394.61635999999999</v>
      </c>
      <c r="I64" s="18">
        <f>-12506247/1000</f>
        <v>-12506.246999999999</v>
      </c>
      <c r="J64" s="18"/>
      <c r="K64" s="18">
        <f>(-3089.62-14781.63)/1000</f>
        <v>-17.87125</v>
      </c>
      <c r="L64" s="18">
        <f>-430121-392500</f>
        <v>-822621</v>
      </c>
      <c r="M64" s="18">
        <f>-3086446.07/1000</f>
        <v>-3086.44607</v>
      </c>
      <c r="N64" s="18"/>
      <c r="O64" s="18">
        <v>-2351.01143</v>
      </c>
      <c r="P64" s="18">
        <v>-1402542.5163199999</v>
      </c>
      <c r="Q64" s="9"/>
      <c r="R64" s="9"/>
      <c r="S64" s="9"/>
      <c r="T64" s="9"/>
      <c r="U64" s="9"/>
      <c r="V64" s="9"/>
    </row>
    <row r="65" spans="1:31" ht="15" x14ac:dyDescent="0.25">
      <c r="A65" s="16" t="s">
        <v>39</v>
      </c>
      <c r="B65" s="18"/>
      <c r="C65" s="18"/>
      <c r="D65" s="18"/>
      <c r="E65" s="18"/>
      <c r="F65" s="18">
        <v>-8413</v>
      </c>
      <c r="G65" s="18"/>
      <c r="H65" s="18"/>
      <c r="I65" s="18"/>
      <c r="J65" s="18"/>
      <c r="K65" s="18"/>
      <c r="L65" s="18">
        <v>51607</v>
      </c>
      <c r="M65" s="18"/>
      <c r="N65" s="18"/>
      <c r="O65" s="18"/>
      <c r="P65" s="18">
        <v>43194</v>
      </c>
      <c r="Q65" s="9"/>
      <c r="R65" s="9"/>
      <c r="S65" s="9"/>
      <c r="T65" s="9"/>
      <c r="U65" s="9"/>
      <c r="V65" s="9"/>
    </row>
    <row r="66" spans="1:31" ht="15" x14ac:dyDescent="0.25">
      <c r="A66" s="16" t="s">
        <v>11</v>
      </c>
      <c r="B66" s="18">
        <f>B63+B64+B65</f>
        <v>5925</v>
      </c>
      <c r="C66" s="18"/>
      <c r="D66" s="18">
        <f t="shared" ref="D66" si="50">D63+D64+D65</f>
        <v>-30296</v>
      </c>
      <c r="E66" s="18">
        <f t="shared" ref="E66:K66" si="51">E63+E64+E65</f>
        <v>107535</v>
      </c>
      <c r="F66" s="18">
        <f t="shared" si="51"/>
        <v>102772</v>
      </c>
      <c r="G66" s="18">
        <f t="shared" ref="G66" si="52">G63+G64+G65</f>
        <v>2536.6109800000004</v>
      </c>
      <c r="H66" s="18">
        <f t="shared" si="51"/>
        <v>-1074.5562599999998</v>
      </c>
      <c r="I66" s="18">
        <f t="shared" ref="I66:J66" si="53">I63+I64+I65</f>
        <v>1158.9570000000058</v>
      </c>
      <c r="J66" s="18">
        <f t="shared" si="53"/>
        <v>0</v>
      </c>
      <c r="K66" s="18">
        <f t="shared" si="51"/>
        <v>-19.121079999999999</v>
      </c>
      <c r="L66" s="18">
        <f>L63+L64+L65</f>
        <v>71465</v>
      </c>
      <c r="M66" s="18">
        <f>M63+M64+M65</f>
        <v>-2606.2321900000043</v>
      </c>
      <c r="N66" s="18">
        <f>N63+N64+N65</f>
        <v>-744</v>
      </c>
      <c r="O66" s="18">
        <f>O63+O64+O65</f>
        <v>-14525.936020000001</v>
      </c>
      <c r="P66" s="18">
        <v>242126.72242999997</v>
      </c>
      <c r="Q66" s="9"/>
      <c r="R66" s="9"/>
      <c r="S66" s="9"/>
      <c r="T66" s="9"/>
      <c r="U66" s="9"/>
      <c r="V66" s="9"/>
    </row>
    <row r="67" spans="1:31" ht="15" x14ac:dyDescent="0.25">
      <c r="A67" s="6" t="s">
        <v>58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>
        <v>0</v>
      </c>
      <c r="Q67" s="12"/>
      <c r="R67" s="12"/>
      <c r="S67" s="12"/>
      <c r="T67" s="12"/>
      <c r="U67" s="12"/>
      <c r="V67" s="15"/>
    </row>
    <row r="68" spans="1:31" ht="15" x14ac:dyDescent="0.25">
      <c r="A68" s="6" t="s">
        <v>57</v>
      </c>
      <c r="B68" s="9"/>
      <c r="C68" s="9"/>
      <c r="D68" s="9">
        <f>16887</f>
        <v>16887</v>
      </c>
      <c r="E68" s="9">
        <f>9898</f>
        <v>9898</v>
      </c>
      <c r="F68" s="9">
        <v>112308</v>
      </c>
      <c r="G68" s="9">
        <f>-396029.45/1000</f>
        <v>-396.02945</v>
      </c>
      <c r="H68" s="9"/>
      <c r="I68" s="9">
        <f>10827461/1000</f>
        <v>10827.460999999999</v>
      </c>
      <c r="J68" s="9"/>
      <c r="K68" s="9"/>
      <c r="L68" s="9">
        <v>198162</v>
      </c>
      <c r="M68" s="9">
        <f>129647.05/1000</f>
        <v>129.64705000000001</v>
      </c>
      <c r="N68" s="9">
        <v>10174</v>
      </c>
      <c r="O68" s="9"/>
      <c r="P68" s="9">
        <v>357990.07860000001</v>
      </c>
      <c r="Q68" s="12"/>
      <c r="R68" s="12"/>
      <c r="S68" s="12"/>
      <c r="T68" s="12"/>
      <c r="U68" s="12"/>
      <c r="V68" s="12"/>
      <c r="W68" s="12"/>
      <c r="X68" s="12"/>
    </row>
    <row r="69" spans="1:31" ht="15" x14ac:dyDescent="0.25">
      <c r="A69" s="6" t="s">
        <v>56</v>
      </c>
      <c r="B69" s="9">
        <v>3605</v>
      </c>
      <c r="C69" s="9"/>
      <c r="D69" s="9">
        <v>-49924</v>
      </c>
      <c r="E69" s="9">
        <v>-105570</v>
      </c>
      <c r="F69" s="9">
        <v>-187404</v>
      </c>
      <c r="G69" s="9"/>
      <c r="H69" s="9"/>
      <c r="I69" s="9"/>
      <c r="J69" s="9"/>
      <c r="K69" s="9">
        <f>-235.44/1000</f>
        <v>-0.23544000000000001</v>
      </c>
      <c r="L69" s="9">
        <v>-599825</v>
      </c>
      <c r="M69" s="9">
        <f>-3961670.74/1000</f>
        <v>-3961.67074</v>
      </c>
      <c r="N69" s="9"/>
      <c r="O69" s="9">
        <v>1521</v>
      </c>
      <c r="P69" s="9">
        <v>-941558.90617999993</v>
      </c>
      <c r="Q69" s="12"/>
      <c r="R69" s="12"/>
      <c r="S69" s="12"/>
      <c r="T69" s="12"/>
      <c r="U69" s="12"/>
      <c r="V69" s="15"/>
    </row>
    <row r="70" spans="1:31" ht="15" x14ac:dyDescent="0.25">
      <c r="A70" s="6" t="s">
        <v>55</v>
      </c>
      <c r="B70" s="9"/>
      <c r="C70" s="9"/>
      <c r="D70" s="9"/>
      <c r="E70" s="9">
        <v>32287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>
        <v>32287</v>
      </c>
      <c r="Q70" s="12"/>
      <c r="R70" s="12"/>
      <c r="S70" s="12"/>
      <c r="T70" s="12"/>
      <c r="U70" s="12"/>
      <c r="V70" s="17"/>
    </row>
    <row r="71" spans="1:31" ht="15" x14ac:dyDescent="0.25">
      <c r="A71" s="6" t="s">
        <v>54</v>
      </c>
      <c r="B71" s="9"/>
      <c r="C71" s="9"/>
      <c r="D71" s="9"/>
      <c r="E71" s="9">
        <v>24041</v>
      </c>
      <c r="F71" s="9">
        <v>-126536</v>
      </c>
      <c r="G71" s="9"/>
      <c r="H71" s="9"/>
      <c r="I71" s="9"/>
      <c r="J71" s="9"/>
      <c r="K71" s="9"/>
      <c r="L71" s="9"/>
      <c r="M71" s="9">
        <f>(1207132.79-2188852.44)/1000</f>
        <v>-981.71964999999989</v>
      </c>
      <c r="N71" s="9"/>
      <c r="O71" s="9"/>
      <c r="P71" s="9">
        <v>-103476.71965</v>
      </c>
      <c r="Q71" s="12"/>
      <c r="R71" s="12"/>
      <c r="S71" s="12"/>
      <c r="T71" s="12"/>
      <c r="U71" s="12"/>
      <c r="V71" s="15"/>
    </row>
    <row r="72" spans="1:31" ht="15" x14ac:dyDescent="0.25">
      <c r="A72" s="6" t="s">
        <v>53</v>
      </c>
      <c r="B72" s="9"/>
      <c r="C72" s="9"/>
      <c r="D72" s="9"/>
      <c r="E72" s="9"/>
      <c r="F72" s="9"/>
      <c r="G72" s="9"/>
      <c r="H72" s="9">
        <f>-34064.15/1000</f>
        <v>-34.064149999999998</v>
      </c>
      <c r="I72" s="9">
        <f>12804/1000</f>
        <v>12.804</v>
      </c>
      <c r="J72" s="9"/>
      <c r="K72" s="9"/>
      <c r="L72" s="9"/>
      <c r="M72" s="9">
        <f>(3209719.62-762111.44)/1000</f>
        <v>2447.6081800000002</v>
      </c>
      <c r="N72" s="9"/>
      <c r="O72" s="9">
        <v>-13199.074550000001</v>
      </c>
      <c r="P72" s="9">
        <v>-10772.72652</v>
      </c>
      <c r="Q72" s="12"/>
      <c r="R72" s="12"/>
      <c r="S72" s="12"/>
      <c r="T72" s="12"/>
      <c r="U72" s="12"/>
      <c r="V72" s="15"/>
    </row>
    <row r="73" spans="1:31" ht="15" x14ac:dyDescent="0.25">
      <c r="A73" s="16" t="s">
        <v>10</v>
      </c>
      <c r="B73" s="12">
        <f>B67+B68+B69+B70+B71+B72</f>
        <v>3605</v>
      </c>
      <c r="C73" s="12"/>
      <c r="D73" s="12">
        <f t="shared" ref="D73" si="54">D67+D68+D69+D70+D71+D72</f>
        <v>-33037</v>
      </c>
      <c r="E73" s="12">
        <f t="shared" ref="E73:K73" si="55">E67+E68+E69+E70+E71+E72</f>
        <v>-39344</v>
      </c>
      <c r="F73" s="12">
        <f t="shared" si="55"/>
        <v>-201632</v>
      </c>
      <c r="G73" s="12">
        <f t="shared" ref="G73" si="56">G67+G68+G69+G70+G71+G72</f>
        <v>-396.02945</v>
      </c>
      <c r="H73" s="12">
        <f t="shared" si="55"/>
        <v>-34.064149999999998</v>
      </c>
      <c r="I73" s="12">
        <f t="shared" ref="I73:J73" si="57">I67+I68+I69+I70+I71+I72</f>
        <v>10840.264999999999</v>
      </c>
      <c r="J73" s="12">
        <f t="shared" si="57"/>
        <v>0</v>
      </c>
      <c r="K73" s="12">
        <f t="shared" si="55"/>
        <v>-0.23544000000000001</v>
      </c>
      <c r="L73" s="12">
        <f>L67+L68+L69+L70+L71+L72</f>
        <v>-401663</v>
      </c>
      <c r="M73" s="12">
        <f>M67+M68+M69+M70+M71+M72</f>
        <v>-2366.1351599999998</v>
      </c>
      <c r="N73" s="12">
        <f>N67+N68+N69+N70+N71+N72</f>
        <v>10174</v>
      </c>
      <c r="O73" s="12">
        <f>O67+O68+O69+O70+O71+O72</f>
        <v>-11678.074550000001</v>
      </c>
      <c r="P73" s="12">
        <v>-665531.27374999993</v>
      </c>
      <c r="Q73" s="25"/>
      <c r="R73" s="25"/>
      <c r="S73" s="25"/>
      <c r="T73" s="25"/>
      <c r="U73" s="25"/>
      <c r="V73" s="15"/>
    </row>
    <row r="74" spans="1:31" ht="15" x14ac:dyDescent="0.25">
      <c r="A74" s="14" t="s">
        <v>38</v>
      </c>
      <c r="B74" s="12"/>
      <c r="C74" s="12"/>
      <c r="D74" s="12"/>
      <c r="E74" s="12"/>
      <c r="F74" s="12"/>
      <c r="G74" s="12">
        <f>7879.45/1000</f>
        <v>7.8794499999999994</v>
      </c>
      <c r="H74" s="12"/>
      <c r="I74" s="12"/>
      <c r="J74" s="12"/>
      <c r="K74" s="12"/>
      <c r="L74" s="12"/>
      <c r="M74" s="12"/>
      <c r="N74" s="12"/>
      <c r="O74" s="12"/>
      <c r="P74" s="12">
        <v>7.8794499999999994</v>
      </c>
      <c r="Q74" s="36"/>
      <c r="R74" s="36"/>
      <c r="S74" s="36"/>
      <c r="T74" s="36"/>
      <c r="U74" s="36"/>
      <c r="V74" s="36"/>
      <c r="W74" s="22"/>
      <c r="X74" s="22"/>
      <c r="Y74" s="22"/>
      <c r="Z74" s="22"/>
    </row>
    <row r="75" spans="1:31" ht="15" x14ac:dyDescent="0.25">
      <c r="A75" s="16" t="s">
        <v>5</v>
      </c>
      <c r="B75" s="12">
        <f>B66+B73+B74</f>
        <v>9530</v>
      </c>
      <c r="C75" s="12"/>
      <c r="D75" s="12">
        <f t="shared" ref="D75" si="58">D66+D73+D74</f>
        <v>-63333</v>
      </c>
      <c r="E75" s="12">
        <f t="shared" ref="E75:K75" si="59">E66+E73+E74</f>
        <v>68191</v>
      </c>
      <c r="F75" s="12">
        <f t="shared" si="59"/>
        <v>-98860</v>
      </c>
      <c r="G75" s="12">
        <f t="shared" ref="G75" si="60">G66+G73+G74</f>
        <v>2148.4609800000003</v>
      </c>
      <c r="H75" s="12">
        <f t="shared" si="59"/>
        <v>-1108.6204099999998</v>
      </c>
      <c r="I75" s="12">
        <f t="shared" ref="I75:J75" si="61">I66+I73+I74</f>
        <v>11999.222000000005</v>
      </c>
      <c r="J75" s="12">
        <f t="shared" si="61"/>
        <v>0</v>
      </c>
      <c r="K75" s="12">
        <f t="shared" si="59"/>
        <v>-19.35652</v>
      </c>
      <c r="L75" s="12">
        <f>L66+L73+L74</f>
        <v>-330198</v>
      </c>
      <c r="M75" s="12">
        <f>M66+M73+M74</f>
        <v>-4972.3673500000041</v>
      </c>
      <c r="N75" s="12">
        <f>N66+N73+N74</f>
        <v>9430</v>
      </c>
      <c r="O75" s="12">
        <f>O66+O73+O74</f>
        <v>-26204.010570000002</v>
      </c>
      <c r="P75" s="12">
        <v>-423396.67186999996</v>
      </c>
      <c r="Q75" s="41"/>
      <c r="R75" s="41"/>
      <c r="S75" s="41"/>
      <c r="T75" s="41"/>
      <c r="U75" s="41"/>
      <c r="V75" s="41"/>
      <c r="W75" s="22"/>
      <c r="X75" s="22"/>
      <c r="Y75" s="22"/>
      <c r="Z75" s="22"/>
    </row>
    <row r="76" spans="1:31" ht="15" x14ac:dyDescent="0.25">
      <c r="A76" s="14" t="s">
        <v>37</v>
      </c>
      <c r="B76" s="12"/>
      <c r="C76" s="12"/>
      <c r="D76" s="12">
        <v>14006</v>
      </c>
      <c r="E76" s="12"/>
      <c r="F76" s="12">
        <v>-407</v>
      </c>
      <c r="G76" s="12">
        <f>-706534.2/1000</f>
        <v>-706.53419999999994</v>
      </c>
      <c r="H76" s="12"/>
      <c r="I76" s="12"/>
      <c r="J76" s="12"/>
      <c r="K76" s="12"/>
      <c r="L76" s="12">
        <v>121327</v>
      </c>
      <c r="M76" s="12">
        <f>(5589.75+103957.73)/1000</f>
        <v>109.54747999999999</v>
      </c>
      <c r="N76" s="12"/>
      <c r="O76" s="12"/>
      <c r="P76" s="12">
        <v>134329.01328000001</v>
      </c>
      <c r="Q76" s="8"/>
      <c r="R76" s="8"/>
      <c r="S76" s="8"/>
      <c r="T76" s="8"/>
      <c r="U76" s="8"/>
      <c r="V76" s="8"/>
      <c r="AB76" s="22"/>
      <c r="AC76" s="22"/>
      <c r="AD76" s="22"/>
      <c r="AE76" s="22"/>
    </row>
    <row r="77" spans="1:31" ht="15" x14ac:dyDescent="0.25">
      <c r="A77" s="16" t="s">
        <v>36</v>
      </c>
      <c r="B77" s="12"/>
      <c r="C77" s="12"/>
      <c r="D77" s="12"/>
      <c r="E77" s="12"/>
      <c r="F77" s="12">
        <v>65747</v>
      </c>
      <c r="G77" s="12"/>
      <c r="H77" s="12"/>
      <c r="I77" s="12"/>
      <c r="J77" s="12"/>
      <c r="K77" s="12"/>
      <c r="L77" s="12"/>
      <c r="M77" s="12"/>
      <c r="N77" s="12"/>
      <c r="O77" s="12"/>
      <c r="P77" s="12">
        <v>65747</v>
      </c>
      <c r="Q77" s="7"/>
      <c r="R77" s="7"/>
      <c r="S77" s="7"/>
      <c r="T77" s="7"/>
      <c r="U77" s="7"/>
      <c r="V77" s="7"/>
      <c r="AB77" s="22"/>
      <c r="AC77" s="22"/>
      <c r="AD77" s="22"/>
      <c r="AE77" s="22"/>
    </row>
    <row r="78" spans="1:31" ht="15" x14ac:dyDescent="0.25">
      <c r="A78" s="16" t="s">
        <v>4</v>
      </c>
      <c r="B78" s="12">
        <f>B75+B76+B77</f>
        <v>9530</v>
      </c>
      <c r="C78" s="12"/>
      <c r="D78" s="12">
        <f t="shared" ref="D78" si="62">D75+D76+D77</f>
        <v>-49327</v>
      </c>
      <c r="E78" s="12">
        <f t="shared" ref="E78:K78" si="63">E75+E76+E77</f>
        <v>68191</v>
      </c>
      <c r="F78" s="12">
        <f t="shared" si="63"/>
        <v>-33520</v>
      </c>
      <c r="G78" s="12">
        <f t="shared" ref="G78" si="64">G75+G76+G77</f>
        <v>1441.9267800000002</v>
      </c>
      <c r="H78" s="12">
        <f t="shared" si="63"/>
        <v>-1108.6204099999998</v>
      </c>
      <c r="I78" s="12">
        <f t="shared" ref="I78:J78" si="65">I75+I76+I77</f>
        <v>11999.222000000005</v>
      </c>
      <c r="J78" s="12">
        <f t="shared" si="65"/>
        <v>0</v>
      </c>
      <c r="K78" s="12">
        <f t="shared" si="63"/>
        <v>-19.35652</v>
      </c>
      <c r="L78" s="12">
        <f>L75+L76+L77</f>
        <v>-208871</v>
      </c>
      <c r="M78" s="12">
        <f>M75+M76+M77</f>
        <v>-4862.8198700000039</v>
      </c>
      <c r="N78" s="12">
        <f>N75+N76+N77</f>
        <v>9430</v>
      </c>
      <c r="O78" s="12">
        <f>O75+O76+O77</f>
        <v>-26204.010570000002</v>
      </c>
      <c r="P78" s="12">
        <v>-223320.65859000001</v>
      </c>
      <c r="Q78" s="5"/>
      <c r="R78" s="5"/>
      <c r="S78" s="5"/>
      <c r="T78" s="5"/>
      <c r="U78" s="5"/>
      <c r="V78" s="4"/>
    </row>
    <row r="79" spans="1:31" ht="15" x14ac:dyDescent="0.25">
      <c r="A79" s="16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"/>
      <c r="R79" s="2"/>
      <c r="S79" s="2"/>
      <c r="T79" s="2"/>
      <c r="U79" s="2"/>
      <c r="V79" s="2"/>
    </row>
    <row r="80" spans="1:31" ht="15" x14ac:dyDescent="0.25">
      <c r="A80" s="6" t="s">
        <v>35</v>
      </c>
      <c r="B80" s="8">
        <v>2.5809072444143533E-2</v>
      </c>
      <c r="C80" s="8"/>
      <c r="D80" s="8">
        <v>-5.2731955070881915E-2</v>
      </c>
      <c r="E80" s="8">
        <f>IFERROR(E78/[1]BP!E55,"")</f>
        <v>1.5639183481007811E-2</v>
      </c>
      <c r="F80" s="8">
        <f>IFERROR(F78/[1]BP!F55,"")</f>
        <v>-3.8182929952093637E-3</v>
      </c>
      <c r="G80" s="8">
        <v>2.9279332870321008E-2</v>
      </c>
      <c r="H80" s="8">
        <f>IFERROR(H78/[1]BP!I55,"")</f>
        <v>-0.27885180208356913</v>
      </c>
      <c r="I80" s="8">
        <v>4.3913022088368461E-2</v>
      </c>
      <c r="J80" s="8">
        <f>IFERROR(J78/[1]BP!L55,"")</f>
        <v>0</v>
      </c>
      <c r="K80" s="8">
        <f>IFERROR(K78/[1]BP!O55,"")</f>
        <v>-9.2011810622191995E-3</v>
      </c>
      <c r="L80" s="8">
        <v>-1.9379135802492044E-2</v>
      </c>
      <c r="M80" s="8">
        <v>-5.2892256557922533E-2</v>
      </c>
      <c r="N80" s="8">
        <v>3.790192926045016</v>
      </c>
      <c r="O80" s="8">
        <v>2.5809072444143533E-2</v>
      </c>
      <c r="P80" s="8">
        <v>-8.6999649679560132E-3</v>
      </c>
      <c r="Q80" s="18"/>
      <c r="R80" s="18"/>
      <c r="S80" s="18"/>
      <c r="T80" s="18"/>
      <c r="U80" s="18"/>
      <c r="V80" s="18"/>
    </row>
    <row r="81" spans="1:31" ht="15" x14ac:dyDescent="0.25">
      <c r="A81" s="3" t="s">
        <v>34</v>
      </c>
      <c r="B81" s="7">
        <v>9.0992418889758814E-2</v>
      </c>
      <c r="C81" s="7"/>
      <c r="D81" s="7">
        <v>0.44063602662021528</v>
      </c>
      <c r="E81" s="7">
        <f>(IFERROR(E78/[1]BP!E64,""))</f>
        <v>-0.16691470560878058</v>
      </c>
      <c r="F81" s="7">
        <f>(IFERROR(F78/[1]BP!F64,""))</f>
        <v>-6.0580320432303478E-2</v>
      </c>
      <c r="G81" s="7">
        <v>0.24874429032783951</v>
      </c>
      <c r="H81" s="7">
        <f>(IFERROR(H78/[1]BP!I64,""))</f>
        <v>0.11676213489391686</v>
      </c>
      <c r="I81" s="7">
        <v>-0.13202978622254458</v>
      </c>
      <c r="J81" s="7">
        <f>(IFERROR(J78/[1]BP!L64,""))</f>
        <v>0</v>
      </c>
      <c r="K81" s="7">
        <f>(IFERROR(K78/[1]BP!O64,""))</f>
        <v>7.9365296089097623E-3</v>
      </c>
      <c r="L81" s="7">
        <v>-0.20542822832155899</v>
      </c>
      <c r="M81" s="7">
        <v>0.75049781316004605</v>
      </c>
      <c r="N81" s="7">
        <v>-0.12199065988797041</v>
      </c>
      <c r="O81" s="7">
        <v>9.0992418889758814E-2</v>
      </c>
      <c r="P81" s="7">
        <v>-0.26349056780273045</v>
      </c>
      <c r="Q81" s="9"/>
      <c r="R81" s="9"/>
      <c r="S81" s="9"/>
      <c r="T81" s="9"/>
      <c r="U81" s="9"/>
      <c r="V81" s="9"/>
    </row>
    <row r="82" spans="1:31" ht="15" x14ac:dyDescent="0.25">
      <c r="A82" s="6" t="s">
        <v>3</v>
      </c>
      <c r="B82" s="8">
        <v>5.8479580562532843E-2</v>
      </c>
      <c r="C82" s="8"/>
      <c r="D82" s="8">
        <v>7.1414716624823418E-2</v>
      </c>
      <c r="E82" s="8">
        <f t="shared" ref="E82:K82" si="66">IF(E61=0,0,E63/E61)</f>
        <v>0.18023738755317478</v>
      </c>
      <c r="F82" s="8">
        <f t="shared" si="66"/>
        <v>0.16940110235115957</v>
      </c>
      <c r="G82" s="8">
        <v>0.28687009361261356</v>
      </c>
      <c r="H82" s="8">
        <f t="shared" si="66"/>
        <v>-1.7193183655463453</v>
      </c>
      <c r="I82" s="8">
        <v>0.20656974807694983</v>
      </c>
      <c r="J82" s="8">
        <f t="shared" ref="J82" si="67">IF(J61=0,0,J63/J61)</f>
        <v>0</v>
      </c>
      <c r="K82" s="8">
        <f t="shared" si="66"/>
        <v>0</v>
      </c>
      <c r="L82" s="8">
        <v>0.23558874045107769</v>
      </c>
      <c r="M82" s="8">
        <v>2.0307634997485082E-2</v>
      </c>
      <c r="N82" s="8">
        <v>0</v>
      </c>
      <c r="O82" s="8">
        <v>5.8479580562532843E-2</v>
      </c>
      <c r="P82" s="8">
        <v>0.18135050720643375</v>
      </c>
      <c r="Q82" s="12"/>
      <c r="R82" s="12"/>
      <c r="S82" s="12"/>
      <c r="T82" s="12"/>
      <c r="U82" s="12"/>
      <c r="V82" s="15"/>
      <c r="AB82" s="22"/>
      <c r="AC82" s="22"/>
      <c r="AD82" s="22"/>
      <c r="AE82" s="22"/>
    </row>
    <row r="83" spans="1:31" ht="15" x14ac:dyDescent="0.25">
      <c r="A83" s="3" t="s">
        <v>2</v>
      </c>
      <c r="B83" s="7">
        <v>1.314535340034291E-2</v>
      </c>
      <c r="C83" s="7"/>
      <c r="D83" s="7">
        <v>-9.0262477949949127E-2</v>
      </c>
      <c r="E83" s="7">
        <f t="shared" ref="E83:K83" si="68">IF(E61=0,0,E78/E61)</f>
        <v>4.6391054733022338E-2</v>
      </c>
      <c r="F83" s="7">
        <f t="shared" si="68"/>
        <v>-1.3911155360463683E-2</v>
      </c>
      <c r="G83" s="7">
        <v>0.10582054965232986</v>
      </c>
      <c r="H83" s="7">
        <f t="shared" si="68"/>
        <v>-2.803293984266138</v>
      </c>
      <c r="I83" s="7">
        <v>0.18138596874656202</v>
      </c>
      <c r="J83" s="7">
        <f t="shared" ref="J83" si="69">IF(J61=0,0,J78/J61)</f>
        <v>0</v>
      </c>
      <c r="K83" s="7">
        <f t="shared" si="68"/>
        <v>0</v>
      </c>
      <c r="L83" s="7">
        <v>-5.8408168995021895E-2</v>
      </c>
      <c r="M83" s="7">
        <v>-0.20564247534552482</v>
      </c>
      <c r="N83" s="7">
        <v>0</v>
      </c>
      <c r="O83" s="7">
        <v>1.314535340034291E-2</v>
      </c>
      <c r="P83" s="7">
        <v>-2.5288754846176875E-2</v>
      </c>
      <c r="Q83" s="12"/>
      <c r="R83" s="12"/>
      <c r="S83" s="12"/>
      <c r="T83" s="12"/>
      <c r="U83" s="12"/>
      <c r="V83" s="15"/>
    </row>
    <row r="84" spans="1:31" ht="15" x14ac:dyDescent="0.25">
      <c r="A84" s="6" t="s">
        <v>1</v>
      </c>
      <c r="B84" s="5">
        <v>5925</v>
      </c>
      <c r="C84" s="5"/>
      <c r="D84" s="5">
        <v>-30296</v>
      </c>
      <c r="E84" s="5">
        <f t="shared" ref="E84:K84" si="70">+E66</f>
        <v>107535</v>
      </c>
      <c r="F84" s="5">
        <f t="shared" si="70"/>
        <v>102772</v>
      </c>
      <c r="G84" s="5">
        <v>2536.6109800000004</v>
      </c>
      <c r="H84" s="5">
        <f t="shared" si="70"/>
        <v>-1074.5562599999998</v>
      </c>
      <c r="I84" s="5">
        <v>1158.9570000000058</v>
      </c>
      <c r="J84" s="5">
        <f t="shared" ref="J84" si="71">+J66</f>
        <v>0</v>
      </c>
      <c r="K84" s="5">
        <f t="shared" si="70"/>
        <v>-19.121079999999999</v>
      </c>
      <c r="L84" s="5">
        <v>71465</v>
      </c>
      <c r="M84" s="5">
        <v>-2606.2321900000043</v>
      </c>
      <c r="N84" s="5">
        <v>-744</v>
      </c>
      <c r="O84" s="5">
        <v>5925</v>
      </c>
      <c r="P84" s="5">
        <v>242126.72242999997</v>
      </c>
      <c r="Q84" s="25"/>
      <c r="R84" s="25"/>
      <c r="S84" s="25"/>
      <c r="T84" s="25"/>
      <c r="U84" s="25"/>
      <c r="V84" s="15"/>
    </row>
    <row r="85" spans="1:31" ht="15" x14ac:dyDescent="0.25">
      <c r="A85" s="3" t="s">
        <v>0</v>
      </c>
      <c r="B85" s="2">
        <v>8.1727407027315582E-3</v>
      </c>
      <c r="C85" s="2"/>
      <c r="D85" s="2">
        <v>-5.5438036612233843E-2</v>
      </c>
      <c r="E85" s="2">
        <f t="shared" ref="E85:K85" si="72">IF(E61=0,0,E84/E61)</f>
        <v>7.3157191868656532E-2</v>
      </c>
      <c r="F85" s="2">
        <f t="shared" si="72"/>
        <v>4.2651469531789186E-2</v>
      </c>
      <c r="G85" s="2">
        <v>0.18615755798483408</v>
      </c>
      <c r="H85" s="2">
        <f t="shared" si="72"/>
        <v>-2.717158255649939</v>
      </c>
      <c r="I85" s="2">
        <v>1.7519347352737556E-2</v>
      </c>
      <c r="J85" s="2">
        <f t="shared" ref="J85" si="73">IF(J61=0,0,J84/J61)</f>
        <v>0</v>
      </c>
      <c r="K85" s="2">
        <f t="shared" si="72"/>
        <v>0</v>
      </c>
      <c r="L85" s="2">
        <v>1.9984295556727549E-2</v>
      </c>
      <c r="M85" s="2">
        <v>-0.11021424877018705</v>
      </c>
      <c r="N85" s="2">
        <v>0</v>
      </c>
      <c r="O85" s="2">
        <v>8.1727407027315582E-3</v>
      </c>
      <c r="P85" s="2">
        <v>2.7418347070532811E-2</v>
      </c>
      <c r="Q85" s="36"/>
      <c r="R85" s="36"/>
      <c r="S85" s="36"/>
      <c r="T85" s="36"/>
      <c r="U85" s="36"/>
      <c r="V85" s="36"/>
      <c r="W85" s="22"/>
      <c r="X85" s="22"/>
      <c r="Y85" s="22"/>
      <c r="Z85" s="22"/>
    </row>
    <row r="86" spans="1:31" s="22" customFormat="1" x14ac:dyDescent="0.2">
      <c r="A86" s="3" t="s">
        <v>33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8" spans="1:31" ht="15" x14ac:dyDescent="0.2">
      <c r="A88" s="49" t="s">
        <v>52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</row>
    <row r="89" spans="1:31" ht="15" x14ac:dyDescent="0.25">
      <c r="A89" s="20" t="s">
        <v>46</v>
      </c>
      <c r="B89" s="26" t="s">
        <v>77</v>
      </c>
      <c r="C89" s="26" t="s">
        <v>74</v>
      </c>
      <c r="D89" s="20" t="s">
        <v>69</v>
      </c>
      <c r="E89" s="20" t="s">
        <v>66</v>
      </c>
      <c r="F89" s="20" t="s">
        <v>67</v>
      </c>
      <c r="G89" s="26" t="s">
        <v>70</v>
      </c>
      <c r="H89" s="20" t="s">
        <v>68</v>
      </c>
      <c r="I89" s="20" t="s">
        <v>71</v>
      </c>
      <c r="J89" s="26" t="s">
        <v>73</v>
      </c>
      <c r="K89" s="26" t="s">
        <v>72</v>
      </c>
      <c r="L89" s="26" t="s">
        <v>13</v>
      </c>
      <c r="M89" s="26" t="s">
        <v>76</v>
      </c>
      <c r="N89" s="26" t="s">
        <v>75</v>
      </c>
      <c r="O89" s="26" t="s">
        <v>44</v>
      </c>
      <c r="P89" s="26" t="s">
        <v>65</v>
      </c>
      <c r="Q89" s="18"/>
      <c r="R89" s="18"/>
      <c r="S89" s="18"/>
      <c r="T89" s="18"/>
      <c r="U89" s="18"/>
      <c r="V89" s="18"/>
    </row>
    <row r="90" spans="1:31" ht="15" x14ac:dyDescent="0.25">
      <c r="A90" s="16" t="s">
        <v>42</v>
      </c>
      <c r="B90" s="18">
        <v>1003000</v>
      </c>
      <c r="C90" s="18">
        <f>2021667.63/1000</f>
        <v>2021.6676299999999</v>
      </c>
      <c r="D90" s="18">
        <f>2184924</f>
        <v>2184924</v>
      </c>
      <c r="E90" s="18">
        <v>5365517</v>
      </c>
      <c r="F90" s="18">
        <f>9789696</f>
        <v>9789696</v>
      </c>
      <c r="G90" s="18">
        <f>42282861.67/1000</f>
        <v>42282.861669999998</v>
      </c>
      <c r="H90" s="18"/>
      <c r="I90" s="18"/>
      <c r="J90" s="18">
        <f>35663469.72/1000</f>
        <v>35663.469720000001</v>
      </c>
      <c r="K90" s="18"/>
      <c r="L90" s="18">
        <f>14866639</f>
        <v>14866639</v>
      </c>
      <c r="M90" s="18">
        <f>96940840.65/1000</f>
        <v>96940.840650000013</v>
      </c>
      <c r="N90" s="18">
        <f>439035</f>
        <v>439035</v>
      </c>
      <c r="O90" s="18"/>
      <c r="P90" s="18">
        <v>33825719.839669995</v>
      </c>
    </row>
    <row r="91" spans="1:31" ht="15" x14ac:dyDescent="0.25">
      <c r="A91" s="16" t="s">
        <v>41</v>
      </c>
      <c r="B91" s="18">
        <v>-966582</v>
      </c>
      <c r="C91" s="18">
        <f>(-915055.85-1554361.86)/1000</f>
        <v>-2469.4177100000002</v>
      </c>
      <c r="D91" s="18">
        <v>-1877010</v>
      </c>
      <c r="E91" s="18">
        <v>-4421512</v>
      </c>
      <c r="F91" s="18">
        <v>-8219983</v>
      </c>
      <c r="G91" s="18">
        <f>-20294030.79/1000</f>
        <v>-20294.030790000001</v>
      </c>
      <c r="H91" s="18">
        <f>-1457849.22/1000</f>
        <v>-1457.8492200000001</v>
      </c>
      <c r="I91" s="18"/>
      <c r="J91" s="18">
        <f>-29726922.4/1000</f>
        <v>-29726.922399999999</v>
      </c>
      <c r="K91" s="18"/>
      <c r="L91" s="18">
        <v>-11855723</v>
      </c>
      <c r="M91" s="18">
        <f>-77240422.66/1000</f>
        <v>-77240.422659999997</v>
      </c>
      <c r="N91" s="18">
        <v>-366777</v>
      </c>
      <c r="O91" s="18"/>
      <c r="P91" s="18">
        <v>-27838775.642779998</v>
      </c>
    </row>
    <row r="92" spans="1:31" ht="15" x14ac:dyDescent="0.25">
      <c r="A92" s="16" t="s">
        <v>12</v>
      </c>
      <c r="B92" s="18">
        <f t="shared" ref="B92:D92" si="74">B90+B91</f>
        <v>36418</v>
      </c>
      <c r="C92" s="18">
        <f t="shared" si="74"/>
        <v>-447.75008000000025</v>
      </c>
      <c r="D92" s="18">
        <f t="shared" si="74"/>
        <v>307914</v>
      </c>
      <c r="E92" s="18">
        <f t="shared" ref="E92:K92" si="75">E90+E91</f>
        <v>944005</v>
      </c>
      <c r="F92" s="18">
        <f t="shared" si="75"/>
        <v>1569713</v>
      </c>
      <c r="G92" s="18">
        <f t="shared" ref="G92" si="76">G90+G91</f>
        <v>21988.830879999998</v>
      </c>
      <c r="H92" s="18">
        <f t="shared" si="75"/>
        <v>-1457.8492200000001</v>
      </c>
      <c r="I92" s="18">
        <f t="shared" ref="I92:J92" si="77">I90+I91</f>
        <v>0</v>
      </c>
      <c r="J92" s="18">
        <f t="shared" si="77"/>
        <v>5936.5473200000015</v>
      </c>
      <c r="K92" s="18">
        <f t="shared" si="75"/>
        <v>0</v>
      </c>
      <c r="L92" s="18">
        <f t="shared" ref="L92:N92" si="78">L90+L91</f>
        <v>3010916</v>
      </c>
      <c r="M92" s="18">
        <f t="shared" si="78"/>
        <v>19700.417990000016</v>
      </c>
      <c r="N92" s="18">
        <f t="shared" si="78"/>
        <v>72258</v>
      </c>
      <c r="O92" s="18">
        <f t="shared" ref="O92" si="79">O90+O91</f>
        <v>0</v>
      </c>
      <c r="P92" s="18">
        <v>5986944.1968899993</v>
      </c>
    </row>
    <row r="93" spans="1:31" ht="15" x14ac:dyDescent="0.25">
      <c r="A93" s="16" t="s">
        <v>40</v>
      </c>
      <c r="B93" s="18">
        <f>-30624-17323+24380</f>
        <v>-23567</v>
      </c>
      <c r="C93" s="18">
        <f>(-96448.21)/1000</f>
        <v>-96.448210000000003</v>
      </c>
      <c r="D93" s="18">
        <f>-150627-104530-2712</f>
        <v>-257869</v>
      </c>
      <c r="E93" s="18">
        <f>-231253-362661</f>
        <v>-593914</v>
      </c>
      <c r="F93" s="18">
        <f>-857627-508054</f>
        <v>-1365681</v>
      </c>
      <c r="G93" s="18">
        <f>-12894244.05/1000</f>
        <v>-12894.244050000001</v>
      </c>
      <c r="H93" s="18">
        <f>(-377117.86-237461.33-54552.31+415954.62)/1000</f>
        <v>-253.17688000000001</v>
      </c>
      <c r="I93" s="18"/>
      <c r="J93" s="18">
        <f>-6873474.49/1000</f>
        <v>-6873.4744900000005</v>
      </c>
      <c r="K93" s="18"/>
      <c r="L93" s="18">
        <f>-965229-1804146-559468</f>
        <v>-3328843</v>
      </c>
      <c r="M93" s="18">
        <f>(-9647792.82)/1000</f>
        <v>-9647.7928200000006</v>
      </c>
      <c r="N93" s="18">
        <f>-23125-31915</f>
        <v>-55040</v>
      </c>
      <c r="O93" s="18">
        <f>-19997+4549</f>
        <v>-15448</v>
      </c>
      <c r="P93" s="18">
        <v>-5670127.1364500001</v>
      </c>
    </row>
    <row r="94" spans="1:31" ht="15" x14ac:dyDescent="0.25">
      <c r="A94" s="16" t="s">
        <v>39</v>
      </c>
      <c r="B94" s="18"/>
      <c r="C94" s="18"/>
      <c r="D94" s="18"/>
      <c r="E94" s="18">
        <v>408</v>
      </c>
      <c r="F94" s="18">
        <v>-30335</v>
      </c>
      <c r="G94" s="18"/>
      <c r="H94" s="18"/>
      <c r="I94" s="18"/>
      <c r="J94" s="18"/>
      <c r="K94" s="18"/>
      <c r="L94" s="18">
        <v>-7172</v>
      </c>
      <c r="M94" s="18">
        <f>-844607.86/1000</f>
        <v>-844.60785999999996</v>
      </c>
      <c r="N94" s="18"/>
      <c r="O94" s="18"/>
      <c r="P94" s="18">
        <v>-37943.607859999996</v>
      </c>
    </row>
    <row r="95" spans="1:31" ht="15" x14ac:dyDescent="0.25">
      <c r="A95" s="16" t="s">
        <v>11</v>
      </c>
      <c r="B95" s="18">
        <f t="shared" ref="B95:D95" si="80">B92+B93+B94</f>
        <v>12851</v>
      </c>
      <c r="C95" s="18">
        <f t="shared" si="80"/>
        <v>-544.19829000000027</v>
      </c>
      <c r="D95" s="18">
        <f t="shared" si="80"/>
        <v>50045</v>
      </c>
      <c r="E95" s="18">
        <f t="shared" ref="E95:K95" si="81">E92+E93+E94</f>
        <v>350499</v>
      </c>
      <c r="F95" s="18">
        <f t="shared" si="81"/>
        <v>173697</v>
      </c>
      <c r="G95" s="18">
        <f t="shared" ref="G95" si="82">G92+G93+G94</f>
        <v>9094.5868299999966</v>
      </c>
      <c r="H95" s="18">
        <f t="shared" si="81"/>
        <v>-1711.0261</v>
      </c>
      <c r="I95" s="18">
        <f t="shared" ref="I95:J95" si="83">I92+I93+I94</f>
        <v>0</v>
      </c>
      <c r="J95" s="18">
        <f t="shared" si="83"/>
        <v>-936.92716999999902</v>
      </c>
      <c r="K95" s="18">
        <f t="shared" si="81"/>
        <v>0</v>
      </c>
      <c r="L95" s="18">
        <f t="shared" ref="L95:N95" si="84">L92+L93+L94</f>
        <v>-325099</v>
      </c>
      <c r="M95" s="18">
        <f t="shared" si="84"/>
        <v>9208.0173100000156</v>
      </c>
      <c r="N95" s="18">
        <f t="shared" si="84"/>
        <v>17218</v>
      </c>
      <c r="O95" s="18">
        <f t="shared" ref="O95" si="85">O92+O93+O94</f>
        <v>-15448</v>
      </c>
      <c r="P95" s="18">
        <v>278873.45258000004</v>
      </c>
    </row>
    <row r="96" spans="1:31" x14ac:dyDescent="0.2">
      <c r="A96" s="6" t="s">
        <v>82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>
        <v>0</v>
      </c>
    </row>
    <row r="97" spans="1:31" x14ac:dyDescent="0.2">
      <c r="A97" s="6" t="s">
        <v>9</v>
      </c>
      <c r="B97" s="9">
        <f>2239</f>
        <v>2239</v>
      </c>
      <c r="C97" s="9">
        <f>6490.3/1000</f>
        <v>6.4903000000000004</v>
      </c>
      <c r="D97" s="9">
        <f>45587</f>
        <v>45587</v>
      </c>
      <c r="E97" s="9">
        <v>42052</v>
      </c>
      <c r="F97" s="9">
        <f>365009</f>
        <v>365009</v>
      </c>
      <c r="G97" s="9">
        <f>1258753.24/1000</f>
        <v>1258.75324</v>
      </c>
      <c r="H97" s="9"/>
      <c r="I97" s="9"/>
      <c r="J97" s="9">
        <f>45709.36/1000</f>
        <v>45.709360000000004</v>
      </c>
      <c r="K97" s="9"/>
      <c r="L97" s="9">
        <f>1106358</f>
        <v>1106358</v>
      </c>
      <c r="M97" s="9">
        <f>3742148.24/1000</f>
        <v>3742.1482400000004</v>
      </c>
      <c r="N97" s="9">
        <f>1753</f>
        <v>1753</v>
      </c>
      <c r="O97" s="9">
        <f>53</f>
        <v>53</v>
      </c>
      <c r="P97" s="9">
        <v>1568104.1011399999</v>
      </c>
    </row>
    <row r="98" spans="1:31" x14ac:dyDescent="0.2">
      <c r="A98" s="6" t="s">
        <v>8</v>
      </c>
      <c r="B98" s="9">
        <v>-1797</v>
      </c>
      <c r="C98" s="9">
        <f>-1919988.69/1000</f>
        <v>-1919.9886899999999</v>
      </c>
      <c r="D98" s="9">
        <v>-187217</v>
      </c>
      <c r="E98" s="9">
        <v>-352631</v>
      </c>
      <c r="F98" s="9">
        <v>-1269650</v>
      </c>
      <c r="G98" s="9">
        <f>-836978.21/1000</f>
        <v>-836.97820999999999</v>
      </c>
      <c r="H98" s="9">
        <f>-6747.17/1000</f>
        <v>-6.7471699999999997</v>
      </c>
      <c r="I98" s="9"/>
      <c r="J98" s="9">
        <f>-4124494.26/1000</f>
        <v>-4124.4942599999995</v>
      </c>
      <c r="K98" s="9"/>
      <c r="L98" s="9">
        <v>-1743930</v>
      </c>
      <c r="M98" s="9">
        <f>-11471920.82/1000</f>
        <v>-11471.920820000001</v>
      </c>
      <c r="N98" s="9">
        <v>-18383</v>
      </c>
      <c r="O98" s="9">
        <v>-15279</v>
      </c>
      <c r="P98" s="9">
        <v>-3607247.1291500004</v>
      </c>
    </row>
    <row r="99" spans="1:31" x14ac:dyDescent="0.2">
      <c r="A99" s="6" t="s">
        <v>7</v>
      </c>
      <c r="B99" s="9"/>
      <c r="C99" s="9"/>
      <c r="D99" s="9"/>
      <c r="E99" s="9">
        <v>9740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>
        <v>9740</v>
      </c>
    </row>
    <row r="100" spans="1:31" x14ac:dyDescent="0.2">
      <c r="A100" s="6" t="s">
        <v>51</v>
      </c>
      <c r="B100" s="9">
        <f>7800</f>
        <v>7800</v>
      </c>
      <c r="C100" s="9"/>
      <c r="D100" s="9"/>
      <c r="E100" s="9">
        <v>30910</v>
      </c>
      <c r="F100" s="9">
        <v>-270586</v>
      </c>
      <c r="G100" s="9"/>
      <c r="H100" s="9"/>
      <c r="I100" s="9"/>
      <c r="J100" s="9"/>
      <c r="K100" s="9"/>
      <c r="L100" s="9"/>
      <c r="M100" s="9">
        <f>(3182731.95-2513612.08)/1000</f>
        <v>669.11987000000011</v>
      </c>
      <c r="N100" s="9">
        <f>5923</f>
        <v>5923</v>
      </c>
      <c r="O100" s="9">
        <v>-965</v>
      </c>
      <c r="P100" s="9">
        <v>-226248.88013000001</v>
      </c>
    </row>
    <row r="101" spans="1:31" x14ac:dyDescent="0.2">
      <c r="A101" s="6" t="s">
        <v>6</v>
      </c>
      <c r="B101" s="9"/>
      <c r="C101" s="9">
        <f>13113.18/1000</f>
        <v>13.11318</v>
      </c>
      <c r="D101" s="9"/>
      <c r="E101" s="9"/>
      <c r="F101" s="9"/>
      <c r="G101" s="9"/>
      <c r="H101" s="9"/>
      <c r="I101" s="9"/>
      <c r="J101" s="9"/>
      <c r="K101" s="9"/>
      <c r="L101" s="9"/>
      <c r="M101" s="9">
        <f>(-1805264.19+12717313.98)/1000</f>
        <v>10912.049790000001</v>
      </c>
      <c r="N101" s="9"/>
      <c r="O101" s="9"/>
      <c r="P101" s="9">
        <v>10925.162970000001</v>
      </c>
    </row>
    <row r="102" spans="1:31" ht="15" x14ac:dyDescent="0.25">
      <c r="A102" s="16" t="s">
        <v>10</v>
      </c>
      <c r="B102" s="12">
        <f t="shared" ref="B102:D102" si="86">B96+B97+B98+B99+B100+B101</f>
        <v>8242</v>
      </c>
      <c r="C102" s="12">
        <f t="shared" si="86"/>
        <v>-1900.3852099999999</v>
      </c>
      <c r="D102" s="12">
        <f t="shared" si="86"/>
        <v>-141630</v>
      </c>
      <c r="E102" s="12">
        <f t="shared" ref="E102:K102" si="87">E96+E97+E98+E99+E100+E101</f>
        <v>-269929</v>
      </c>
      <c r="F102" s="12">
        <f t="shared" si="87"/>
        <v>-1175227</v>
      </c>
      <c r="G102" s="12">
        <f t="shared" ref="G102" si="88">G96+G97+G98+G99+G100+G101</f>
        <v>421.77503000000002</v>
      </c>
      <c r="H102" s="12">
        <f t="shared" si="87"/>
        <v>-6.7471699999999997</v>
      </c>
      <c r="I102" s="12">
        <f t="shared" ref="I102:J102" si="89">I96+I97+I98+I99+I100+I101</f>
        <v>0</v>
      </c>
      <c r="J102" s="12">
        <f t="shared" si="89"/>
        <v>-4078.7848999999997</v>
      </c>
      <c r="K102" s="12">
        <f t="shared" si="87"/>
        <v>0</v>
      </c>
      <c r="L102" s="12">
        <f t="shared" ref="L102:N102" si="90">L96+L97+L98+L99+L100+L101</f>
        <v>-637572</v>
      </c>
      <c r="M102" s="12">
        <f t="shared" si="90"/>
        <v>3851.3970800000006</v>
      </c>
      <c r="N102" s="12">
        <f t="shared" si="90"/>
        <v>-10707</v>
      </c>
      <c r="O102" s="12">
        <f t="shared" ref="O102" si="91">O96+O97+O98+O99+O100+O101</f>
        <v>-16191</v>
      </c>
      <c r="P102" s="12">
        <v>-2244726.7451700005</v>
      </c>
    </row>
    <row r="103" spans="1:31" ht="15" x14ac:dyDescent="0.25">
      <c r="A103" s="14" t="s">
        <v>38</v>
      </c>
      <c r="B103" s="12"/>
      <c r="C103" s="12">
        <f>(5264740.39-3262676.24)/1000</f>
        <v>2002.0641499999995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>
        <v>2002.0641499999995</v>
      </c>
    </row>
    <row r="104" spans="1:31" ht="15" x14ac:dyDescent="0.25">
      <c r="A104" s="16" t="s">
        <v>5</v>
      </c>
      <c r="B104" s="12">
        <f t="shared" ref="B104:D104" si="92">B95+B102+B103</f>
        <v>21093</v>
      </c>
      <c r="C104" s="12">
        <f t="shared" si="92"/>
        <v>-442.51935000000071</v>
      </c>
      <c r="D104" s="12">
        <f t="shared" si="92"/>
        <v>-91585</v>
      </c>
      <c r="E104" s="12">
        <f t="shared" ref="E104:K104" si="93">E95+E102+E103</f>
        <v>80570</v>
      </c>
      <c r="F104" s="12">
        <f t="shared" si="93"/>
        <v>-1001530</v>
      </c>
      <c r="G104" s="12">
        <f t="shared" ref="G104" si="94">G95+G102+G103</f>
        <v>9516.3618599999973</v>
      </c>
      <c r="H104" s="12">
        <f t="shared" si="93"/>
        <v>-1717.7732700000001</v>
      </c>
      <c r="I104" s="12">
        <f t="shared" ref="I104:J104" si="95">I95+I102+I103</f>
        <v>0</v>
      </c>
      <c r="J104" s="12">
        <f t="shared" si="95"/>
        <v>-5015.7120699999987</v>
      </c>
      <c r="K104" s="12">
        <f t="shared" si="93"/>
        <v>0</v>
      </c>
      <c r="L104" s="12">
        <f t="shared" ref="L104:N104" si="96">L95+L102+L103</f>
        <v>-962671</v>
      </c>
      <c r="M104" s="12">
        <f t="shared" si="96"/>
        <v>13059.414390000016</v>
      </c>
      <c r="N104" s="12">
        <f t="shared" si="96"/>
        <v>6511</v>
      </c>
      <c r="O104" s="12">
        <f t="shared" ref="O104" si="97">O95+O102+O103</f>
        <v>-31639</v>
      </c>
      <c r="P104" s="12">
        <v>-1963851.22844</v>
      </c>
    </row>
    <row r="105" spans="1:31" ht="15" x14ac:dyDescent="0.25">
      <c r="A105" s="14" t="s">
        <v>37</v>
      </c>
      <c r="B105" s="12">
        <v>-1220</v>
      </c>
      <c r="C105" s="12">
        <f>-170774.59/1000</f>
        <v>-170.77458999999999</v>
      </c>
      <c r="D105" s="12">
        <f>76807</f>
        <v>76807</v>
      </c>
      <c r="E105" s="12"/>
      <c r="F105" s="12">
        <f>3078</f>
        <v>3078</v>
      </c>
      <c r="G105" s="12">
        <f>-1732238.9/1000</f>
        <v>-1732.2388999999998</v>
      </c>
      <c r="H105" s="12"/>
      <c r="I105" s="12"/>
      <c r="J105" s="12"/>
      <c r="K105" s="12"/>
      <c r="L105" s="12">
        <v>288736</v>
      </c>
      <c r="M105" s="12">
        <f>(-686501.28-1848118.25)/1000</f>
        <v>-2534.6195300000004</v>
      </c>
      <c r="N105" s="12"/>
      <c r="O105" s="12"/>
      <c r="P105" s="12">
        <v>362963.36697999999</v>
      </c>
      <c r="AB105" s="22"/>
      <c r="AC105" s="22"/>
      <c r="AD105" s="22"/>
      <c r="AE105" s="22"/>
    </row>
    <row r="106" spans="1:31" ht="15" x14ac:dyDescent="0.25">
      <c r="A106" s="16" t="s">
        <v>36</v>
      </c>
      <c r="B106" s="12"/>
      <c r="C106" s="12"/>
      <c r="D106" s="12"/>
      <c r="E106" s="12"/>
      <c r="F106" s="12">
        <v>-57311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>
        <v>-57311</v>
      </c>
      <c r="AB106" s="22"/>
      <c r="AC106" s="22"/>
      <c r="AD106" s="22"/>
      <c r="AE106" s="22"/>
    </row>
    <row r="107" spans="1:31" ht="15" x14ac:dyDescent="0.25">
      <c r="A107" s="16" t="s">
        <v>4</v>
      </c>
      <c r="B107" s="12">
        <f t="shared" ref="B107:D107" si="98">B104+B105+B106</f>
        <v>19873</v>
      </c>
      <c r="C107" s="12">
        <f t="shared" si="98"/>
        <v>-613.2939400000007</v>
      </c>
      <c r="D107" s="12">
        <f t="shared" si="98"/>
        <v>-14778</v>
      </c>
      <c r="E107" s="12">
        <f t="shared" ref="E107:K107" si="99">E104+E105+E106</f>
        <v>80570</v>
      </c>
      <c r="F107" s="12">
        <f t="shared" si="99"/>
        <v>-1055763</v>
      </c>
      <c r="G107" s="12">
        <f t="shared" ref="G107" si="100">G104+G105+G106</f>
        <v>7784.122959999997</v>
      </c>
      <c r="H107" s="12">
        <f t="shared" si="99"/>
        <v>-1717.7732700000001</v>
      </c>
      <c r="I107" s="12">
        <f t="shared" ref="I107:J107" si="101">I104+I105+I106</f>
        <v>0</v>
      </c>
      <c r="J107" s="12">
        <f t="shared" si="101"/>
        <v>-5015.7120699999987</v>
      </c>
      <c r="K107" s="12">
        <f t="shared" si="99"/>
        <v>0</v>
      </c>
      <c r="L107" s="12">
        <f t="shared" ref="L107:N107" si="102">L104+L105+L106</f>
        <v>-673935</v>
      </c>
      <c r="M107" s="12">
        <f t="shared" si="102"/>
        <v>10524.794860000016</v>
      </c>
      <c r="N107" s="12">
        <f t="shared" si="102"/>
        <v>6511</v>
      </c>
      <c r="O107" s="12">
        <f t="shared" ref="O107" si="103">O104+O105+O106</f>
        <v>-31639</v>
      </c>
      <c r="P107" s="12">
        <v>-1658198.86146</v>
      </c>
    </row>
    <row r="108" spans="1:31" ht="15" x14ac:dyDescent="0.25">
      <c r="A108" s="1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31" ht="15" x14ac:dyDescent="0.25">
      <c r="A109" s="6" t="s">
        <v>35</v>
      </c>
      <c r="B109" s="8">
        <v>4.7663475190912928E-2</v>
      </c>
      <c r="C109" s="8">
        <v>-5.5059656389497919E-2</v>
      </c>
      <c r="D109" s="8">
        <v>-1.4383839642282532E-2</v>
      </c>
      <c r="E109" s="8">
        <v>1.7925808024096272E-2</v>
      </c>
      <c r="F109" s="8">
        <v>-0.12902062483708407</v>
      </c>
      <c r="G109" s="8">
        <v>0.13443321968624483</v>
      </c>
      <c r="H109" s="8">
        <v>-0.44227680153128096</v>
      </c>
      <c r="I109" s="8">
        <f>IFERROR(I107/[1]BP!J81,"")</f>
        <v>0</v>
      </c>
      <c r="J109" s="8">
        <v>-0.1350667988686767</v>
      </c>
      <c r="K109" s="8" t="str">
        <f>IFERROR(K107/[1]BP!O81,"")</f>
        <v/>
      </c>
      <c r="L109" s="8">
        <v>-6.70971386483043E-2</v>
      </c>
      <c r="M109" s="8">
        <v>0.10743733329760352</v>
      </c>
      <c r="N109" s="8" t="s">
        <v>83</v>
      </c>
      <c r="O109" s="8">
        <v>4.7663475190912928E-2</v>
      </c>
      <c r="P109" s="8">
        <v>-6.7520139378391381E-2</v>
      </c>
      <c r="Q109" s="18"/>
      <c r="R109" s="18"/>
      <c r="S109" s="18"/>
      <c r="T109" s="18"/>
      <c r="U109" s="18"/>
      <c r="V109" s="18"/>
    </row>
    <row r="110" spans="1:31" ht="15" x14ac:dyDescent="0.25">
      <c r="A110" s="3" t="s">
        <v>34</v>
      </c>
      <c r="B110" s="7">
        <v>0.1726945670687198</v>
      </c>
      <c r="C110" s="7">
        <v>0.11025901288198832</v>
      </c>
      <c r="D110" s="7">
        <v>-0.96204674174858407</v>
      </c>
      <c r="E110" s="7">
        <v>-0.27216008701556216</v>
      </c>
      <c r="F110" s="7">
        <v>29.163112535219049</v>
      </c>
      <c r="G110" s="7">
        <v>0.59382914024809208</v>
      </c>
      <c r="H110" s="7">
        <v>0.17001185554723161</v>
      </c>
      <c r="I110" s="7">
        <f>IFERROR(I107/[1]BP!J90,"")</f>
        <v>0</v>
      </c>
      <c r="J110" s="7">
        <v>-2.9933697410692761</v>
      </c>
      <c r="K110" s="7" t="str">
        <f>IFERROR(K107/[1]BP!O90,"")</f>
        <v/>
      </c>
      <c r="L110" s="7">
        <v>-0.81374443062582258</v>
      </c>
      <c r="M110" s="7">
        <v>1.4887224165071549</v>
      </c>
      <c r="N110" s="7">
        <v>-8.3971729990456295E-2</v>
      </c>
      <c r="O110" s="7">
        <v>0.1726945670687198</v>
      </c>
      <c r="P110" s="7">
        <v>-4.0446924957831119</v>
      </c>
      <c r="Q110" s="9"/>
      <c r="R110" s="9"/>
      <c r="S110" s="9"/>
      <c r="T110" s="9"/>
      <c r="U110" s="9"/>
      <c r="V110" s="9"/>
    </row>
    <row r="111" spans="1:31" ht="15" x14ac:dyDescent="0.25">
      <c r="A111" s="6" t="s">
        <v>3</v>
      </c>
      <c r="B111" s="8">
        <v>3.6309072781655037E-2</v>
      </c>
      <c r="C111" s="8">
        <v>-0.22147561416908093</v>
      </c>
      <c r="D111" s="8">
        <v>0.14092664092664092</v>
      </c>
      <c r="E111" s="8">
        <v>0.1759392431335135</v>
      </c>
      <c r="F111" s="8">
        <v>0.16034338553515859</v>
      </c>
      <c r="G111" s="8">
        <v>0.52004121791977087</v>
      </c>
      <c r="H111" s="8">
        <v>0</v>
      </c>
      <c r="I111" s="8">
        <f t="shared" ref="I111" si="104">IF(I90=0,0,I92/I90)</f>
        <v>0</v>
      </c>
      <c r="J111" s="8">
        <v>0.16646017245682626</v>
      </c>
      <c r="K111" s="8">
        <f t="shared" ref="K111" si="105">IF(K90=0,0,K92/K90)</f>
        <v>0</v>
      </c>
      <c r="L111" s="8">
        <v>0.2025283589653317</v>
      </c>
      <c r="M111" s="8">
        <v>0.20322103519947157</v>
      </c>
      <c r="N111" s="8">
        <v>0.16458368922751032</v>
      </c>
      <c r="O111" s="8">
        <v>3.6309072781655037E-2</v>
      </c>
      <c r="P111" s="8">
        <v>0.17699384448483058</v>
      </c>
      <c r="Q111" s="12"/>
      <c r="R111" s="12"/>
      <c r="S111" s="12"/>
      <c r="T111" s="12"/>
      <c r="U111" s="12"/>
      <c r="V111" s="15"/>
      <c r="AB111" s="22"/>
      <c r="AC111" s="22"/>
      <c r="AD111" s="22"/>
      <c r="AE111" s="22"/>
    </row>
    <row r="112" spans="1:31" ht="15" x14ac:dyDescent="0.25">
      <c r="A112" s="3" t="s">
        <v>2</v>
      </c>
      <c r="B112" s="7">
        <v>1.9813559322033897E-2</v>
      </c>
      <c r="C112" s="7">
        <v>-0.30336041933856395</v>
      </c>
      <c r="D112" s="7">
        <v>-6.763621984105626E-3</v>
      </c>
      <c r="E112" s="7">
        <v>1.501626031564153E-2</v>
      </c>
      <c r="F112" s="7">
        <v>-0.10784430895504825</v>
      </c>
      <c r="G112" s="7">
        <v>0.18409640815590514</v>
      </c>
      <c r="H112" s="7">
        <v>0</v>
      </c>
      <c r="I112" s="7">
        <f t="shared" ref="I112" si="106">IF(I90=0,0,I107/I90)</f>
        <v>0</v>
      </c>
      <c r="J112" s="7">
        <v>-0.14064004734758598</v>
      </c>
      <c r="K112" s="7">
        <f t="shared" ref="K112" si="107">IF(K90=0,0,K107/K90)</f>
        <v>0</v>
      </c>
      <c r="L112" s="7">
        <v>-4.5332035034953089E-2</v>
      </c>
      <c r="M112" s="7">
        <v>0.10856925511920465</v>
      </c>
      <c r="N112" s="7">
        <v>1.4830252713337206E-2</v>
      </c>
      <c r="O112" s="7">
        <v>1.9813559322033897E-2</v>
      </c>
      <c r="P112" s="7">
        <v>-4.9021835139641409E-2</v>
      </c>
      <c r="Q112" s="12"/>
      <c r="R112" s="12"/>
      <c r="S112" s="12"/>
      <c r="T112" s="12"/>
      <c r="U112" s="12"/>
      <c r="V112" s="15"/>
    </row>
    <row r="113" spans="1:31" ht="15" x14ac:dyDescent="0.25">
      <c r="A113" s="6" t="s">
        <v>1</v>
      </c>
      <c r="B113" s="5">
        <v>12851</v>
      </c>
      <c r="C113" s="5">
        <v>-544.19829000000027</v>
      </c>
      <c r="D113" s="5">
        <v>50045</v>
      </c>
      <c r="E113" s="5">
        <v>350499</v>
      </c>
      <c r="F113" s="5">
        <v>173697</v>
      </c>
      <c r="G113" s="5">
        <v>9094.5868299999966</v>
      </c>
      <c r="H113" s="5">
        <v>-1711.0261</v>
      </c>
      <c r="I113" s="5">
        <f t="shared" ref="I113" si="108">+I95</f>
        <v>0</v>
      </c>
      <c r="J113" s="5">
        <v>-936.92716999999902</v>
      </c>
      <c r="K113" s="5">
        <f t="shared" ref="K113" si="109">+K95</f>
        <v>0</v>
      </c>
      <c r="L113" s="5"/>
      <c r="M113" s="5"/>
      <c r="N113" s="5">
        <v>17218</v>
      </c>
      <c r="O113" s="5">
        <v>12851</v>
      </c>
      <c r="P113" s="5">
        <v>278873.45258000004</v>
      </c>
      <c r="Q113" s="25"/>
      <c r="R113" s="25"/>
      <c r="S113" s="25"/>
      <c r="T113" s="25"/>
      <c r="U113" s="25"/>
      <c r="V113" s="15"/>
    </row>
    <row r="114" spans="1:31" ht="15" x14ac:dyDescent="0.25">
      <c r="A114" s="3" t="s">
        <v>0</v>
      </c>
      <c r="B114" s="2">
        <v>1.2812562313060818E-2</v>
      </c>
      <c r="C114" s="2">
        <v>-0.26918286761113164</v>
      </c>
      <c r="D114" s="2">
        <v>2.290468684494289E-2</v>
      </c>
      <c r="E114" s="2">
        <v>6.5324366691970226E-2</v>
      </c>
      <c r="F114" s="2">
        <v>1.7742839001333648E-2</v>
      </c>
      <c r="G114" s="2">
        <v>0.2150891985736309</v>
      </c>
      <c r="H114" s="2">
        <v>0</v>
      </c>
      <c r="I114" s="2">
        <f t="shared" ref="I114" si="110">IF(I90=0,0,I113/I90)</f>
        <v>0</v>
      </c>
      <c r="J114" s="2">
        <v>-2.6271340880625875E-2</v>
      </c>
      <c r="K114" s="2">
        <f t="shared" ref="K114" si="111">IF(K90=0,0,K113/K90)</f>
        <v>0</v>
      </c>
      <c r="L114" s="2">
        <v>0</v>
      </c>
      <c r="M114" s="2">
        <v>0</v>
      </c>
      <c r="N114" s="2">
        <v>3.9217830013552453E-2</v>
      </c>
      <c r="O114" s="2">
        <v>1.2812562313060818E-2</v>
      </c>
      <c r="P114" s="2">
        <v>8.2444203375960073E-3</v>
      </c>
      <c r="Q114" s="36"/>
      <c r="R114" s="36"/>
      <c r="S114" s="36"/>
      <c r="T114" s="36"/>
      <c r="U114" s="36"/>
      <c r="V114" s="36"/>
      <c r="W114" s="22"/>
      <c r="X114" s="22"/>
      <c r="Y114" s="22"/>
      <c r="Z114" s="22"/>
    </row>
    <row r="115" spans="1:31" s="22" customFormat="1" x14ac:dyDescent="0.2">
      <c r="A115" s="3" t="s">
        <v>33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x14ac:dyDescent="0.2">
      <c r="D116" s="39"/>
    </row>
    <row r="117" spans="1:31" x14ac:dyDescent="0.2">
      <c r="F117" s="39"/>
    </row>
    <row r="118" spans="1:31" x14ac:dyDescent="0.2">
      <c r="C118" s="39"/>
      <c r="F118" s="39"/>
    </row>
  </sheetData>
  <mergeCells count="4">
    <mergeCell ref="A88:P88"/>
    <mergeCell ref="A30:P30"/>
    <mergeCell ref="A59:P59"/>
    <mergeCell ref="A1:P1"/>
  </mergeCells>
  <conditionalFormatting sqref="P45 P48">
    <cfRule type="cellIs" dxfId="1" priority="1" operator="notEqual">
      <formula>#REF!</formula>
    </cfRule>
    <cfRule type="cellIs" dxfId="0" priority="2" operator="equal">
      <formula>#REF!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8"/>
  <sheetViews>
    <sheetView tabSelected="1" workbookViewId="0">
      <selection activeCell="K89" sqref="A86:K89"/>
    </sheetView>
  </sheetViews>
  <sheetFormatPr defaultRowHeight="12.75" x14ac:dyDescent="0.2"/>
  <cols>
    <col min="1" max="1" width="56.5703125" style="1" bestFit="1" customWidth="1"/>
    <col min="2" max="2" width="8.140625" style="1" bestFit="1" customWidth="1"/>
    <col min="3" max="3" width="10.85546875" style="1" bestFit="1" customWidth="1"/>
    <col min="4" max="4" width="10.140625" style="1" bestFit="1" customWidth="1"/>
    <col min="5" max="5" width="9.85546875" style="1" bestFit="1" customWidth="1"/>
    <col min="6" max="6" width="10.85546875" style="1" bestFit="1" customWidth="1"/>
    <col min="7" max="7" width="9.140625" style="1" bestFit="1" customWidth="1"/>
    <col min="8" max="8" width="11.5703125" style="1" bestFit="1" customWidth="1"/>
    <col min="9" max="9" width="8.85546875" style="1" bestFit="1" customWidth="1"/>
    <col min="10" max="10" width="8.140625" style="1" bestFit="1" customWidth="1"/>
    <col min="11" max="11" width="16.28515625" style="1" bestFit="1" customWidth="1"/>
    <col min="12" max="12" width="11.7109375" style="1" bestFit="1" customWidth="1"/>
    <col min="13" max="13" width="10.85546875" style="1" bestFit="1" customWidth="1"/>
    <col min="14" max="14" width="8.85546875" style="1" bestFit="1" customWidth="1"/>
    <col min="15" max="15" width="10.140625" style="1" bestFit="1" customWidth="1"/>
    <col min="16" max="16" width="10.85546875" style="1" bestFit="1" customWidth="1"/>
    <col min="17" max="17" width="10.7109375" style="1" bestFit="1" customWidth="1"/>
    <col min="18" max="18" width="14.7109375" style="1" bestFit="1" customWidth="1"/>
    <col min="19" max="19" width="9.140625" style="1"/>
    <col min="20" max="20" width="10.28515625" style="1" bestFit="1" customWidth="1"/>
    <col min="21" max="40" width="9.140625" style="1"/>
    <col min="41" max="41" width="11.42578125" style="1" bestFit="1" customWidth="1"/>
    <col min="42" max="16384" width="9.140625" style="1"/>
  </cols>
  <sheetData>
    <row r="1" spans="1:41" s="28" customFormat="1" ht="15" x14ac:dyDescent="0.25">
      <c r="A1" s="49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8"/>
      <c r="N1" s="48"/>
      <c r="O1" s="48"/>
      <c r="P1" s="48"/>
      <c r="Q1" s="46">
        <v>1000</v>
      </c>
      <c r="R1" s="31"/>
      <c r="S1" s="35"/>
      <c r="T1" s="30"/>
      <c r="U1" s="29"/>
      <c r="V1" s="30"/>
      <c r="W1" s="29"/>
      <c r="X1" s="35"/>
      <c r="Y1" s="35"/>
      <c r="Z1" s="29"/>
      <c r="AA1" s="30"/>
      <c r="AB1" s="29"/>
      <c r="AC1" s="29"/>
      <c r="AD1" s="30"/>
      <c r="AE1" s="30"/>
      <c r="AF1" s="29"/>
      <c r="AG1" s="29"/>
      <c r="AH1" s="29"/>
      <c r="AI1" s="29"/>
      <c r="AJ1" s="29"/>
      <c r="AK1" s="29"/>
      <c r="AL1" s="35"/>
      <c r="AM1" s="29"/>
      <c r="AN1" s="29"/>
      <c r="AO1" s="34">
        <v>1000</v>
      </c>
    </row>
    <row r="2" spans="1:41" ht="15" x14ac:dyDescent="0.25">
      <c r="A2" s="27" t="s">
        <v>46</v>
      </c>
      <c r="B2" s="26" t="s">
        <v>79</v>
      </c>
      <c r="C2" s="26" t="s">
        <v>66</v>
      </c>
      <c r="D2" s="26" t="s">
        <v>67</v>
      </c>
      <c r="E2" s="26" t="s">
        <v>80</v>
      </c>
      <c r="F2" s="26" t="s">
        <v>69</v>
      </c>
      <c r="G2" s="26" t="s">
        <v>70</v>
      </c>
      <c r="H2" s="26" t="s">
        <v>71</v>
      </c>
      <c r="I2" s="26" t="s">
        <v>72</v>
      </c>
      <c r="J2" s="26" t="s">
        <v>73</v>
      </c>
      <c r="K2" s="26" t="s">
        <v>74</v>
      </c>
      <c r="L2" s="26" t="s">
        <v>13</v>
      </c>
      <c r="M2" s="26" t="s">
        <v>75</v>
      </c>
      <c r="N2" s="26" t="s">
        <v>76</v>
      </c>
      <c r="O2" s="26" t="s">
        <v>77</v>
      </c>
      <c r="P2" s="26" t="s">
        <v>81</v>
      </c>
      <c r="Q2" s="26" t="s">
        <v>65</v>
      </c>
    </row>
    <row r="3" spans="1:41" s="17" customFormat="1" ht="15" x14ac:dyDescent="0.25">
      <c r="A3" s="33" t="s">
        <v>32</v>
      </c>
      <c r="B3" s="17">
        <f t="shared" ref="B3:J3" si="0">B4+B5</f>
        <v>0</v>
      </c>
      <c r="C3" s="17">
        <f t="shared" si="0"/>
        <v>3112534</v>
      </c>
      <c r="D3" s="17">
        <f t="shared" si="0"/>
        <v>8187520</v>
      </c>
      <c r="E3" s="17">
        <f t="shared" si="0"/>
        <v>4154.55476</v>
      </c>
      <c r="F3" s="17">
        <f t="shared" si="0"/>
        <v>876722.81735999999</v>
      </c>
      <c r="G3" s="17">
        <f t="shared" si="0"/>
        <v>48065.637950000004</v>
      </c>
      <c r="H3" s="17">
        <f t="shared" si="0"/>
        <v>272250.59999999998</v>
      </c>
      <c r="I3" s="17">
        <f t="shared" si="0"/>
        <v>2079.9344700000001</v>
      </c>
      <c r="J3" s="17">
        <f t="shared" si="0"/>
        <v>32927.552819999997</v>
      </c>
      <c r="L3" s="17">
        <f t="shared" ref="L3:P3" si="1">L4+L5</f>
        <v>12167242</v>
      </c>
      <c r="M3" s="17">
        <f t="shared" si="1"/>
        <v>1045288</v>
      </c>
      <c r="N3" s="17">
        <f t="shared" si="1"/>
        <v>106882.76916</v>
      </c>
      <c r="O3" s="17">
        <f t="shared" si="1"/>
        <v>275763</v>
      </c>
      <c r="P3" s="17">
        <f t="shared" si="1"/>
        <v>31381</v>
      </c>
      <c r="Q3" s="17">
        <v>26162811.866519999</v>
      </c>
    </row>
    <row r="4" spans="1:41" s="9" customFormat="1" x14ac:dyDescent="0.2">
      <c r="A4" s="32" t="s">
        <v>31</v>
      </c>
      <c r="C4" s="9">
        <v>1232812</v>
      </c>
      <c r="D4" s="9">
        <v>2109737</v>
      </c>
      <c r="E4" s="9">
        <f>2216469.51/1000</f>
        <v>2216.4695099999999</v>
      </c>
      <c r="F4" s="9">
        <f>404921999.92/1000</f>
        <v>404921.99992000003</v>
      </c>
      <c r="G4" s="9">
        <f>9997231.34/1000</f>
        <v>9997.2313400000003</v>
      </c>
      <c r="H4" s="9">
        <f>57249586/1000</f>
        <v>57249.586000000003</v>
      </c>
      <c r="I4" s="9">
        <f>745919.21/1000</f>
        <v>745.91920999999991</v>
      </c>
      <c r="J4" s="9">
        <f>11062425.61/1000</f>
        <v>11062.42561</v>
      </c>
      <c r="L4" s="9">
        <f>4224607</f>
        <v>4224607</v>
      </c>
      <c r="M4" s="9">
        <f>202910</f>
        <v>202910</v>
      </c>
      <c r="N4" s="9">
        <f>62283948.6/1000</f>
        <v>62283.948600000003</v>
      </c>
      <c r="O4" s="9">
        <v>257305</v>
      </c>
      <c r="P4" s="9">
        <v>13564</v>
      </c>
      <c r="Q4" s="9">
        <v>8589412.5801899992</v>
      </c>
    </row>
    <row r="5" spans="1:41" s="9" customFormat="1" x14ac:dyDescent="0.2">
      <c r="A5" s="32" t="s">
        <v>30</v>
      </c>
      <c r="B5" s="9">
        <f t="shared" ref="B5:J5" si="2">SUM(B6:B8)</f>
        <v>0</v>
      </c>
      <c r="C5" s="9">
        <f t="shared" si="2"/>
        <v>1879722</v>
      </c>
      <c r="D5" s="9">
        <f t="shared" si="2"/>
        <v>6077783</v>
      </c>
      <c r="E5" s="9">
        <f t="shared" si="2"/>
        <v>1938.0852500000001</v>
      </c>
      <c r="F5" s="9">
        <f t="shared" si="2"/>
        <v>471800.81743999996</v>
      </c>
      <c r="G5" s="9">
        <f t="shared" si="2"/>
        <v>38068.406610000005</v>
      </c>
      <c r="H5" s="9">
        <f t="shared" si="2"/>
        <v>215001.014</v>
      </c>
      <c r="I5" s="9">
        <f t="shared" si="2"/>
        <v>1334.0152600000001</v>
      </c>
      <c r="J5" s="9">
        <f t="shared" si="2"/>
        <v>21865.127209999999</v>
      </c>
      <c r="L5" s="9">
        <f t="shared" ref="L5:P5" si="3">SUM(L6:L8)</f>
        <v>7942635</v>
      </c>
      <c r="M5" s="9">
        <f t="shared" si="3"/>
        <v>842378</v>
      </c>
      <c r="N5" s="9">
        <f t="shared" si="3"/>
        <v>44598.82056</v>
      </c>
      <c r="O5" s="9">
        <f t="shared" si="3"/>
        <v>18458</v>
      </c>
      <c r="P5" s="9">
        <f t="shared" si="3"/>
        <v>17817</v>
      </c>
      <c r="Q5" s="9">
        <v>17573399.28633</v>
      </c>
    </row>
    <row r="6" spans="1:41" s="9" customFormat="1" x14ac:dyDescent="0.2">
      <c r="A6" s="32" t="s">
        <v>29</v>
      </c>
      <c r="C6" s="9">
        <f>32728+444819+315005+57355</f>
        <v>849907</v>
      </c>
      <c r="D6" s="9">
        <v>1543248</v>
      </c>
      <c r="E6" s="9">
        <f>1272751.51/1000</f>
        <v>1272.7515100000001</v>
      </c>
      <c r="F6" s="9">
        <f>(99101033.33+74674291.59+7785010.11)/1000</f>
        <v>181560.33503000002</v>
      </c>
      <c r="G6" s="9">
        <f>4937770/1000</f>
        <v>4937.7700000000004</v>
      </c>
      <c r="H6" s="9">
        <f>20733798/1000</f>
        <v>20733.797999999999</v>
      </c>
      <c r="I6" s="9">
        <f>146283.66/1000</f>
        <v>146.28366</v>
      </c>
      <c r="J6" s="9">
        <f>522898.11/1000</f>
        <v>522.89810999999997</v>
      </c>
      <c r="L6" s="9">
        <f>1360054</f>
        <v>1360054</v>
      </c>
      <c r="M6" s="9">
        <f>33570+77510+14324</f>
        <v>125404</v>
      </c>
      <c r="N6" s="9">
        <f>2308285.85/1000</f>
        <v>2308.2858500000002</v>
      </c>
      <c r="O6" s="9">
        <f>12638</f>
        <v>12638</v>
      </c>
      <c r="P6" s="9">
        <v>13131</v>
      </c>
      <c r="Q6" s="9">
        <v>4115864.1221600003</v>
      </c>
    </row>
    <row r="7" spans="1:41" s="9" customFormat="1" x14ac:dyDescent="0.2">
      <c r="A7" s="32" t="s">
        <v>28</v>
      </c>
      <c r="C7" s="9">
        <f>985380+44435</f>
        <v>1029815</v>
      </c>
      <c r="D7" s="9">
        <v>4534535</v>
      </c>
      <c r="E7" s="9">
        <f>(254869.79+821968.01-428895.7+17391.64)/1000</f>
        <v>665.33374000000015</v>
      </c>
      <c r="F7" s="9">
        <f>(276895154.88+13345327.53)/1000</f>
        <v>290240.48240999994</v>
      </c>
      <c r="G7" s="9">
        <f>(37271966.19-4141329.58)/1000</f>
        <v>33130.636610000001</v>
      </c>
      <c r="H7" s="9">
        <f>(22369340+1928+171895948)/1000</f>
        <v>194267.21599999999</v>
      </c>
      <c r="I7" s="9">
        <f>(1403842.06-265626.3)/1000</f>
        <v>1138.21576</v>
      </c>
      <c r="J7" s="9">
        <f>21342229.1/1000</f>
        <v>21342.2291</v>
      </c>
      <c r="L7" s="9">
        <f>740576+5537580+300274</f>
        <v>6578430</v>
      </c>
      <c r="M7" s="9">
        <f>659378+57596</f>
        <v>716974</v>
      </c>
      <c r="N7" s="9">
        <f>(5271290.4+37019244.31)/1000</f>
        <v>42290.53471</v>
      </c>
      <c r="O7" s="9">
        <f>1+5819</f>
        <v>5820</v>
      </c>
      <c r="P7" s="9">
        <f>4237+449</f>
        <v>4686</v>
      </c>
      <c r="Q7" s="9">
        <v>13453334.648329999</v>
      </c>
    </row>
    <row r="8" spans="1:41" s="9" customFormat="1" x14ac:dyDescent="0.2">
      <c r="A8" s="32" t="s">
        <v>21</v>
      </c>
      <c r="I8" s="9">
        <f>49515.84/1000</f>
        <v>49.515839999999997</v>
      </c>
      <c r="L8" s="9">
        <v>4151</v>
      </c>
      <c r="Q8" s="9">
        <v>4200.51584</v>
      </c>
    </row>
    <row r="9" spans="1:41" s="17" customFormat="1" ht="15" x14ac:dyDescent="0.25">
      <c r="A9" s="33" t="s">
        <v>27</v>
      </c>
      <c r="B9" s="17">
        <f t="shared" ref="B9:J9" si="4">B10+B11+B12</f>
        <v>0</v>
      </c>
      <c r="C9" s="17">
        <f t="shared" si="4"/>
        <v>3112534</v>
      </c>
      <c r="D9" s="17">
        <f t="shared" si="4"/>
        <v>8187520</v>
      </c>
      <c r="E9" s="17">
        <f t="shared" si="4"/>
        <v>4154.5547600000009</v>
      </c>
      <c r="F9" s="17">
        <f t="shared" si="4"/>
        <v>876722.81735999999</v>
      </c>
      <c r="G9" s="17">
        <f t="shared" si="4"/>
        <v>48065.637949999997</v>
      </c>
      <c r="H9" s="17">
        <f t="shared" si="4"/>
        <v>272250.59999999998</v>
      </c>
      <c r="I9" s="17">
        <f t="shared" si="4"/>
        <v>2079.9344700000001</v>
      </c>
      <c r="J9" s="17">
        <f t="shared" si="4"/>
        <v>32927.552820000004</v>
      </c>
      <c r="L9" s="17">
        <f t="shared" ref="L9:P9" si="5">L10+L11+L12</f>
        <v>12167242</v>
      </c>
      <c r="M9" s="17">
        <f t="shared" si="5"/>
        <v>1045288</v>
      </c>
      <c r="N9" s="17">
        <f t="shared" si="5"/>
        <v>106882.76916</v>
      </c>
      <c r="O9" s="17">
        <f t="shared" si="5"/>
        <v>275762</v>
      </c>
      <c r="P9" s="17">
        <f t="shared" si="5"/>
        <v>31381</v>
      </c>
      <c r="Q9" s="17">
        <v>26162810.866519999</v>
      </c>
    </row>
    <row r="10" spans="1:41" s="9" customFormat="1" x14ac:dyDescent="0.2">
      <c r="A10" s="32" t="s">
        <v>26</v>
      </c>
      <c r="C10" s="9">
        <f>2126802</f>
        <v>2126802</v>
      </c>
      <c r="D10" s="9">
        <v>3484255</v>
      </c>
      <c r="E10" s="9">
        <f>1571916.33/1000</f>
        <v>1571.91633</v>
      </c>
      <c r="F10" s="9">
        <f>(656378823.04)/1000</f>
        <v>656378.82303999993</v>
      </c>
      <c r="G10" s="9">
        <f>4845872.76/1000</f>
        <v>4845.8727600000002</v>
      </c>
      <c r="H10" s="9">
        <f>193048738/1000</f>
        <v>193048.73800000001</v>
      </c>
      <c r="I10" s="9">
        <f>1879468.68/1000</f>
        <v>1879.4686799999999</v>
      </c>
      <c r="J10" s="9">
        <f>22448585.91/1000</f>
        <v>22448.585910000002</v>
      </c>
      <c r="L10" s="9">
        <f>5889275</f>
        <v>5889275</v>
      </c>
      <c r="M10" s="9">
        <f>393745</f>
        <v>393745</v>
      </c>
      <c r="N10" s="9">
        <f>60021788.26/1000</f>
        <v>60021.788260000001</v>
      </c>
      <c r="O10" s="9">
        <v>129837</v>
      </c>
      <c r="P10" s="9">
        <v>45088</v>
      </c>
      <c r="Q10" s="9">
        <v>13009197.192980001</v>
      </c>
    </row>
    <row r="11" spans="1:41" s="9" customFormat="1" x14ac:dyDescent="0.2">
      <c r="A11" s="32" t="s">
        <v>25</v>
      </c>
      <c r="C11" s="9">
        <f>1178955</f>
        <v>1178955</v>
      </c>
      <c r="D11" s="9">
        <v>4579049</v>
      </c>
      <c r="F11" s="9">
        <f>(229516630.14)/1000</f>
        <v>229516.63013999999</v>
      </c>
      <c r="G11" s="9">
        <f>37110743.9/1000</f>
        <v>37110.743900000001</v>
      </c>
      <c r="H11" s="9">
        <f>187668512/1000</f>
        <v>187668.51199999999</v>
      </c>
      <c r="I11" s="9">
        <f>2599498.62/1000</f>
        <v>2599.4986200000003</v>
      </c>
      <c r="J11" s="9">
        <f>5317530.78/1000</f>
        <v>5317.53078</v>
      </c>
      <c r="L11" s="9">
        <f>5020636</f>
        <v>5020636</v>
      </c>
      <c r="M11" s="9">
        <f>1012221</f>
        <v>1012221</v>
      </c>
      <c r="N11" s="9">
        <f>40777014.78/1000</f>
        <v>40777.014779999998</v>
      </c>
      <c r="O11" s="9">
        <v>55462</v>
      </c>
      <c r="P11" s="9">
        <v>101319</v>
      </c>
      <c r="Q11" s="9">
        <v>12450631.93022</v>
      </c>
    </row>
    <row r="12" spans="1:41" s="17" customFormat="1" ht="15" x14ac:dyDescent="0.25">
      <c r="A12" s="33" t="s">
        <v>24</v>
      </c>
      <c r="B12" s="17">
        <f t="shared" ref="B12:J12" si="6">SUM(B13:B16)</f>
        <v>0</v>
      </c>
      <c r="C12" s="17">
        <f t="shared" si="6"/>
        <v>-193223</v>
      </c>
      <c r="D12" s="17">
        <f t="shared" si="6"/>
        <v>124216</v>
      </c>
      <c r="E12" s="17">
        <f t="shared" si="6"/>
        <v>2582.6384300000009</v>
      </c>
      <c r="F12" s="17">
        <f t="shared" si="6"/>
        <v>-9172.635820000025</v>
      </c>
      <c r="G12" s="17">
        <f t="shared" si="6"/>
        <v>6109.0212899999988</v>
      </c>
      <c r="H12" s="17">
        <f t="shared" si="6"/>
        <v>-108466.65</v>
      </c>
      <c r="I12" s="17">
        <f t="shared" si="6"/>
        <v>-2399.0328300000001</v>
      </c>
      <c r="J12" s="17">
        <f t="shared" si="6"/>
        <v>5161.436130000001</v>
      </c>
      <c r="L12" s="17">
        <f t="shared" ref="L12:P12" si="7">SUM(L13:L16)</f>
        <v>1257331</v>
      </c>
      <c r="M12" s="17">
        <f t="shared" si="7"/>
        <v>-360678</v>
      </c>
      <c r="N12" s="17">
        <f t="shared" si="7"/>
        <v>6083.96612</v>
      </c>
      <c r="O12" s="17">
        <f t="shared" si="7"/>
        <v>90463</v>
      </c>
      <c r="P12" s="17">
        <f t="shared" si="7"/>
        <v>-115026</v>
      </c>
      <c r="Q12" s="17">
        <v>702981.74331999989</v>
      </c>
    </row>
    <row r="13" spans="1:41" s="9" customFormat="1" x14ac:dyDescent="0.2">
      <c r="A13" s="32" t="s">
        <v>23</v>
      </c>
      <c r="C13" s="9">
        <v>260810</v>
      </c>
      <c r="D13" s="9">
        <v>2294192</v>
      </c>
      <c r="E13" s="9">
        <f>7200000/1000</f>
        <v>7200</v>
      </c>
      <c r="F13" s="9">
        <f>(726070301.4)/1000</f>
        <v>726070.3014</v>
      </c>
      <c r="G13" s="9">
        <f>13483800/1000</f>
        <v>13483.8</v>
      </c>
      <c r="H13" s="9">
        <f>20298000/1000</f>
        <v>20298</v>
      </c>
      <c r="I13" s="9">
        <f>5625562.98/1000</f>
        <v>5625.5629800000006</v>
      </c>
      <c r="J13" s="9">
        <f>1500000/1000</f>
        <v>1500</v>
      </c>
      <c r="L13" s="9">
        <f>940948</f>
        <v>940948</v>
      </c>
      <c r="M13" s="9">
        <f>84166</f>
        <v>84166</v>
      </c>
      <c r="N13" s="9">
        <f>6000000/1000</f>
        <v>6000</v>
      </c>
      <c r="O13" s="9">
        <v>90463</v>
      </c>
      <c r="P13" s="9">
        <v>692053</v>
      </c>
      <c r="Q13" s="9">
        <v>5142809.66438</v>
      </c>
    </row>
    <row r="14" spans="1:41" s="9" customFormat="1" x14ac:dyDescent="0.2">
      <c r="A14" s="32" t="s">
        <v>50</v>
      </c>
      <c r="C14" s="9">
        <v>-444606</v>
      </c>
      <c r="D14" s="9">
        <v>-3549253</v>
      </c>
      <c r="E14" s="9">
        <f>-15770520.92/1000</f>
        <v>-15770.520919999999</v>
      </c>
      <c r="F14" s="9">
        <f>-(879452309.63)/1000</f>
        <v>-879452.30963000003</v>
      </c>
      <c r="G14" s="9">
        <f>-8158342.05/1000</f>
        <v>-8158.3420500000002</v>
      </c>
      <c r="H14" s="9">
        <f>-309849397/1000</f>
        <v>-309849.397</v>
      </c>
      <c r="I14" s="9">
        <f>-8074111.65/1000</f>
        <v>-8074.1116500000007</v>
      </c>
      <c r="J14" s="9">
        <f>4259939.23/1000</f>
        <v>4259.9392300000009</v>
      </c>
      <c r="L14" s="9">
        <v>-4114919</v>
      </c>
      <c r="M14" s="9">
        <v>-528784</v>
      </c>
      <c r="N14" s="9">
        <f>-9180259.58/1000</f>
        <v>-9180.2595799999999</v>
      </c>
      <c r="P14" s="9">
        <v>-807079</v>
      </c>
      <c r="Q14" s="9">
        <v>-10670866.001599999</v>
      </c>
    </row>
    <row r="15" spans="1:41" s="9" customFormat="1" x14ac:dyDescent="0.2">
      <c r="A15" s="32" t="s">
        <v>22</v>
      </c>
      <c r="F15" s="9">
        <f>-6850366.42/1000</f>
        <v>-6850.3664200000003</v>
      </c>
      <c r="G15" s="9">
        <f>(783563.35/1000)-0.00001</f>
        <v>783.56334000000004</v>
      </c>
      <c r="H15" s="9">
        <f>2894131/1000</f>
        <v>2894.1309999999999</v>
      </c>
      <c r="J15" s="9">
        <f>-598503.1/1000</f>
        <v>-598.50310000000002</v>
      </c>
      <c r="N15" s="9">
        <f>4051506.59/1000</f>
        <v>4051.50659</v>
      </c>
      <c r="Q15" s="9">
        <v>280.33140999999932</v>
      </c>
    </row>
    <row r="16" spans="1:41" s="9" customFormat="1" x14ac:dyDescent="0.2">
      <c r="A16" s="32" t="s">
        <v>21</v>
      </c>
      <c r="C16" s="9">
        <f>12300-21727</f>
        <v>-9427</v>
      </c>
      <c r="D16" s="9">
        <v>1379277</v>
      </c>
      <c r="E16" s="9">
        <f>(11153156.35/1000)+0.003</f>
        <v>11153.15935</v>
      </c>
      <c r="F16" s="9">
        <f>(154028608.96-2968870.13)/1000</f>
        <v>151059.73883000002</v>
      </c>
      <c r="H16" s="9">
        <f>178190616/1000</f>
        <v>178190.61600000001</v>
      </c>
      <c r="I16" s="9">
        <f>49515.84/1000</f>
        <v>49.515839999999997</v>
      </c>
      <c r="L16" s="9">
        <f>4334042+97260</f>
        <v>4431302</v>
      </c>
      <c r="M16" s="9">
        <v>83940</v>
      </c>
      <c r="N16" s="9">
        <f>(501031.91+4711687.2)/1000</f>
        <v>5212.71911</v>
      </c>
      <c r="Q16" s="9">
        <v>6230757.7491300004</v>
      </c>
    </row>
    <row r="17" spans="1:41" s="4" customFormat="1" x14ac:dyDescent="0.2">
      <c r="A17" s="47"/>
    </row>
    <row r="18" spans="1:41" s="23" customFormat="1" ht="15" x14ac:dyDescent="0.25">
      <c r="A18" s="24" t="s">
        <v>20</v>
      </c>
      <c r="B18" s="23" t="str">
        <f t="shared" ref="B18:J18" si="8">IFERROR(+B4/B10,"")</f>
        <v/>
      </c>
      <c r="C18" s="23">
        <f t="shared" si="8"/>
        <v>0.57965527585548626</v>
      </c>
      <c r="D18" s="23">
        <f t="shared" si="8"/>
        <v>0.60550591159372669</v>
      </c>
      <c r="E18" s="23">
        <f t="shared" si="8"/>
        <v>1.4100429314835097</v>
      </c>
      <c r="F18" s="23">
        <f t="shared" si="8"/>
        <v>0.61690290074352983</v>
      </c>
      <c r="G18" s="23">
        <f t="shared" si="8"/>
        <v>2.0630404129719659</v>
      </c>
      <c r="H18" s="23">
        <f t="shared" si="8"/>
        <v>0.29655509066316715</v>
      </c>
      <c r="I18" s="23">
        <f t="shared" si="8"/>
        <v>0.39687770162788771</v>
      </c>
      <c r="J18" s="23">
        <f t="shared" si="8"/>
        <v>0.49278941909085261</v>
      </c>
      <c r="L18" s="23">
        <f>IFERROR(+L4/L10,"")</f>
        <v>0.71733906125966274</v>
      </c>
      <c r="M18" s="23">
        <f>IFERROR(+M4/M10,"")</f>
        <v>0.51533352804480059</v>
      </c>
      <c r="N18" s="23">
        <f>IFERROR(+N4/N10,"")</f>
        <v>1.0376889860428826</v>
      </c>
      <c r="O18" s="23">
        <f>IFERROR(+O4/O10,"")</f>
        <v>1.9817540454569962</v>
      </c>
      <c r="P18" s="23">
        <f>IFERROR(+P4/P10,"")</f>
        <v>0.30083392476933996</v>
      </c>
      <c r="Q18" s="23">
        <v>0.66025692844636119</v>
      </c>
    </row>
    <row r="19" spans="1:41" s="23" customFormat="1" ht="15" x14ac:dyDescent="0.25">
      <c r="A19" s="24" t="s">
        <v>19</v>
      </c>
      <c r="B19" s="23" t="str">
        <f t="shared" ref="B19:J19" si="9">IFERROR(+(B4+B6)/(B10+B11),"")</f>
        <v/>
      </c>
      <c r="C19" s="23">
        <f t="shared" si="9"/>
        <v>0.63002785746199741</v>
      </c>
      <c r="D19" s="23">
        <f t="shared" si="9"/>
        <v>0.45303823345864175</v>
      </c>
      <c r="E19" s="23">
        <f t="shared" si="9"/>
        <v>2.2197243920737182</v>
      </c>
      <c r="F19" s="23">
        <f t="shared" si="9"/>
        <v>0.662022062360485</v>
      </c>
      <c r="G19" s="23">
        <f t="shared" si="9"/>
        <v>0.35596295719045712</v>
      </c>
      <c r="H19" s="23">
        <f t="shared" si="9"/>
        <v>0.20483280965073164</v>
      </c>
      <c r="I19" s="23">
        <f t="shared" si="9"/>
        <v>0.19919834422546462</v>
      </c>
      <c r="J19" s="23">
        <f t="shared" si="9"/>
        <v>0.41724681378193829</v>
      </c>
      <c r="L19" s="23">
        <f>IFERROR(+(L4+L6)/(L10+L11),"")</f>
        <v>0.5118887770945153</v>
      </c>
      <c r="M19" s="23">
        <f>IFERROR(+(M4+M6)/(M10+M11),"")</f>
        <v>0.23351489296327221</v>
      </c>
      <c r="N19" s="23">
        <f>IFERROR(+(N4+N6)/(N10+N11),"")</f>
        <v>0.64080358597480425</v>
      </c>
      <c r="O19" s="23">
        <f>IFERROR(+(O4+O6)/(O10+O11),"")</f>
        <v>1.4567968526543587</v>
      </c>
      <c r="P19" s="23">
        <f>IFERROR(+(P4+P6)/(P10+P11),"")</f>
        <v>0.18233417801061425</v>
      </c>
      <c r="Q19" s="23">
        <v>0.49903228497211127</v>
      </c>
    </row>
    <row r="20" spans="1:41" s="23" customFormat="1" ht="15" x14ac:dyDescent="0.25">
      <c r="A20" s="24" t="s">
        <v>18</v>
      </c>
      <c r="B20" s="23">
        <f t="shared" ref="B20:J20" si="10">IFERROR(+B12,"")</f>
        <v>0</v>
      </c>
      <c r="C20" s="23">
        <f t="shared" si="10"/>
        <v>-193223</v>
      </c>
      <c r="D20" s="23">
        <f t="shared" si="10"/>
        <v>124216</v>
      </c>
      <c r="E20" s="23">
        <f t="shared" si="10"/>
        <v>2582.6384300000009</v>
      </c>
      <c r="F20" s="23">
        <f t="shared" si="10"/>
        <v>-9172.635820000025</v>
      </c>
      <c r="G20" s="23">
        <f t="shared" si="10"/>
        <v>6109.0212899999988</v>
      </c>
      <c r="H20" s="23">
        <f t="shared" si="10"/>
        <v>-108466.65</v>
      </c>
      <c r="I20" s="23">
        <f t="shared" si="10"/>
        <v>-2399.0328300000001</v>
      </c>
      <c r="J20" s="23">
        <f t="shared" si="10"/>
        <v>5161.436130000001</v>
      </c>
      <c r="L20" s="23">
        <f>IFERROR(+L12,"")</f>
        <v>1257331</v>
      </c>
      <c r="M20" s="23">
        <f>IFERROR(+M12,"")</f>
        <v>-360678</v>
      </c>
      <c r="N20" s="23">
        <f>IFERROR(+N12,"")</f>
        <v>6083.96612</v>
      </c>
      <c r="O20" s="23">
        <f>IFERROR(+O12,"")</f>
        <v>90463</v>
      </c>
      <c r="P20" s="23">
        <f>IFERROR(+P12,"")</f>
        <v>-115026</v>
      </c>
      <c r="Q20" s="23">
        <v>702981.74331999989</v>
      </c>
    </row>
    <row r="21" spans="1:41" s="23" customFormat="1" ht="15" x14ac:dyDescent="0.25">
      <c r="A21" s="24" t="s">
        <v>17</v>
      </c>
      <c r="B21" s="23" t="str">
        <f t="shared" ref="B21:J21" si="11">IFERROR(((B10+B11))/B3,"")</f>
        <v/>
      </c>
      <c r="C21" s="23">
        <f t="shared" si="11"/>
        <v>1.0620790005828049</v>
      </c>
      <c r="D21" s="23">
        <f t="shared" si="11"/>
        <v>0.98482861721253812</v>
      </c>
      <c r="E21" s="23">
        <f t="shared" si="11"/>
        <v>0.37835975713556369</v>
      </c>
      <c r="F21" s="23">
        <f t="shared" si="11"/>
        <v>1.0104624125645785</v>
      </c>
      <c r="G21" s="23">
        <f t="shared" si="11"/>
        <v>0.87290252349599773</v>
      </c>
      <c r="H21" s="23">
        <f t="shared" si="11"/>
        <v>1.3984073864300024</v>
      </c>
      <c r="I21" s="23">
        <f t="shared" si="11"/>
        <v>2.1534175064659609</v>
      </c>
      <c r="J21" s="23">
        <f t="shared" si="11"/>
        <v>0.84324871762516862</v>
      </c>
      <c r="L21" s="23">
        <f>IFERROR(((L10+L11))/L3,"")</f>
        <v>0.89666261261179814</v>
      </c>
      <c r="M21" s="23">
        <f>IFERROR(((M10+M11))/M3,"")</f>
        <v>1.345051316000949</v>
      </c>
      <c r="N21" s="23">
        <f>IFERROR(((N10+N11))/N3,"")</f>
        <v>0.94307813908813964</v>
      </c>
      <c r="O21" s="23">
        <f>IFERROR(((O10+O11))/O3,"")</f>
        <v>0.67195018911166471</v>
      </c>
      <c r="P21" s="23">
        <f>IFERROR(((P10+P11))/P3,"")</f>
        <v>4.6654663649979291</v>
      </c>
      <c r="Q21" s="23">
        <v>0.97313045910712714</v>
      </c>
    </row>
    <row r="22" spans="1:41" s="23" customFormat="1" ht="15" x14ac:dyDescent="0.25">
      <c r="A22" s="24" t="s">
        <v>16</v>
      </c>
      <c r="B22" s="23" t="str">
        <f t="shared" ref="B22:J22" si="12">IFERROR(B3/B12,"")</f>
        <v/>
      </c>
      <c r="C22" s="23">
        <f t="shared" si="12"/>
        <v>-16.10850675126667</v>
      </c>
      <c r="D22" s="23">
        <f t="shared" si="12"/>
        <v>65.913569910478515</v>
      </c>
      <c r="E22" s="23">
        <f t="shared" si="12"/>
        <v>1.608647463671482</v>
      </c>
      <c r="F22" s="23">
        <f t="shared" si="12"/>
        <v>-95.580249185124373</v>
      </c>
      <c r="G22" s="23">
        <f t="shared" si="12"/>
        <v>7.8679768277579551</v>
      </c>
      <c r="H22" s="23">
        <f t="shared" si="12"/>
        <v>-2.5099936247685348</v>
      </c>
      <c r="I22" s="23">
        <f t="shared" si="12"/>
        <v>-0.86698874812813631</v>
      </c>
      <c r="J22" s="23">
        <f t="shared" si="12"/>
        <v>6.3795331358677476</v>
      </c>
      <c r="L22" s="23">
        <f>IFERROR(L3/L12,"")</f>
        <v>9.6770396975816233</v>
      </c>
      <c r="M22" s="23">
        <f>IFERROR(M3/M12,"")</f>
        <v>-2.8981196524323636</v>
      </c>
      <c r="N22" s="23">
        <f>IFERROR(N3/N12,"")</f>
        <v>17.567942860273522</v>
      </c>
      <c r="O22" s="23">
        <f>IFERROR(O3/O12,"")</f>
        <v>3.0483512596310094</v>
      </c>
      <c r="P22" s="23">
        <f>IFERROR(P3/P12,"")</f>
        <v>-0.27281658059916886</v>
      </c>
      <c r="Q22" s="23">
        <v>37.216915112133414</v>
      </c>
    </row>
    <row r="23" spans="1:41" s="23" customFormat="1" ht="15" x14ac:dyDescent="0.25">
      <c r="A23" s="24" t="s">
        <v>15</v>
      </c>
      <c r="B23" s="23" t="str">
        <f t="shared" ref="B23:J23" si="13">IFERROR(((B10+B11))/B12,"")</f>
        <v/>
      </c>
      <c r="C23" s="23">
        <f t="shared" si="13"/>
        <v>-17.10850675126667</v>
      </c>
      <c r="D23" s="23">
        <f t="shared" si="13"/>
        <v>64.913569910478515</v>
      </c>
      <c r="E23" s="23">
        <f t="shared" si="13"/>
        <v>0.60864746367148248</v>
      </c>
      <c r="F23" s="23">
        <f t="shared" si="13"/>
        <v>-96.580249185124359</v>
      </c>
      <c r="G23" s="23">
        <f t="shared" si="13"/>
        <v>6.8679768277579543</v>
      </c>
      <c r="H23" s="23">
        <f t="shared" si="13"/>
        <v>-3.5099936247685348</v>
      </c>
      <c r="I23" s="23">
        <f t="shared" si="13"/>
        <v>-1.8669887481281364</v>
      </c>
      <c r="J23" s="23">
        <f t="shared" si="13"/>
        <v>5.3795331358677485</v>
      </c>
      <c r="L23" s="23">
        <f>IFERROR(((L10+L11))/L12,"")</f>
        <v>8.6770396975816233</v>
      </c>
      <c r="M23" s="23">
        <f>IFERROR(((M10+M11))/M12,"")</f>
        <v>-3.8981196524323636</v>
      </c>
      <c r="N23" s="23">
        <f>IFERROR(((N10+N11))/N12,"")</f>
        <v>16.567942860273522</v>
      </c>
      <c r="O23" s="23">
        <f>IFERROR(((O10+O11))/O12,"")</f>
        <v>2.0483402053878383</v>
      </c>
      <c r="P23" s="23">
        <f>IFERROR(((P10+P11))/P12,"")</f>
        <v>-1.2728165805991689</v>
      </c>
      <c r="Q23" s="23">
        <v>36.216913689621371</v>
      </c>
    </row>
    <row r="24" spans="1:41" s="23" customFormat="1" ht="15" x14ac:dyDescent="0.25">
      <c r="A24" s="24" t="s">
        <v>14</v>
      </c>
      <c r="B24" s="23" t="str">
        <f t="shared" ref="B24:J24" si="14">IFERROR((SUM(B10:B11))/(SUM(B13,B16)),"")</f>
        <v/>
      </c>
      <c r="C24" s="23">
        <f t="shared" si="14"/>
        <v>13.150280647458262</v>
      </c>
      <c r="D24" s="23">
        <f t="shared" si="14"/>
        <v>2.1950107650289139</v>
      </c>
      <c r="E24" s="23">
        <f t="shared" si="14"/>
        <v>8.5648269054014389E-2</v>
      </c>
      <c r="F24" s="23">
        <f t="shared" si="14"/>
        <v>1.0099932878227513</v>
      </c>
      <c r="G24" s="23">
        <f t="shared" si="14"/>
        <v>3.1116314881561578</v>
      </c>
      <c r="H24" s="23">
        <f t="shared" si="14"/>
        <v>1.9180810349345172</v>
      </c>
      <c r="I24" s="23">
        <f t="shared" si="14"/>
        <v>0.78923437754120918</v>
      </c>
      <c r="J24" s="23">
        <f t="shared" si="14"/>
        <v>18.510744460000002</v>
      </c>
      <c r="L24" s="23">
        <f>IFERROR((SUM(L10:L11))/(SUM(L13,L16)),"")</f>
        <v>2.0307898925031411</v>
      </c>
      <c r="M24" s="23">
        <f>IFERROR((SUM(M10:M11))/(SUM(M13,M16)),"")</f>
        <v>8.3635682248105354</v>
      </c>
      <c r="N24" s="23">
        <f>IFERROR((SUM(N10:N11))/(SUM(N13,N16)),"")</f>
        <v>8.9896841302394854</v>
      </c>
      <c r="O24" s="23">
        <f>IFERROR((SUM(O10:O11))/(SUM(O13,O16)),"")</f>
        <v>2.0483402053878383</v>
      </c>
      <c r="P24" s="23">
        <f>IFERROR((SUM(P10:P11))/(SUM(P13,P16)),"")</f>
        <v>0.21155460636685341</v>
      </c>
      <c r="Q24" s="23">
        <v>2.2385086576229147</v>
      </c>
    </row>
    <row r="25" spans="1:41" s="23" customFormat="1" ht="15" x14ac:dyDescent="0.25">
      <c r="A25" s="24" t="s">
        <v>49</v>
      </c>
      <c r="B25" s="23" t="str">
        <f t="shared" ref="B25:J25" si="15">IFERROR(B10/B12,"")</f>
        <v/>
      </c>
      <c r="C25" s="23">
        <f t="shared" si="15"/>
        <v>-11.006981570516967</v>
      </c>
      <c r="D25" s="23">
        <f t="shared" si="15"/>
        <v>28.049969408127776</v>
      </c>
      <c r="E25" s="23">
        <f t="shared" si="15"/>
        <v>0.60864746367148248</v>
      </c>
      <c r="F25" s="23">
        <f t="shared" si="15"/>
        <v>-71.558365111239979</v>
      </c>
      <c r="G25" s="23">
        <f t="shared" si="15"/>
        <v>0.79323225930351948</v>
      </c>
      <c r="H25" s="23">
        <f t="shared" si="15"/>
        <v>-1.7797981038411348</v>
      </c>
      <c r="I25" s="23">
        <f t="shared" si="15"/>
        <v>-0.78342766155476073</v>
      </c>
      <c r="J25" s="23">
        <f t="shared" si="15"/>
        <v>4.3492906517860943</v>
      </c>
      <c r="L25" s="23">
        <f>IFERROR(L10/L12,"")</f>
        <v>4.6839495725469265</v>
      </c>
      <c r="M25" s="23">
        <f>IFERROR(M10/M12,"")</f>
        <v>-1.0916801135638992</v>
      </c>
      <c r="N25" s="23">
        <f>IFERROR(N10/N12,"")</f>
        <v>9.8655691166143438</v>
      </c>
      <c r="O25" s="23">
        <f>IFERROR(O10/O12,"")</f>
        <v>1.4352497706244542</v>
      </c>
      <c r="P25" s="23">
        <f>IFERROR(P10/P12,"")</f>
        <v>-0.39198094343887468</v>
      </c>
      <c r="Q25" s="23">
        <v>18.505739752985541</v>
      </c>
    </row>
    <row r="26" spans="1:41" s="23" customFormat="1" ht="15" x14ac:dyDescent="0.25">
      <c r="A26" s="24" t="s">
        <v>48</v>
      </c>
      <c r="B26" s="23" t="str">
        <f t="shared" ref="B26:J26" si="16">IFERROR((B10+B11)/B12,"")</f>
        <v/>
      </c>
      <c r="C26" s="23">
        <f t="shared" si="16"/>
        <v>-17.10850675126667</v>
      </c>
      <c r="D26" s="23">
        <f t="shared" si="16"/>
        <v>64.913569910478515</v>
      </c>
      <c r="E26" s="23">
        <f t="shared" si="16"/>
        <v>0.60864746367148248</v>
      </c>
      <c r="F26" s="23">
        <f t="shared" si="16"/>
        <v>-96.580249185124359</v>
      </c>
      <c r="G26" s="23">
        <f t="shared" si="16"/>
        <v>6.8679768277579543</v>
      </c>
      <c r="H26" s="23">
        <f t="shared" si="16"/>
        <v>-3.5099936247685348</v>
      </c>
      <c r="I26" s="23">
        <f t="shared" si="16"/>
        <v>-1.8669887481281364</v>
      </c>
      <c r="J26" s="23">
        <f t="shared" si="16"/>
        <v>5.3795331358677485</v>
      </c>
      <c r="L26" s="23">
        <f>IFERROR((L10+L11)/L12,"")</f>
        <v>8.6770396975816233</v>
      </c>
      <c r="M26" s="23">
        <f>IFERROR((M10+M11)/M12,"")</f>
        <v>-3.8981196524323636</v>
      </c>
      <c r="N26" s="23">
        <f>IFERROR((N10+N11)/N12,"")</f>
        <v>16.567942860273522</v>
      </c>
      <c r="O26" s="23">
        <f>IFERROR((O10+O11)/O12,"")</f>
        <v>2.0483402053878383</v>
      </c>
      <c r="P26" s="23">
        <f>IFERROR((P10+P11)/P12,"")</f>
        <v>-1.2728165805991689</v>
      </c>
      <c r="Q26" s="23">
        <v>36.216913689621371</v>
      </c>
    </row>
    <row r="27" spans="1:41" x14ac:dyDescent="0.2">
      <c r="E27" s="45"/>
      <c r="G27" s="44"/>
      <c r="J27" s="44"/>
      <c r="K27" s="44"/>
    </row>
    <row r="28" spans="1:41" s="28" customFormat="1" ht="15" x14ac:dyDescent="0.25">
      <c r="A28" s="49" t="s">
        <v>63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21"/>
      <c r="N28" s="21"/>
      <c r="O28" s="21"/>
      <c r="P28" s="21"/>
      <c r="Q28" s="46">
        <v>1000</v>
      </c>
      <c r="R28" s="31"/>
      <c r="S28" s="35"/>
      <c r="T28" s="30"/>
      <c r="U28" s="29"/>
      <c r="V28" s="30"/>
      <c r="W28" s="29"/>
      <c r="X28" s="35"/>
      <c r="Y28" s="35"/>
      <c r="Z28" s="29"/>
      <c r="AA28" s="30"/>
      <c r="AB28" s="29"/>
      <c r="AC28" s="29"/>
      <c r="AD28" s="30"/>
      <c r="AE28" s="30"/>
      <c r="AF28" s="29"/>
      <c r="AG28" s="29"/>
      <c r="AH28" s="29"/>
      <c r="AI28" s="29"/>
      <c r="AJ28" s="29"/>
      <c r="AK28" s="29"/>
      <c r="AL28" s="35"/>
      <c r="AM28" s="29"/>
      <c r="AN28" s="29"/>
      <c r="AO28" s="34">
        <v>1000</v>
      </c>
    </row>
    <row r="29" spans="1:41" ht="15" x14ac:dyDescent="0.25">
      <c r="A29" s="27" t="s">
        <v>46</v>
      </c>
      <c r="B29" s="26" t="s">
        <v>79</v>
      </c>
      <c r="C29" s="26" t="s">
        <v>66</v>
      </c>
      <c r="D29" s="26" t="s">
        <v>67</v>
      </c>
      <c r="E29" s="26" t="s">
        <v>80</v>
      </c>
      <c r="F29" s="26" t="s">
        <v>69</v>
      </c>
      <c r="G29" s="26" t="s">
        <v>70</v>
      </c>
      <c r="H29" s="26" t="s">
        <v>71</v>
      </c>
      <c r="I29" s="26" t="s">
        <v>72</v>
      </c>
      <c r="J29" s="26" t="s">
        <v>73</v>
      </c>
      <c r="K29" s="26" t="s">
        <v>74</v>
      </c>
      <c r="L29" s="26" t="s">
        <v>13</v>
      </c>
      <c r="M29" s="26" t="s">
        <v>75</v>
      </c>
      <c r="N29" s="26" t="s">
        <v>45</v>
      </c>
      <c r="O29" s="26" t="s">
        <v>77</v>
      </c>
      <c r="P29" s="26" t="s">
        <v>81</v>
      </c>
      <c r="Q29" s="26" t="s">
        <v>65</v>
      </c>
    </row>
    <row r="30" spans="1:41" s="17" customFormat="1" ht="15" x14ac:dyDescent="0.25">
      <c r="A30" s="33" t="s">
        <v>32</v>
      </c>
      <c r="B30" s="17">
        <f t="shared" ref="B30:J30" si="17">B31+B32</f>
        <v>0</v>
      </c>
      <c r="C30" s="17">
        <f t="shared" si="17"/>
        <v>3817060</v>
      </c>
      <c r="D30" s="17">
        <f t="shared" si="17"/>
        <v>7940476.3661728334</v>
      </c>
      <c r="E30" s="17">
        <f t="shared" si="17"/>
        <v>4086.52486</v>
      </c>
      <c r="F30" s="17">
        <f t="shared" si="17"/>
        <v>900836</v>
      </c>
      <c r="G30" s="17">
        <f t="shared" si="17"/>
        <v>46884.02261</v>
      </c>
      <c r="H30" s="17">
        <f t="shared" si="17"/>
        <v>268696.33999999997</v>
      </c>
      <c r="I30" s="17">
        <f t="shared" si="17"/>
        <v>2079.9339600000003</v>
      </c>
      <c r="J30" s="17">
        <f t="shared" si="17"/>
        <v>33301.392220000002</v>
      </c>
      <c r="L30" s="17">
        <f>L31+L32</f>
        <v>10836234</v>
      </c>
      <c r="M30" s="17">
        <f>M31+M32</f>
        <v>0</v>
      </c>
      <c r="N30" s="17">
        <f>N31+N32</f>
        <v>102637.06737</v>
      </c>
      <c r="O30" s="17">
        <f>O31+O32</f>
        <v>306162</v>
      </c>
      <c r="P30" s="9">
        <f>P31+P32</f>
        <v>26594</v>
      </c>
      <c r="Q30" s="17">
        <v>24285047.647192832</v>
      </c>
    </row>
    <row r="31" spans="1:41" s="9" customFormat="1" x14ac:dyDescent="0.2">
      <c r="A31" s="32" t="s">
        <v>31</v>
      </c>
      <c r="C31" s="9">
        <f>1134450</f>
        <v>1134450</v>
      </c>
      <c r="D31" s="9">
        <v>1966842.5231728344</v>
      </c>
      <c r="E31" s="9">
        <f>2223330.85/1000</f>
        <v>2223.3308500000003</v>
      </c>
      <c r="F31" s="9">
        <v>359796</v>
      </c>
      <c r="G31" s="9">
        <f>9032773.7/1000</f>
        <v>9032.7736999999997</v>
      </c>
      <c r="H31" s="9">
        <f>53994556/1000</f>
        <v>53994.555999999997</v>
      </c>
      <c r="I31" s="9">
        <f>745918.7/1000</f>
        <v>745.91869999999994</v>
      </c>
      <c r="J31" s="9">
        <f>11638514.94/1000</f>
        <v>11638.514939999999</v>
      </c>
      <c r="L31" s="9">
        <f>3529646</f>
        <v>3529646</v>
      </c>
      <c r="N31" s="9">
        <f>60032827.77/1000</f>
        <v>60032.827770000004</v>
      </c>
      <c r="O31" s="9">
        <f>287714</f>
        <v>287714</v>
      </c>
      <c r="P31" s="9">
        <v>9046</v>
      </c>
      <c r="Q31" s="9">
        <v>7425162.4451328348</v>
      </c>
    </row>
    <row r="32" spans="1:41" s="9" customFormat="1" x14ac:dyDescent="0.2">
      <c r="A32" s="32" t="s">
        <v>30</v>
      </c>
      <c r="B32" s="9">
        <f t="shared" ref="B32:J32" si="18">SUM(B33:B35)</f>
        <v>0</v>
      </c>
      <c r="C32" s="9">
        <f t="shared" si="18"/>
        <v>2682610</v>
      </c>
      <c r="D32" s="9">
        <f t="shared" si="18"/>
        <v>5973633.8429999994</v>
      </c>
      <c r="E32" s="9">
        <f t="shared" si="18"/>
        <v>1863.1940099999997</v>
      </c>
      <c r="F32" s="9">
        <f t="shared" si="18"/>
        <v>541040</v>
      </c>
      <c r="G32" s="9">
        <f t="shared" si="18"/>
        <v>37851.248910000002</v>
      </c>
      <c r="H32" s="9">
        <f t="shared" si="18"/>
        <v>214701.78399999999</v>
      </c>
      <c r="I32" s="9">
        <f t="shared" si="18"/>
        <v>1334.0152600000001</v>
      </c>
      <c r="J32" s="9">
        <f t="shared" si="18"/>
        <v>21662.877280000001</v>
      </c>
      <c r="L32" s="9">
        <f t="shared" ref="L32:P32" si="19">SUM(L33:L35)</f>
        <v>7306588</v>
      </c>
      <c r="M32" s="9">
        <f t="shared" si="19"/>
        <v>0</v>
      </c>
      <c r="N32" s="9">
        <f t="shared" si="19"/>
        <v>42604.239600000008</v>
      </c>
      <c r="O32" s="9">
        <f t="shared" si="19"/>
        <v>18448</v>
      </c>
      <c r="P32" s="9">
        <f t="shared" si="19"/>
        <v>17548</v>
      </c>
      <c r="Q32" s="9">
        <v>16859885.202059999</v>
      </c>
    </row>
    <row r="33" spans="1:17" s="9" customFormat="1" x14ac:dyDescent="0.2">
      <c r="A33" s="32" t="s">
        <v>29</v>
      </c>
      <c r="C33" s="9">
        <f>123545+577245+91674+62139</f>
        <v>854603</v>
      </c>
      <c r="D33" s="9">
        <v>1511070.7019999998</v>
      </c>
      <c r="E33" s="9">
        <f>1233513.38/1000</f>
        <v>1233.5133799999999</v>
      </c>
      <c r="F33" s="9">
        <f>99101+94823+8604</f>
        <v>202528</v>
      </c>
      <c r="G33" s="9">
        <f>4720612.3/1000</f>
        <v>4720.6122999999998</v>
      </c>
      <c r="H33" s="9">
        <f>20654221/1000</f>
        <v>20654.221000000001</v>
      </c>
      <c r="I33" s="9">
        <f>146283.66/1000</f>
        <v>146.28366</v>
      </c>
      <c r="J33" s="9">
        <f>506650.53/1000</f>
        <v>506.65053</v>
      </c>
      <c r="L33" s="9">
        <f>1193299</f>
        <v>1193299</v>
      </c>
      <c r="N33" s="9">
        <f>2444529.54/1000</f>
        <v>2444.52954</v>
      </c>
      <c r="P33" s="9">
        <v>13195</v>
      </c>
      <c r="Q33" s="9">
        <v>3804401.51241</v>
      </c>
    </row>
    <row r="34" spans="1:17" s="9" customFormat="1" x14ac:dyDescent="0.2">
      <c r="A34" s="32" t="s">
        <v>28</v>
      </c>
      <c r="C34" s="9">
        <f>1726828+101179</f>
        <v>1828007</v>
      </c>
      <c r="D34" s="9">
        <v>4462563.1409999998</v>
      </c>
      <c r="E34" s="9">
        <f>(254869.79+821968.01-461292.04+14134.87)/1000</f>
        <v>629.68062999999995</v>
      </c>
      <c r="F34" s="9">
        <f>317563+20949</f>
        <v>338512</v>
      </c>
      <c r="G34" s="9">
        <f>(37271966.19-4125668.18-9250.06-3496.34-2915)/1000</f>
        <v>33130.636610000001</v>
      </c>
      <c r="H34" s="9">
        <f>194047563/1000</f>
        <v>194047.56299999999</v>
      </c>
      <c r="I34" s="9">
        <f>(1403842.06-265626.3)/1000</f>
        <v>1138.21576</v>
      </c>
      <c r="J34" s="9">
        <f>21156226.75/1000</f>
        <v>21156.226750000002</v>
      </c>
      <c r="L34" s="9">
        <f>701904+5106636+300598</f>
        <v>6109138</v>
      </c>
      <c r="N34" s="9">
        <f>(6616477.82+33543232.24)/1000</f>
        <v>40159.710060000005</v>
      </c>
      <c r="O34" s="9">
        <v>18448</v>
      </c>
      <c r="P34" s="9">
        <v>4353</v>
      </c>
      <c r="Q34" s="9">
        <v>13051283.173810001</v>
      </c>
    </row>
    <row r="35" spans="1:17" s="9" customFormat="1" x14ac:dyDescent="0.2">
      <c r="A35" s="32" t="s">
        <v>21</v>
      </c>
      <c r="I35" s="9">
        <f>49515.84/1000</f>
        <v>49.515839999999997</v>
      </c>
      <c r="L35" s="9">
        <v>4151</v>
      </c>
      <c r="Q35" s="9">
        <v>4200.51584</v>
      </c>
    </row>
    <row r="36" spans="1:17" s="17" customFormat="1" ht="15" x14ac:dyDescent="0.25">
      <c r="A36" s="33" t="s">
        <v>27</v>
      </c>
      <c r="B36" s="17">
        <f t="shared" ref="B36:J36" si="20">B37+B38+B39</f>
        <v>0</v>
      </c>
      <c r="C36" s="17">
        <f t="shared" si="20"/>
        <v>3817060</v>
      </c>
      <c r="D36" s="17">
        <f t="shared" si="20"/>
        <v>7940476.1430000002</v>
      </c>
      <c r="E36" s="17">
        <f t="shared" si="20"/>
        <v>4086.5248599999995</v>
      </c>
      <c r="F36" s="17">
        <f t="shared" si="20"/>
        <v>900836</v>
      </c>
      <c r="G36" s="17">
        <f t="shared" si="20"/>
        <v>45884.022620000003</v>
      </c>
      <c r="H36" s="17">
        <f t="shared" si="20"/>
        <v>268696.01</v>
      </c>
      <c r="I36" s="17">
        <f t="shared" si="20"/>
        <v>2079.9339600000003</v>
      </c>
      <c r="J36" s="17">
        <f t="shared" si="20"/>
        <v>33301.392220000002</v>
      </c>
      <c r="L36" s="17">
        <f t="shared" ref="L36:P36" si="21">L37+L38+L39</f>
        <v>10836234</v>
      </c>
      <c r="M36" s="17">
        <f t="shared" si="21"/>
        <v>0</v>
      </c>
      <c r="N36" s="17">
        <f t="shared" si="21"/>
        <v>102637.06736999999</v>
      </c>
      <c r="O36" s="17">
        <f t="shared" si="21"/>
        <v>306161</v>
      </c>
      <c r="P36" s="9">
        <f t="shared" si="21"/>
        <v>26594</v>
      </c>
      <c r="Q36" s="17">
        <v>24285047.647192832</v>
      </c>
    </row>
    <row r="37" spans="1:17" s="9" customFormat="1" x14ac:dyDescent="0.2">
      <c r="A37" s="32" t="s">
        <v>26</v>
      </c>
      <c r="C37" s="9">
        <f>2542781</f>
        <v>2542781</v>
      </c>
      <c r="D37" s="9">
        <v>4382120.9980000006</v>
      </c>
      <c r="E37" s="9">
        <f>1841489.35/1000</f>
        <v>1841.4893500000001</v>
      </c>
      <c r="F37" s="9">
        <f>755449</f>
        <v>755449</v>
      </c>
      <c r="G37" s="9">
        <f>7200586.32/1000</f>
        <v>7200.5863200000003</v>
      </c>
      <c r="H37" s="9">
        <f>212664010/1000</f>
        <v>212664.01</v>
      </c>
      <c r="I37" s="9">
        <f>1879468.68/1000</f>
        <v>1879.4686799999999</v>
      </c>
      <c r="J37" s="9">
        <f>23496092.66/1000</f>
        <v>23496.092659999998</v>
      </c>
      <c r="L37" s="9">
        <f>5194820</f>
        <v>5194820</v>
      </c>
      <c r="M37" s="9">
        <v>44221</v>
      </c>
      <c r="N37" s="9">
        <f>52149462.29/1000</f>
        <v>52149.462289999996</v>
      </c>
      <c r="O37" s="9">
        <v>158359</v>
      </c>
      <c r="P37" s="9">
        <v>77722</v>
      </c>
      <c r="Q37" s="9">
        <v>13454704.1073</v>
      </c>
    </row>
    <row r="38" spans="1:17" s="9" customFormat="1" x14ac:dyDescent="0.2">
      <c r="A38" s="32" t="s">
        <v>25</v>
      </c>
      <c r="C38" s="9">
        <f>1751763</f>
        <v>1751763</v>
      </c>
      <c r="D38" s="9">
        <v>3486320.807</v>
      </c>
      <c r="E38" s="9">
        <f>11243156.35/1000</f>
        <v>11243.156349999999</v>
      </c>
      <c r="F38" s="9">
        <f>208006</f>
        <v>208006</v>
      </c>
      <c r="G38" s="9">
        <f>31508106.71/1000</f>
        <v>31508.10671</v>
      </c>
      <c r="H38" s="9">
        <f>190028597/1000</f>
        <v>190028.59700000001</v>
      </c>
      <c r="I38" s="9">
        <f>2620023.62/1000</f>
        <v>2620.0236199999999</v>
      </c>
      <c r="J38" s="9">
        <f>5317530.78/1000</f>
        <v>5317.53078</v>
      </c>
      <c r="L38" s="9">
        <f>4469785</f>
        <v>4469785</v>
      </c>
      <c r="M38" s="9">
        <f>42509</f>
        <v>42509</v>
      </c>
      <c r="N38" s="9">
        <f>52030243.28/1000</f>
        <v>52030.243280000002</v>
      </c>
      <c r="O38" s="9">
        <v>54052</v>
      </c>
      <c r="P38" s="9">
        <v>68415</v>
      </c>
      <c r="Q38" s="9">
        <v>10373598.464739999</v>
      </c>
    </row>
    <row r="39" spans="1:17" s="9" customFormat="1" x14ac:dyDescent="0.2">
      <c r="A39" s="32" t="s">
        <v>24</v>
      </c>
      <c r="B39" s="9">
        <f t="shared" ref="B39:J39" si="22">SUM(B40:B43)</f>
        <v>0</v>
      </c>
      <c r="C39" s="9">
        <f t="shared" si="22"/>
        <v>-477484</v>
      </c>
      <c r="D39" s="9">
        <f t="shared" si="22"/>
        <v>72034.337999999756</v>
      </c>
      <c r="E39" s="9">
        <f t="shared" si="22"/>
        <v>-8998.1208399999996</v>
      </c>
      <c r="F39" s="9">
        <f t="shared" si="22"/>
        <v>-62619</v>
      </c>
      <c r="G39" s="9">
        <f t="shared" si="22"/>
        <v>7175.3295899999994</v>
      </c>
      <c r="H39" s="9">
        <f t="shared" si="22"/>
        <v>-133996.59699999998</v>
      </c>
      <c r="I39" s="9">
        <f t="shared" si="22"/>
        <v>-2419.5583399999996</v>
      </c>
      <c r="J39" s="9">
        <f t="shared" si="22"/>
        <v>4487.7687800000012</v>
      </c>
      <c r="L39" s="9">
        <f t="shared" ref="L39:P39" si="23">SUM(L40:L43)</f>
        <v>1171629</v>
      </c>
      <c r="M39" s="9">
        <f t="shared" si="23"/>
        <v>-86730</v>
      </c>
      <c r="N39" s="9">
        <f t="shared" si="23"/>
        <v>-1542.6382000000003</v>
      </c>
      <c r="O39" s="9">
        <f t="shared" si="23"/>
        <v>93750</v>
      </c>
      <c r="P39" s="9">
        <f t="shared" si="23"/>
        <v>-119543</v>
      </c>
      <c r="Q39" s="9">
        <v>455743.5219899998</v>
      </c>
    </row>
    <row r="40" spans="1:17" s="9" customFormat="1" x14ac:dyDescent="0.2">
      <c r="A40" s="32" t="s">
        <v>23</v>
      </c>
      <c r="C40" s="9">
        <f>260810</f>
        <v>260810</v>
      </c>
      <c r="D40" s="9">
        <f>2294191</f>
        <v>2294191</v>
      </c>
      <c r="E40" s="9">
        <f>7200000/1000</f>
        <v>7200</v>
      </c>
      <c r="F40" s="9">
        <f>806280</f>
        <v>806280</v>
      </c>
      <c r="G40" s="9">
        <f>13483800/1000</f>
        <v>13483.8</v>
      </c>
      <c r="H40" s="9">
        <f>20298000/1000</f>
        <v>20298</v>
      </c>
      <c r="I40" s="9">
        <f>5625562.98/1000</f>
        <v>5625.5629800000006</v>
      </c>
      <c r="J40" s="9">
        <f>1500000/1000</f>
        <v>1500</v>
      </c>
      <c r="L40" s="9">
        <f>940948</f>
        <v>940948</v>
      </c>
      <c r="M40" s="9">
        <v>84166</v>
      </c>
      <c r="N40" s="9">
        <f>6000000/1000</f>
        <v>6000</v>
      </c>
      <c r="O40" s="9">
        <v>93750</v>
      </c>
      <c r="P40" s="9">
        <v>695195</v>
      </c>
      <c r="Q40" s="9">
        <v>5229447.3629799997</v>
      </c>
    </row>
    <row r="41" spans="1:17" s="9" customFormat="1" x14ac:dyDescent="0.2">
      <c r="A41" s="32" t="s">
        <v>50</v>
      </c>
      <c r="C41" s="9">
        <v>-727004</v>
      </c>
      <c r="D41" s="9">
        <v>-3774668.0380000002</v>
      </c>
      <c r="E41" s="9">
        <f>-16198120.84/1000</f>
        <v>-16198.12084</v>
      </c>
      <c r="F41" s="9">
        <v>-940566</v>
      </c>
      <c r="G41" s="9">
        <f>-9128903.15/1000</f>
        <v>-9128.9031500000001</v>
      </c>
      <c r="H41" s="9">
        <f>-312572276/1000</f>
        <v>-312572.27600000001</v>
      </c>
      <c r="I41" s="9">
        <f>-8094637.16/1000</f>
        <v>-8094.6371600000002</v>
      </c>
      <c r="J41" s="9">
        <f>4259939.23/1000</f>
        <v>4259.9392300000009</v>
      </c>
      <c r="L41" s="9">
        <v>-4199284</v>
      </c>
      <c r="M41" s="9">
        <v>-254836</v>
      </c>
      <c r="N41" s="9">
        <f>-9180259.58/1000</f>
        <v>-9180.2595799999999</v>
      </c>
      <c r="P41" s="9">
        <v>-814738</v>
      </c>
      <c r="Q41" s="9">
        <v>-11062010.295500001</v>
      </c>
    </row>
    <row r="42" spans="1:17" s="9" customFormat="1" x14ac:dyDescent="0.2">
      <c r="A42" s="32" t="s">
        <v>22</v>
      </c>
      <c r="G42" s="9">
        <f>2820432.74/1000</f>
        <v>2820.4327400000002</v>
      </c>
      <c r="H42" s="9">
        <f>-19912937/1000</f>
        <v>-19912.937000000002</v>
      </c>
      <c r="J42" s="9">
        <f>(-598503.1-673667.35)/1000</f>
        <v>-1272.1704499999998</v>
      </c>
      <c r="N42" s="9">
        <f>-2742939.12/1000</f>
        <v>-2742.93912</v>
      </c>
      <c r="Q42" s="9">
        <v>-21107.613830000002</v>
      </c>
    </row>
    <row r="43" spans="1:17" s="9" customFormat="1" x14ac:dyDescent="0.2">
      <c r="A43" s="32" t="s">
        <v>21</v>
      </c>
      <c r="C43" s="9">
        <f>-23779+12489</f>
        <v>-11290</v>
      </c>
      <c r="D43" s="9">
        <v>1552511.3759999999</v>
      </c>
      <c r="F43" s="9">
        <f>(73819)-2152</f>
        <v>71667</v>
      </c>
      <c r="H43" s="9">
        <f>178190616/1000</f>
        <v>178190.61600000001</v>
      </c>
      <c r="I43" s="9">
        <f>49515.84/1000</f>
        <v>49.515839999999997</v>
      </c>
      <c r="L43" s="9">
        <f>95923+4334042</f>
        <v>4429965</v>
      </c>
      <c r="M43" s="9">
        <f>83940</f>
        <v>83940</v>
      </c>
      <c r="N43" s="9">
        <f>(2752538.5+1628022)/1000</f>
        <v>4380.5604999999996</v>
      </c>
      <c r="Q43" s="9">
        <v>6309414.0683399998</v>
      </c>
    </row>
    <row r="44" spans="1:17" s="4" customFormat="1" x14ac:dyDescent="0.2">
      <c r="A44" s="47"/>
    </row>
    <row r="45" spans="1:17" s="23" customFormat="1" ht="15" x14ac:dyDescent="0.25">
      <c r="A45" s="24" t="s">
        <v>20</v>
      </c>
      <c r="B45" s="23" t="str">
        <f t="shared" ref="B45:J45" si="24">IFERROR(+B31/B37,"")</f>
        <v/>
      </c>
      <c r="C45" s="23">
        <f t="shared" si="24"/>
        <v>0.44614538176901591</v>
      </c>
      <c r="D45" s="23">
        <f t="shared" si="24"/>
        <v>0.44883345851712014</v>
      </c>
      <c r="E45" s="23">
        <f t="shared" si="24"/>
        <v>1.2073547153558071</v>
      </c>
      <c r="F45" s="23">
        <f t="shared" si="24"/>
        <v>0.47626775599676485</v>
      </c>
      <c r="G45" s="23">
        <f t="shared" si="24"/>
        <v>1.2544497487532376</v>
      </c>
      <c r="H45" s="23">
        <f t="shared" si="24"/>
        <v>0.25389606826279632</v>
      </c>
      <c r="I45" s="23">
        <f t="shared" si="24"/>
        <v>0.39687743027460293</v>
      </c>
      <c r="J45" s="23">
        <f t="shared" si="24"/>
        <v>0.49533831468980938</v>
      </c>
      <c r="L45" s="23">
        <f>IFERROR(+L31/L37,"")</f>
        <v>0.67945491855348217</v>
      </c>
      <c r="M45" s="23">
        <f>IFERROR(+M31/M37,"")</f>
        <v>0</v>
      </c>
      <c r="N45" s="23">
        <f>IFERROR(+N31/N37,"")</f>
        <v>1.1511686819733844</v>
      </c>
      <c r="O45" s="23">
        <f>IFERROR(+O31/O37,"")</f>
        <v>1.8168465322463516</v>
      </c>
      <c r="P45" s="23">
        <f>IFERROR(+P31/P37,"")</f>
        <v>0.11638918195620288</v>
      </c>
      <c r="Q45" s="23">
        <v>0.5518636742895171</v>
      </c>
    </row>
    <row r="46" spans="1:17" s="23" customFormat="1" ht="15" x14ac:dyDescent="0.25">
      <c r="A46" s="24" t="s">
        <v>19</v>
      </c>
      <c r="B46" s="23" t="str">
        <f t="shared" ref="B46:J46" si="25">IFERROR(+(B31+B33)/(B37+B38),"")</f>
        <v/>
      </c>
      <c r="C46" s="23">
        <f t="shared" si="25"/>
        <v>0.46315813739479672</v>
      </c>
      <c r="D46" s="23">
        <f t="shared" si="25"/>
        <v>0.4420078728882248</v>
      </c>
      <c r="E46" s="23">
        <f t="shared" si="25"/>
        <v>0.26419089284167629</v>
      </c>
      <c r="F46" s="23">
        <f t="shared" si="25"/>
        <v>0.58365362160142409</v>
      </c>
      <c r="G46" s="23">
        <f t="shared" si="25"/>
        <v>0.35530484042281801</v>
      </c>
      <c r="H46" s="23">
        <f t="shared" si="25"/>
        <v>0.1853740935452535</v>
      </c>
      <c r="I46" s="23">
        <f t="shared" si="25"/>
        <v>0.19828956258020489</v>
      </c>
      <c r="J46" s="23">
        <f t="shared" si="25"/>
        <v>0.42150774599003366</v>
      </c>
      <c r="L46" s="23">
        <f>IFERROR(+(L31+L33)/(L37+L38),"")</f>
        <v>0.48868474190098821</v>
      </c>
      <c r="M46" s="23">
        <f>IFERROR(+(M31+M33)/(M37+M38),"")</f>
        <v>0</v>
      </c>
      <c r="N46" s="23">
        <f>IFERROR(+(N31+N33)/(N37+N38),"")</f>
        <v>0.59970756269819248</v>
      </c>
      <c r="O46" s="23">
        <f>IFERROR(+(O31+O33)/(O37+O38),"")</f>
        <v>1.3545155382725</v>
      </c>
      <c r="P46" s="23">
        <f>IFERROR(+(P31+P33)/(P37+P38),"")</f>
        <v>0.15219280538125185</v>
      </c>
      <c r="Q46" s="23">
        <v>0.47126999179201057</v>
      </c>
    </row>
    <row r="47" spans="1:17" s="23" customFormat="1" ht="15" x14ac:dyDescent="0.25">
      <c r="A47" s="24" t="s">
        <v>18</v>
      </c>
      <c r="B47" s="23">
        <f t="shared" ref="B47:J47" si="26">IFERROR(+B39,"")</f>
        <v>0</v>
      </c>
      <c r="C47" s="23">
        <f t="shared" si="26"/>
        <v>-477484</v>
      </c>
      <c r="D47" s="23">
        <f t="shared" si="26"/>
        <v>72034.337999999756</v>
      </c>
      <c r="E47" s="23">
        <f t="shared" si="26"/>
        <v>-8998.1208399999996</v>
      </c>
      <c r="F47" s="23">
        <f t="shared" si="26"/>
        <v>-62619</v>
      </c>
      <c r="G47" s="23">
        <f t="shared" si="26"/>
        <v>7175.3295899999994</v>
      </c>
      <c r="H47" s="23">
        <f t="shared" si="26"/>
        <v>-133996.59699999998</v>
      </c>
      <c r="I47" s="23">
        <f t="shared" si="26"/>
        <v>-2419.5583399999996</v>
      </c>
      <c r="J47" s="23">
        <f t="shared" si="26"/>
        <v>4487.7687800000012</v>
      </c>
      <c r="L47" s="23">
        <f>IFERROR(+L39,"")</f>
        <v>1171629</v>
      </c>
      <c r="M47" s="23">
        <f>IFERROR(+M39,"")</f>
        <v>-86730</v>
      </c>
      <c r="N47" s="23">
        <f>IFERROR(+N39,"")</f>
        <v>-1542.6382000000003</v>
      </c>
      <c r="O47" s="23">
        <f>IFERROR(+O39,"")</f>
        <v>93750</v>
      </c>
      <c r="P47" s="23">
        <f>IFERROR(+P39,"")</f>
        <v>-119543</v>
      </c>
      <c r="Q47" s="23">
        <v>455743.5219899998</v>
      </c>
    </row>
    <row r="48" spans="1:17" s="23" customFormat="1" ht="15" x14ac:dyDescent="0.25">
      <c r="A48" s="24" t="s">
        <v>17</v>
      </c>
      <c r="B48" s="23" t="str">
        <f t="shared" ref="B48:J48" si="27">IFERROR(((B37+B38))/B30,"")</f>
        <v/>
      </c>
      <c r="C48" s="23">
        <f t="shared" si="27"/>
        <v>1.1250920865797236</v>
      </c>
      <c r="D48" s="23">
        <f t="shared" si="27"/>
        <v>0.99092818140235184</v>
      </c>
      <c r="E48" s="23">
        <f t="shared" si="27"/>
        <v>3.2019004284241648</v>
      </c>
      <c r="F48" s="23">
        <f t="shared" si="27"/>
        <v>1.0695120976515149</v>
      </c>
      <c r="G48" s="23">
        <f t="shared" si="27"/>
        <v>0.82562653277416809</v>
      </c>
      <c r="H48" s="23">
        <f t="shared" si="27"/>
        <v>1.4986903319933575</v>
      </c>
      <c r="I48" s="23">
        <f t="shared" si="27"/>
        <v>2.1632861362579026</v>
      </c>
      <c r="J48" s="23">
        <f t="shared" si="27"/>
        <v>0.86523780296174047</v>
      </c>
      <c r="L48" s="23">
        <f>IFERROR(((L37+L38))/L30,"")</f>
        <v>0.89187858069510129</v>
      </c>
      <c r="M48" s="23" t="str">
        <f>IFERROR(((M37+M38))/M30,"")</f>
        <v/>
      </c>
      <c r="N48" s="23">
        <f>IFERROR(((N37+N38))/N30,"")</f>
        <v>1.015030029983601</v>
      </c>
      <c r="O48" s="23">
        <f>IFERROR(((O37+O38))/O30,"")</f>
        <v>0.69378629614387155</v>
      </c>
      <c r="P48" s="23">
        <f>IFERROR(((P37+P38))/P30,"")</f>
        <v>5.4951116793261638</v>
      </c>
      <c r="Q48" s="23">
        <v>0.98119233357956248</v>
      </c>
    </row>
    <row r="49" spans="1:41" s="23" customFormat="1" ht="15" x14ac:dyDescent="0.25">
      <c r="A49" s="24" t="s">
        <v>16</v>
      </c>
      <c r="B49" s="23" t="str">
        <f t="shared" ref="B49:J49" si="28">IFERROR(B30/B39,"")</f>
        <v/>
      </c>
      <c r="C49" s="23">
        <f t="shared" si="28"/>
        <v>-7.9941107974298617</v>
      </c>
      <c r="D49" s="23">
        <f t="shared" si="28"/>
        <v>110.23182258123703</v>
      </c>
      <c r="E49" s="23">
        <f t="shared" si="28"/>
        <v>-0.45415314293556436</v>
      </c>
      <c r="F49" s="23">
        <f t="shared" si="28"/>
        <v>-14.385985084399303</v>
      </c>
      <c r="G49" s="23">
        <f t="shared" si="28"/>
        <v>6.5340584041380607</v>
      </c>
      <c r="H49" s="23">
        <f t="shared" si="28"/>
        <v>-2.0052474914717426</v>
      </c>
      <c r="I49" s="23">
        <f t="shared" si="28"/>
        <v>-0.85963372968307949</v>
      </c>
      <c r="J49" s="23">
        <f t="shared" si="28"/>
        <v>7.4204786058518799</v>
      </c>
      <c r="L49" s="23">
        <f>IFERROR(L30/L39,"")</f>
        <v>9.2488612009433027</v>
      </c>
      <c r="M49" s="23">
        <f>IFERROR(M30/M39,"")</f>
        <v>0</v>
      </c>
      <c r="N49" s="23">
        <f>IFERROR(N30/N39,"")</f>
        <v>-66.533466738992971</v>
      </c>
      <c r="O49" s="23">
        <f>IFERROR(O30/O39,"")</f>
        <v>3.2657280000000002</v>
      </c>
      <c r="P49" s="23">
        <f>IFERROR(P30/P39,"")</f>
        <v>-0.22246388328885841</v>
      </c>
      <c r="Q49" s="23">
        <v>53.286654610365936</v>
      </c>
    </row>
    <row r="50" spans="1:41" s="23" customFormat="1" ht="15" x14ac:dyDescent="0.25">
      <c r="A50" s="24" t="s">
        <v>15</v>
      </c>
      <c r="B50" s="23" t="str">
        <f t="shared" ref="B50:J50" si="29">IFERROR(((B37+B38))/B39,"")</f>
        <v/>
      </c>
      <c r="C50" s="23">
        <f t="shared" si="29"/>
        <v>-8.9941107974298617</v>
      </c>
      <c r="D50" s="23">
        <f t="shared" si="29"/>
        <v>109.2318194830919</v>
      </c>
      <c r="E50" s="23">
        <f t="shared" si="29"/>
        <v>-1.4541531429355643</v>
      </c>
      <c r="F50" s="23">
        <f t="shared" si="29"/>
        <v>-15.385985084399303</v>
      </c>
      <c r="G50" s="23">
        <f t="shared" si="29"/>
        <v>5.3946919851524209</v>
      </c>
      <c r="H50" s="23">
        <f t="shared" si="29"/>
        <v>-3.0052450287226331</v>
      </c>
      <c r="I50" s="23">
        <f t="shared" si="29"/>
        <v>-1.8596337296830796</v>
      </c>
      <c r="J50" s="23">
        <f t="shared" si="29"/>
        <v>6.4204786058518799</v>
      </c>
      <c r="L50" s="23">
        <f>IFERROR(((L37+L38))/L39,"")</f>
        <v>8.2488612009433027</v>
      </c>
      <c r="M50" s="23">
        <f>IFERROR(((M37+M38))/M39,"")</f>
        <v>-1</v>
      </c>
      <c r="N50" s="23">
        <f>IFERROR(((N37+N38))/N39,"")</f>
        <v>-67.533466738992956</v>
      </c>
      <c r="O50" s="23">
        <f>IFERROR(((O37+O38))/O39,"")</f>
        <v>2.2657173333333334</v>
      </c>
      <c r="P50" s="23">
        <f>IFERROR(((P37+P38))/P39,"")</f>
        <v>-1.2224638832888584</v>
      </c>
      <c r="Q50" s="23">
        <v>52.284456985793106</v>
      </c>
    </row>
    <row r="51" spans="1:41" s="23" customFormat="1" ht="15" x14ac:dyDescent="0.25">
      <c r="A51" s="24" t="s">
        <v>14</v>
      </c>
      <c r="B51" s="23" t="str">
        <f t="shared" ref="B51:J51" si="30">IFERROR((SUM(B37:B38))/(SUM(B40,B43)),"")</f>
        <v/>
      </c>
      <c r="C51" s="23">
        <f t="shared" si="30"/>
        <v>17.211221545367106</v>
      </c>
      <c r="D51" s="23">
        <f t="shared" si="30"/>
        <v>2.0455031442234981</v>
      </c>
      <c r="E51" s="23">
        <f t="shared" si="30"/>
        <v>1.8173119027777778</v>
      </c>
      <c r="F51" s="23">
        <f t="shared" si="30"/>
        <v>1.0973954008613276</v>
      </c>
      <c r="G51" s="23">
        <f t="shared" si="30"/>
        <v>2.8707555014165149</v>
      </c>
      <c r="H51" s="23">
        <f t="shared" si="30"/>
        <v>2.0287944725253162</v>
      </c>
      <c r="I51" s="23">
        <f t="shared" si="30"/>
        <v>0.79285106739715716</v>
      </c>
      <c r="J51" s="23">
        <f t="shared" si="30"/>
        <v>19.209082293333331</v>
      </c>
      <c r="L51" s="23">
        <f>IFERROR((SUM(L37:L38))/(SUM(L40,L43)),"")</f>
        <v>1.7994342861260273</v>
      </c>
      <c r="M51" s="23">
        <f>IFERROR((SUM(M37:M38))/(SUM(M40,M43)),"")</f>
        <v>0.51592447622333526</v>
      </c>
      <c r="N51" s="23">
        <f>IFERROR((SUM(N37:N38))/(SUM(N40,N43)),"")</f>
        <v>10.036038571327627</v>
      </c>
      <c r="O51" s="23">
        <f>IFERROR((SUM(O37:O38))/(SUM(O40,O43)),"")</f>
        <v>2.2657173333333334</v>
      </c>
      <c r="P51" s="23">
        <f>IFERROR((SUM(P37:P38))/(SUM(P40,P43)),"")</f>
        <v>0.21021008494019663</v>
      </c>
      <c r="Q51" s="23">
        <v>2.065047987088457</v>
      </c>
    </row>
    <row r="52" spans="1:41" s="23" customFormat="1" ht="15" x14ac:dyDescent="0.25">
      <c r="A52" s="24" t="s">
        <v>49</v>
      </c>
      <c r="B52" s="23" t="str">
        <f t="shared" ref="B52:J52" si="31">IFERROR(B37/B39,"")</f>
        <v/>
      </c>
      <c r="C52" s="23">
        <f t="shared" si="31"/>
        <v>-5.3253742533781239</v>
      </c>
      <c r="D52" s="23">
        <f t="shared" si="31"/>
        <v>60.833778995789693</v>
      </c>
      <c r="E52" s="23">
        <f t="shared" si="31"/>
        <v>-0.20465265834327251</v>
      </c>
      <c r="F52" s="23">
        <f t="shared" si="31"/>
        <v>-12.064213737044668</v>
      </c>
      <c r="G52" s="23">
        <f t="shared" si="31"/>
        <v>1.0035199400505868</v>
      </c>
      <c r="H52" s="23">
        <f t="shared" si="31"/>
        <v>-1.5870851556028698</v>
      </c>
      <c r="I52" s="23">
        <f t="shared" si="31"/>
        <v>-0.77678171628628734</v>
      </c>
      <c r="J52" s="23">
        <f t="shared" si="31"/>
        <v>5.2355844990748368</v>
      </c>
      <c r="L52" s="23">
        <f>IFERROR(L37/L39,"")</f>
        <v>4.4338438191611846</v>
      </c>
      <c r="M52" s="23">
        <f>IFERROR(M37/M39,"")</f>
        <v>-0.50986971059610287</v>
      </c>
      <c r="N52" s="23">
        <f>IFERROR(N37/N39,"")</f>
        <v>-33.805374643257238</v>
      </c>
      <c r="O52" s="23">
        <f>IFERROR(O37/O39,"")</f>
        <v>1.6891626666666666</v>
      </c>
      <c r="P52" s="23">
        <f>IFERROR(P37/P39,"")</f>
        <v>-0.65015935688413373</v>
      </c>
      <c r="Q52" s="23">
        <v>29.522535062155487</v>
      </c>
    </row>
    <row r="53" spans="1:41" s="23" customFormat="1" ht="15" x14ac:dyDescent="0.25">
      <c r="A53" s="24" t="s">
        <v>48</v>
      </c>
      <c r="B53" s="23" t="str">
        <f t="shared" ref="B53:J53" si="32">IFERROR((B37+B38)/B39,"")</f>
        <v/>
      </c>
      <c r="C53" s="23">
        <f t="shared" si="32"/>
        <v>-8.9941107974298617</v>
      </c>
      <c r="D53" s="23">
        <f t="shared" si="32"/>
        <v>109.2318194830919</v>
      </c>
      <c r="E53" s="23">
        <f t="shared" si="32"/>
        <v>-1.4541531429355643</v>
      </c>
      <c r="F53" s="23">
        <f t="shared" si="32"/>
        <v>-15.385985084399303</v>
      </c>
      <c r="G53" s="23">
        <f t="shared" si="32"/>
        <v>5.3946919851524209</v>
      </c>
      <c r="H53" s="23">
        <f t="shared" si="32"/>
        <v>-3.0052450287226331</v>
      </c>
      <c r="I53" s="23">
        <f t="shared" si="32"/>
        <v>-1.8596337296830796</v>
      </c>
      <c r="J53" s="23">
        <f t="shared" si="32"/>
        <v>6.4204786058518799</v>
      </c>
      <c r="L53" s="23">
        <f>IFERROR((L37+L38)/L39,"")</f>
        <v>8.2488612009433027</v>
      </c>
      <c r="M53" s="23">
        <f>IFERROR((M37+M38)/M39,"")</f>
        <v>-1</v>
      </c>
      <c r="N53" s="23">
        <f>IFERROR((N37+N38)/N39,"")</f>
        <v>-67.533466738992956</v>
      </c>
      <c r="O53" s="23">
        <f>IFERROR((O37+O38)/O39,"")</f>
        <v>2.2657173333333334</v>
      </c>
      <c r="P53" s="23">
        <f>IFERROR((P37+P38)/P39,"")</f>
        <v>-1.2224638832888584</v>
      </c>
      <c r="Q53" s="23">
        <v>52.284456985793106</v>
      </c>
    </row>
    <row r="54" spans="1:41" x14ac:dyDescent="0.2">
      <c r="D54" s="43"/>
    </row>
    <row r="55" spans="1:41" ht="15" x14ac:dyDescent="0.2">
      <c r="A55" s="49" t="s">
        <v>62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21"/>
      <c r="N55" s="21"/>
      <c r="O55" s="21"/>
      <c r="P55" s="21"/>
      <c r="Q55" s="46">
        <v>1000</v>
      </c>
      <c r="AO55" s="1">
        <v>1000</v>
      </c>
    </row>
    <row r="56" spans="1:41" ht="15" x14ac:dyDescent="0.25">
      <c r="A56" s="27" t="s">
        <v>46</v>
      </c>
      <c r="B56" s="26" t="s">
        <v>79</v>
      </c>
      <c r="C56" s="26" t="s">
        <v>66</v>
      </c>
      <c r="D56" s="26" t="s">
        <v>67</v>
      </c>
      <c r="E56" s="26" t="s">
        <v>80</v>
      </c>
      <c r="F56" s="26" t="s">
        <v>69</v>
      </c>
      <c r="G56" s="26" t="s">
        <v>70</v>
      </c>
      <c r="H56" s="26" t="s">
        <v>71</v>
      </c>
      <c r="I56" s="26" t="s">
        <v>72</v>
      </c>
      <c r="J56" s="26" t="s">
        <v>73</v>
      </c>
      <c r="K56" s="26" t="s">
        <v>74</v>
      </c>
      <c r="L56" s="26" t="s">
        <v>13</v>
      </c>
      <c r="M56" s="26" t="s">
        <v>75</v>
      </c>
      <c r="N56" s="26" t="s">
        <v>45</v>
      </c>
      <c r="O56" s="26" t="s">
        <v>77</v>
      </c>
      <c r="P56" s="26" t="s">
        <v>81</v>
      </c>
      <c r="Q56" s="26" t="s">
        <v>65</v>
      </c>
    </row>
    <row r="57" spans="1:41" s="17" customFormat="1" ht="15" x14ac:dyDescent="0.25">
      <c r="A57" s="33" t="s">
        <v>32</v>
      </c>
      <c r="B57" s="17">
        <f t="shared" ref="B57:J57" si="33">B58+B59</f>
        <v>0</v>
      </c>
      <c r="C57" s="17">
        <f t="shared" si="33"/>
        <v>4360266</v>
      </c>
      <c r="D57" s="17">
        <f t="shared" si="33"/>
        <v>8778792</v>
      </c>
      <c r="E57" s="17">
        <f t="shared" si="33"/>
        <v>3975.6616300000001</v>
      </c>
      <c r="F57" s="17">
        <f t="shared" si="33"/>
        <v>935429</v>
      </c>
      <c r="G57" s="17">
        <f t="shared" si="33"/>
        <v>49247.255269999994</v>
      </c>
      <c r="H57" s="17">
        <f t="shared" si="33"/>
        <v>273249.74300000002</v>
      </c>
      <c r="I57" s="17">
        <f t="shared" si="33"/>
        <v>2103.6995000000002</v>
      </c>
      <c r="J57" s="17">
        <f t="shared" si="33"/>
        <v>0</v>
      </c>
      <c r="L57" s="17">
        <f t="shared" ref="L57:P57" si="34">L58+L59</f>
        <v>10778138</v>
      </c>
      <c r="M57" s="17">
        <f t="shared" si="34"/>
        <v>2488</v>
      </c>
      <c r="N57" s="17">
        <f t="shared" si="34"/>
        <v>91938.219060000003</v>
      </c>
      <c r="O57" s="17">
        <f t="shared" si="34"/>
        <v>369250</v>
      </c>
      <c r="P57" s="9">
        <f t="shared" si="34"/>
        <v>24267</v>
      </c>
      <c r="Q57" s="17">
        <v>25669144.57846</v>
      </c>
    </row>
    <row r="58" spans="1:41" s="9" customFormat="1" x14ac:dyDescent="0.2">
      <c r="A58" s="32" t="s">
        <v>31</v>
      </c>
      <c r="C58" s="9">
        <f>1594503</f>
        <v>1594503</v>
      </c>
      <c r="D58" s="9">
        <v>2583289</v>
      </c>
      <c r="E58" s="9">
        <f>2263045.55/1000</f>
        <v>2263.0455499999998</v>
      </c>
      <c r="F58" s="9">
        <f>398573</f>
        <v>398573</v>
      </c>
      <c r="G58" s="9">
        <f>12108415.74/1000</f>
        <v>12108.41574</v>
      </c>
      <c r="H58" s="9">
        <f>67751307/1000</f>
        <v>67751.307000000001</v>
      </c>
      <c r="I58" s="9">
        <f>745689.18/1000</f>
        <v>745.68918000000008</v>
      </c>
      <c r="L58" s="9">
        <v>3951969</v>
      </c>
      <c r="N58" s="9">
        <f>58447155.03/1000</f>
        <v>58447.155030000002</v>
      </c>
      <c r="O58" s="9">
        <v>350229</v>
      </c>
      <c r="P58" s="9">
        <v>6953</v>
      </c>
      <c r="Q58" s="9">
        <v>9026831.6124999989</v>
      </c>
    </row>
    <row r="59" spans="1:41" s="9" customFormat="1" x14ac:dyDescent="0.2">
      <c r="A59" s="32" t="s">
        <v>30</v>
      </c>
      <c r="B59" s="9">
        <f t="shared" ref="B59:J59" si="35">SUM(B60:B62)</f>
        <v>0</v>
      </c>
      <c r="C59" s="9">
        <f t="shared" si="35"/>
        <v>2765763</v>
      </c>
      <c r="D59" s="9">
        <f t="shared" si="35"/>
        <v>6195503</v>
      </c>
      <c r="E59" s="9">
        <f t="shared" si="35"/>
        <v>1712.6160800000002</v>
      </c>
      <c r="F59" s="9">
        <f t="shared" si="35"/>
        <v>536856</v>
      </c>
      <c r="G59" s="9">
        <f t="shared" si="35"/>
        <v>37138.839529999997</v>
      </c>
      <c r="H59" s="9">
        <f t="shared" si="35"/>
        <v>205498.43600000002</v>
      </c>
      <c r="I59" s="9">
        <f t="shared" si="35"/>
        <v>1358.0103200000001</v>
      </c>
      <c r="J59" s="9">
        <f t="shared" si="35"/>
        <v>0</v>
      </c>
      <c r="L59" s="9">
        <f t="shared" ref="L59:P59" si="36">SUM(L60:L62)</f>
        <v>6826169</v>
      </c>
      <c r="M59" s="9">
        <f t="shared" si="36"/>
        <v>2488</v>
      </c>
      <c r="N59" s="9">
        <f t="shared" si="36"/>
        <v>33491.064030000001</v>
      </c>
      <c r="O59" s="9">
        <f t="shared" si="36"/>
        <v>19021</v>
      </c>
      <c r="P59" s="9">
        <f t="shared" si="36"/>
        <v>17314</v>
      </c>
      <c r="Q59" s="9">
        <v>16642312.96596</v>
      </c>
    </row>
    <row r="60" spans="1:41" s="9" customFormat="1" x14ac:dyDescent="0.2">
      <c r="A60" s="32" t="s">
        <v>29</v>
      </c>
      <c r="C60" s="9">
        <f>(67490+635740+131822+72228)</f>
        <v>907280</v>
      </c>
      <c r="D60" s="9">
        <v>1749971</v>
      </c>
      <c r="E60" s="9">
        <f>1118588.56/1000</f>
        <v>1118.5885600000001</v>
      </c>
      <c r="F60" s="9">
        <f>221582</f>
        <v>221582</v>
      </c>
      <c r="G60" s="9">
        <f>5664734.76/1000</f>
        <v>5664.7347599999994</v>
      </c>
      <c r="H60" s="9">
        <f>12770850/1000</f>
        <v>12770.85</v>
      </c>
      <c r="I60" s="9">
        <f>170278.72/1000</f>
        <v>170.27871999999999</v>
      </c>
      <c r="L60" s="9">
        <f>1331436</f>
        <v>1331436</v>
      </c>
      <c r="N60" s="9">
        <f>2524661.73/1000</f>
        <v>2524.6617299999998</v>
      </c>
      <c r="O60" s="9">
        <v>13815</v>
      </c>
      <c r="P60" s="9">
        <v>13241</v>
      </c>
    </row>
    <row r="61" spans="1:41" s="9" customFormat="1" x14ac:dyDescent="0.2">
      <c r="A61" s="32" t="s">
        <v>28</v>
      </c>
      <c r="C61" s="9">
        <f>1750007+108476</f>
        <v>1858483</v>
      </c>
      <c r="D61" s="9">
        <v>4445532</v>
      </c>
      <c r="E61" s="9">
        <f>(254869.79+821968.01-493688.38+10878.1)/1000</f>
        <v>594.02751999999998</v>
      </c>
      <c r="F61" s="9">
        <f>292660+22614</f>
        <v>315274</v>
      </c>
      <c r="G61" s="9">
        <f>(36443700.27-4969595.5)/1000</f>
        <v>31474.104770000002</v>
      </c>
      <c r="H61" s="9">
        <f>(20735921+1928+171989737)/1000</f>
        <v>192727.58600000001</v>
      </c>
      <c r="I61" s="9">
        <f>(1403842.06-265626.3)/1000</f>
        <v>1138.21576</v>
      </c>
      <c r="L61" s="9">
        <f>760122+4425290+308240</f>
        <v>5493652</v>
      </c>
      <c r="N61" s="9">
        <f>(5480977.45+25485424.85)/1000</f>
        <v>30966.402300000002</v>
      </c>
      <c r="O61" s="9">
        <f>1+5205</f>
        <v>5206</v>
      </c>
      <c r="P61" s="9">
        <v>4073</v>
      </c>
    </row>
    <row r="62" spans="1:41" s="9" customFormat="1" x14ac:dyDescent="0.2">
      <c r="A62" s="32" t="s">
        <v>21</v>
      </c>
      <c r="I62" s="9">
        <f>49515.84/1000</f>
        <v>49.515839999999997</v>
      </c>
      <c r="L62" s="9">
        <v>1081</v>
      </c>
      <c r="M62" s="9">
        <f>2488</f>
        <v>2488</v>
      </c>
    </row>
    <row r="63" spans="1:41" s="17" customFormat="1" ht="15" x14ac:dyDescent="0.25">
      <c r="A63" s="33" t="s">
        <v>27</v>
      </c>
      <c r="B63" s="17">
        <f t="shared" ref="B63:J63" si="37">B64+B65+B66</f>
        <v>0</v>
      </c>
      <c r="C63" s="17">
        <f t="shared" si="37"/>
        <v>4360266</v>
      </c>
      <c r="D63" s="17">
        <f t="shared" si="37"/>
        <v>8778792</v>
      </c>
      <c r="E63" s="17">
        <f t="shared" si="37"/>
        <v>3975.6616300000023</v>
      </c>
      <c r="F63" s="17">
        <f t="shared" si="37"/>
        <v>935429</v>
      </c>
      <c r="G63" s="17">
        <f t="shared" si="37"/>
        <v>49247.255269999994</v>
      </c>
      <c r="H63" s="17">
        <f t="shared" si="37"/>
        <v>273249.74300000002</v>
      </c>
      <c r="I63" s="17">
        <f t="shared" si="37"/>
        <v>2103.6995000000006</v>
      </c>
      <c r="J63" s="17">
        <f t="shared" si="37"/>
        <v>0</v>
      </c>
      <c r="L63" s="17">
        <f t="shared" ref="L63:P63" si="38">L64+L65+L66</f>
        <v>10778138</v>
      </c>
      <c r="M63" s="17">
        <f t="shared" si="38"/>
        <v>2488</v>
      </c>
      <c r="N63" s="17">
        <f t="shared" si="38"/>
        <v>91938.219060000003</v>
      </c>
      <c r="O63" s="17">
        <f t="shared" si="38"/>
        <v>369250</v>
      </c>
      <c r="P63" s="9">
        <f t="shared" si="38"/>
        <v>24267</v>
      </c>
      <c r="Q63" s="17">
        <v>25669144.578460004</v>
      </c>
    </row>
    <row r="64" spans="1:41" s="9" customFormat="1" x14ac:dyDescent="0.2">
      <c r="A64" s="32" t="s">
        <v>26</v>
      </c>
      <c r="C64" s="9">
        <f>2289750</f>
        <v>2289750</v>
      </c>
      <c r="D64" s="9">
        <v>3783402.1119999997</v>
      </c>
      <c r="E64" s="9">
        <f>2118863.16/1000</f>
        <v>2118.8631600000003</v>
      </c>
      <c r="F64" s="9">
        <f>799839</f>
        <v>799839</v>
      </c>
      <c r="G64" s="9">
        <f>5640703.59/1000</f>
        <v>5640.7035900000001</v>
      </c>
      <c r="H64" s="9">
        <f>167996691/1000</f>
        <v>167996.69099999999</v>
      </c>
      <c r="I64" s="9">
        <f>1903463.74/1000</f>
        <v>1903.4637399999999</v>
      </c>
      <c r="L64" s="9">
        <f>5382121</f>
        <v>5382121</v>
      </c>
      <c r="M64" s="9">
        <v>46712</v>
      </c>
      <c r="N64" s="9">
        <f>49130346.3/1000</f>
        <v>49130.346299999997</v>
      </c>
      <c r="O64" s="9">
        <f>204545</f>
        <v>204545</v>
      </c>
      <c r="P64" s="9">
        <v>81813</v>
      </c>
    </row>
    <row r="65" spans="1:17" s="9" customFormat="1" x14ac:dyDescent="0.2">
      <c r="A65" s="32" t="s">
        <v>25</v>
      </c>
      <c r="C65" s="9">
        <f>2479054</f>
        <v>2479054</v>
      </c>
      <c r="D65" s="9">
        <v>4442074.8880000003</v>
      </c>
      <c r="E65" s="9">
        <f>11351489.63/1000</f>
        <v>11351.48963</v>
      </c>
      <c r="F65" s="9">
        <f>247535</f>
        <v>247535</v>
      </c>
      <c r="G65" s="9">
        <f>37809728.05/1000</f>
        <v>37809.728049999998</v>
      </c>
      <c r="H65" s="9">
        <f>196135741/1000</f>
        <v>196135.74100000001</v>
      </c>
      <c r="I65" s="9">
        <f>2639150.62/1000</f>
        <v>2639.1506199999999</v>
      </c>
      <c r="L65" s="9">
        <f>4379258</f>
        <v>4379258</v>
      </c>
      <c r="M65" s="9">
        <v>33077</v>
      </c>
      <c r="N65" s="9">
        <f>49287331.84/1000</f>
        <v>49287.331840000006</v>
      </c>
      <c r="O65" s="9">
        <f>59971</f>
        <v>59971</v>
      </c>
      <c r="P65" s="9">
        <v>68432</v>
      </c>
    </row>
    <row r="66" spans="1:17" s="17" customFormat="1" ht="15" x14ac:dyDescent="0.25">
      <c r="A66" s="33" t="s">
        <v>24</v>
      </c>
      <c r="B66" s="17">
        <f t="shared" ref="B66:J66" si="39">SUM(B67:B70)</f>
        <v>0</v>
      </c>
      <c r="C66" s="17">
        <f t="shared" si="39"/>
        <v>-408538</v>
      </c>
      <c r="D66" s="17">
        <f t="shared" si="39"/>
        <v>553315</v>
      </c>
      <c r="E66" s="17">
        <f t="shared" si="39"/>
        <v>-9494.6911599999985</v>
      </c>
      <c r="F66" s="17">
        <f t="shared" si="39"/>
        <v>-111945</v>
      </c>
      <c r="G66" s="17">
        <f t="shared" si="39"/>
        <v>5796.823629999999</v>
      </c>
      <c r="H66" s="17">
        <f t="shared" si="39"/>
        <v>-90882.689000000013</v>
      </c>
      <c r="I66" s="17">
        <f t="shared" si="39"/>
        <v>-2438.914859999999</v>
      </c>
      <c r="J66" s="17">
        <f t="shared" si="39"/>
        <v>0</v>
      </c>
      <c r="L66" s="17">
        <f t="shared" ref="L66:P66" si="40">SUM(L67:L70)</f>
        <v>1016759</v>
      </c>
      <c r="M66" s="17">
        <f t="shared" si="40"/>
        <v>-77301</v>
      </c>
      <c r="N66" s="17">
        <f t="shared" si="40"/>
        <v>-6479.4590799999996</v>
      </c>
      <c r="O66" s="17">
        <f t="shared" si="40"/>
        <v>104734</v>
      </c>
      <c r="P66" s="9">
        <f t="shared" si="40"/>
        <v>-125978</v>
      </c>
      <c r="Q66" s="17">
        <v>847547.0695300001</v>
      </c>
    </row>
    <row r="67" spans="1:17" s="9" customFormat="1" x14ac:dyDescent="0.2">
      <c r="A67" s="32" t="s">
        <v>23</v>
      </c>
      <c r="C67" s="9">
        <v>260810</v>
      </c>
      <c r="D67" s="9">
        <v>3343382</v>
      </c>
      <c r="E67" s="9">
        <f>7200000/1000</f>
        <v>7200</v>
      </c>
      <c r="F67" s="9">
        <f>880099</f>
        <v>880099</v>
      </c>
      <c r="G67" s="9">
        <f>13483800/1000</f>
        <v>13483.8</v>
      </c>
      <c r="H67" s="9">
        <f>(20298000/1000)-0.003</f>
        <v>20297.996999999999</v>
      </c>
      <c r="I67" s="9">
        <f>5625562.98/1000</f>
        <v>5625.5629800000006</v>
      </c>
      <c r="L67" s="9">
        <f>4636665</f>
        <v>4636665</v>
      </c>
      <c r="M67" s="9">
        <v>84166</v>
      </c>
      <c r="N67" s="9">
        <f>6000000/1000</f>
        <v>6000</v>
      </c>
      <c r="O67" s="9">
        <f>4061</f>
        <v>4061</v>
      </c>
      <c r="P67" s="9">
        <v>697715</v>
      </c>
    </row>
    <row r="68" spans="1:17" s="9" customFormat="1" x14ac:dyDescent="0.2">
      <c r="A68" s="32" t="s">
        <v>50</v>
      </c>
      <c r="C68" s="9">
        <v>-658817</v>
      </c>
      <c r="D68" s="9">
        <v>-3808188</v>
      </c>
      <c r="E68" s="9">
        <f>-16694691.16/1000</f>
        <v>-16694.691159999998</v>
      </c>
      <c r="F68" s="9">
        <v>-992044</v>
      </c>
      <c r="G68" s="9">
        <f>-9128903.15/1000</f>
        <v>-9128.9031500000001</v>
      </c>
      <c r="H68" s="9">
        <f>-271534825/1000</f>
        <v>-271534.82500000001</v>
      </c>
      <c r="I68" s="9">
        <f>-8113993.68/1000</f>
        <v>-8113.9936799999996</v>
      </c>
      <c r="L68" s="9">
        <v>-4406816</v>
      </c>
      <c r="M68" s="9">
        <v>-245407</v>
      </c>
      <c r="N68" s="9">
        <f>(-9180259.58)/1000</f>
        <v>-9180.2595799999999</v>
      </c>
      <c r="O68" s="9">
        <f>-39327</f>
        <v>-39327</v>
      </c>
      <c r="P68" s="9">
        <v>-823693</v>
      </c>
    </row>
    <row r="69" spans="1:17" s="9" customFormat="1" x14ac:dyDescent="0.2">
      <c r="A69" s="32" t="s">
        <v>22</v>
      </c>
      <c r="G69" s="9">
        <f>1441926.78/1000</f>
        <v>1441.92678</v>
      </c>
      <c r="H69" s="9">
        <f>-13673155/1000</f>
        <v>-13673.155000000001</v>
      </c>
      <c r="N69" s="9">
        <f>-7605759/1000</f>
        <v>-7605.759</v>
      </c>
    </row>
    <row r="70" spans="1:17" s="9" customFormat="1" x14ac:dyDescent="0.2">
      <c r="A70" s="32" t="s">
        <v>21</v>
      </c>
      <c r="C70" s="9">
        <f>15390-25921</f>
        <v>-10531</v>
      </c>
      <c r="D70" s="9">
        <v>1018121</v>
      </c>
      <c r="H70" s="9">
        <f>(174027294)/1000</f>
        <v>174027.29399999999</v>
      </c>
      <c r="I70" s="9">
        <f>49515.84/1000</f>
        <v>49.515839999999997</v>
      </c>
      <c r="L70" s="9">
        <f>692325+94585</f>
        <v>786910</v>
      </c>
      <c r="M70" s="9">
        <v>83940</v>
      </c>
      <c r="N70" s="9">
        <f>(2752538.5+1554021)/1000</f>
        <v>4306.5595000000003</v>
      </c>
      <c r="O70" s="9">
        <v>140000</v>
      </c>
    </row>
    <row r="71" spans="1:17" s="4" customFormat="1" x14ac:dyDescent="0.2">
      <c r="A71" s="47"/>
    </row>
    <row r="72" spans="1:17" s="23" customFormat="1" ht="15" x14ac:dyDescent="0.25">
      <c r="A72" s="24" t="s">
        <v>20</v>
      </c>
      <c r="B72" s="23" t="str">
        <f t="shared" ref="B72:J72" si="41">IFERROR(+B58/B64,"")</f>
        <v/>
      </c>
      <c r="C72" s="23">
        <f t="shared" si="41"/>
        <v>0.69636554208974777</v>
      </c>
      <c r="D72" s="23">
        <f t="shared" si="41"/>
        <v>0.68279525240165651</v>
      </c>
      <c r="E72" s="23">
        <f t="shared" si="41"/>
        <v>1.0680470512310005</v>
      </c>
      <c r="F72" s="23">
        <f t="shared" si="41"/>
        <v>0.49831653620291083</v>
      </c>
      <c r="G72" s="23">
        <f t="shared" si="41"/>
        <v>2.1466144332537072</v>
      </c>
      <c r="H72" s="23">
        <f t="shared" si="41"/>
        <v>0.40328953264918777</v>
      </c>
      <c r="I72" s="23">
        <f t="shared" si="41"/>
        <v>0.39175381402327114</v>
      </c>
      <c r="J72" s="23" t="str">
        <f t="shared" si="41"/>
        <v/>
      </c>
      <c r="L72" s="23">
        <f>IFERROR(+L58/L64,"")</f>
        <v>0.73427724869061839</v>
      </c>
      <c r="M72" s="23">
        <f>IFERROR(+M58/M64,"")</f>
        <v>0</v>
      </c>
      <c r="N72" s="23">
        <f>IFERROR(+N58/N64,"")</f>
        <v>1.1896345015178533</v>
      </c>
      <c r="O72" s="23">
        <f>IFERROR(+O58/O64,"")</f>
        <v>1.7122344716321591</v>
      </c>
      <c r="P72" s="23">
        <f>IFERROR(+P58/P64,"")</f>
        <v>8.4986493589038412E-2</v>
      </c>
      <c r="Q72" s="23">
        <v>9.6083148772811526</v>
      </c>
    </row>
    <row r="73" spans="1:17" s="23" customFormat="1" ht="15" x14ac:dyDescent="0.25">
      <c r="A73" s="24" t="s">
        <v>19</v>
      </c>
      <c r="B73" s="23" t="str">
        <f t="shared" ref="B73:J73" si="42">IFERROR(+(B58+B60)/(B64+B65),"")</f>
        <v/>
      </c>
      <c r="C73" s="23">
        <f t="shared" si="42"/>
        <v>0.52461434774840821</v>
      </c>
      <c r="D73" s="23">
        <f t="shared" si="42"/>
        <v>0.52680956982798688</v>
      </c>
      <c r="E73" s="23">
        <f t="shared" si="42"/>
        <v>0.25104272788686183</v>
      </c>
      <c r="F73" s="23">
        <f t="shared" si="42"/>
        <v>0.59210463502053712</v>
      </c>
      <c r="G73" s="23">
        <f t="shared" si="42"/>
        <v>0.40904427940453947</v>
      </c>
      <c r="H73" s="23">
        <f t="shared" si="42"/>
        <v>0.22113426304196931</v>
      </c>
      <c r="I73" s="23">
        <f t="shared" si="42"/>
        <v>0.20163893023047638</v>
      </c>
      <c r="J73" s="23" t="str">
        <f t="shared" si="42"/>
        <v/>
      </c>
      <c r="L73" s="23">
        <f>IFERROR(+(L58+L60)/(L64+L65),"")</f>
        <v>0.54125600491487935</v>
      </c>
      <c r="M73" s="23">
        <f>IFERROR(+(M58+M60)/(M64+M65),"")</f>
        <v>0</v>
      </c>
      <c r="N73" s="23">
        <f>IFERROR(+(N58+N60)/(N64+N65),"")</f>
        <v>0.61952098354999863</v>
      </c>
      <c r="O73" s="23">
        <f>IFERROR(+(O58+O60)/(O64+O65),"")</f>
        <v>1.3762645737875969</v>
      </c>
      <c r="P73" s="23">
        <f>IFERROR(+(P58+P60)/(P64+P65),"")</f>
        <v>0.1344071350128124</v>
      </c>
      <c r="Q73" s="23">
        <v>5.3978374504260662</v>
      </c>
    </row>
    <row r="74" spans="1:17" s="23" customFormat="1" ht="15" x14ac:dyDescent="0.25">
      <c r="A74" s="24" t="s">
        <v>18</v>
      </c>
      <c r="B74" s="23">
        <f t="shared" ref="B74:J74" si="43">IFERROR(+B66,"")</f>
        <v>0</v>
      </c>
      <c r="C74" s="23">
        <f t="shared" si="43"/>
        <v>-408538</v>
      </c>
      <c r="D74" s="23">
        <f t="shared" si="43"/>
        <v>553315</v>
      </c>
      <c r="E74" s="23">
        <f t="shared" si="43"/>
        <v>-9494.6911599999985</v>
      </c>
      <c r="F74" s="23">
        <f t="shared" si="43"/>
        <v>-111945</v>
      </c>
      <c r="G74" s="23">
        <f t="shared" si="43"/>
        <v>5796.823629999999</v>
      </c>
      <c r="H74" s="23">
        <f t="shared" si="43"/>
        <v>-90882.689000000013</v>
      </c>
      <c r="I74" s="23">
        <f t="shared" si="43"/>
        <v>-2438.914859999999</v>
      </c>
      <c r="J74" s="23">
        <f t="shared" si="43"/>
        <v>0</v>
      </c>
      <c r="L74" s="23">
        <f>IFERROR(+L66,"")</f>
        <v>1016759</v>
      </c>
      <c r="M74" s="23">
        <f>IFERROR(+M66,"")</f>
        <v>-77301</v>
      </c>
      <c r="N74" s="23">
        <f>IFERROR(+N66,"")</f>
        <v>-6479.4590799999996</v>
      </c>
      <c r="O74" s="23">
        <f>IFERROR(+O66,"")</f>
        <v>104734</v>
      </c>
      <c r="P74" s="23">
        <f>IFERROR(+P66,"")</f>
        <v>-125978</v>
      </c>
      <c r="Q74" s="23">
        <v>847547.0695300001</v>
      </c>
    </row>
    <row r="75" spans="1:17" s="23" customFormat="1" ht="15" x14ac:dyDescent="0.25">
      <c r="A75" s="24" t="s">
        <v>17</v>
      </c>
      <c r="B75" s="23" t="str">
        <f t="shared" ref="B75:J75" si="44">IFERROR(((B64+B65))/B57,"")</f>
        <v/>
      </c>
      <c r="C75" s="23">
        <f t="shared" si="44"/>
        <v>1.0936956598519447</v>
      </c>
      <c r="D75" s="23">
        <f t="shared" si="44"/>
        <v>0.93697139652015904</v>
      </c>
      <c r="E75" s="23">
        <f t="shared" si="44"/>
        <v>3.3882040383803993</v>
      </c>
      <c r="F75" s="23">
        <f t="shared" si="44"/>
        <v>1.1196723642307433</v>
      </c>
      <c r="G75" s="23">
        <f t="shared" si="44"/>
        <v>0.88229143739648663</v>
      </c>
      <c r="H75" s="23">
        <f t="shared" si="44"/>
        <v>1.332599357650631</v>
      </c>
      <c r="I75" s="23">
        <f t="shared" si="44"/>
        <v>2.1593456479882223</v>
      </c>
      <c r="J75" s="23" t="str">
        <f t="shared" si="44"/>
        <v/>
      </c>
      <c r="L75" s="23">
        <f>IFERROR(((L64+L65))/L57,"")</f>
        <v>0.90566468902142472</v>
      </c>
      <c r="M75" s="23">
        <f>IFERROR(((M64+M65))/M57,"")</f>
        <v>32.06953376205788</v>
      </c>
      <c r="N75" s="23">
        <f>IFERROR(((N64+N65))/N57,"")</f>
        <v>1.070476230084155</v>
      </c>
      <c r="O75" s="23">
        <f>IFERROR(((O64+O65))/O57,"")</f>
        <v>0.7163601895734597</v>
      </c>
      <c r="P75" s="23">
        <f>IFERROR(((P64+P65))/P57,"")</f>
        <v>6.1913297894259696</v>
      </c>
      <c r="Q75" s="23">
        <v>51.866144562181475</v>
      </c>
    </row>
    <row r="76" spans="1:17" s="23" customFormat="1" ht="15" x14ac:dyDescent="0.25">
      <c r="A76" s="24" t="s">
        <v>16</v>
      </c>
      <c r="B76" s="23" t="str">
        <f t="shared" ref="B76:J76" si="45">IFERROR(B57/B66,"")</f>
        <v/>
      </c>
      <c r="C76" s="23">
        <f t="shared" si="45"/>
        <v>-10.672852953703206</v>
      </c>
      <c r="D76" s="23">
        <f t="shared" si="45"/>
        <v>15.865812421495892</v>
      </c>
      <c r="E76" s="23">
        <f t="shared" si="45"/>
        <v>-0.41872469183083999</v>
      </c>
      <c r="F76" s="23">
        <f t="shared" si="45"/>
        <v>-8.3561481084461118</v>
      </c>
      <c r="G76" s="23">
        <f t="shared" si="45"/>
        <v>8.495558673742158</v>
      </c>
      <c r="H76" s="23">
        <f t="shared" si="45"/>
        <v>-3.0066203586911913</v>
      </c>
      <c r="I76" s="23">
        <f t="shared" si="45"/>
        <v>-0.862555530126214</v>
      </c>
      <c r="J76" s="23" t="str">
        <f t="shared" si="45"/>
        <v/>
      </c>
      <c r="L76" s="23">
        <f>IFERROR(L57/L66,"")</f>
        <v>10.600484480589795</v>
      </c>
      <c r="M76" s="23">
        <f>IFERROR(M57/M66,"")</f>
        <v>-3.2185870816677661E-2</v>
      </c>
      <c r="N76" s="23">
        <f>IFERROR(N57/N66,"")</f>
        <v>-14.189181214799802</v>
      </c>
      <c r="O76" s="23">
        <f>IFERROR(O57/O66,"")</f>
        <v>3.5255981820612217</v>
      </c>
      <c r="P76" s="23">
        <f>IFERROR(P57/P66,"")</f>
        <v>-0.1926288717077585</v>
      </c>
      <c r="Q76" s="23">
        <v>0.75655615776726659</v>
      </c>
    </row>
    <row r="77" spans="1:17" s="23" customFormat="1" ht="15" x14ac:dyDescent="0.25">
      <c r="A77" s="24" t="s">
        <v>15</v>
      </c>
      <c r="B77" s="23" t="str">
        <f t="shared" ref="B77:J77" si="46">IFERROR(((B64+B65))/B66,"")</f>
        <v/>
      </c>
      <c r="C77" s="23">
        <f t="shared" si="46"/>
        <v>-11.672852953703206</v>
      </c>
      <c r="D77" s="23">
        <f t="shared" si="46"/>
        <v>14.865812421495892</v>
      </c>
      <c r="E77" s="23">
        <f t="shared" si="46"/>
        <v>-1.4187246918308403</v>
      </c>
      <c r="F77" s="23">
        <f t="shared" si="46"/>
        <v>-9.3561481084461118</v>
      </c>
      <c r="G77" s="23">
        <f t="shared" si="46"/>
        <v>7.495558673742158</v>
      </c>
      <c r="H77" s="23">
        <f t="shared" si="46"/>
        <v>-4.0066203586911913</v>
      </c>
      <c r="I77" s="23">
        <f t="shared" si="46"/>
        <v>-1.8625555301262142</v>
      </c>
      <c r="J77" s="23" t="str">
        <f t="shared" si="46"/>
        <v/>
      </c>
      <c r="L77" s="23">
        <f>IFERROR(((L64+L65))/L66,"")</f>
        <v>9.6004844805897953</v>
      </c>
      <c r="M77" s="23">
        <f>IFERROR(((M64+M65))/M66,"")</f>
        <v>-1.0321858708166776</v>
      </c>
      <c r="N77" s="23">
        <f>IFERROR(((N64+N65))/N66,"")</f>
        <v>-15.189181214799802</v>
      </c>
      <c r="O77" s="23">
        <f>IFERROR(((O64+O65))/O66,"")</f>
        <v>2.5255981820612217</v>
      </c>
      <c r="P77" s="23">
        <f>IFERROR(((P64+P65))/P66,"")</f>
        <v>-1.1926288717077584</v>
      </c>
      <c r="Q77" s="23">
        <v>-11.243443842232736</v>
      </c>
    </row>
    <row r="78" spans="1:17" s="23" customFormat="1" ht="15" x14ac:dyDescent="0.25">
      <c r="A78" s="24" t="s">
        <v>14</v>
      </c>
      <c r="B78" s="23" t="str">
        <f t="shared" ref="B78:J78" si="47">IFERROR((SUM(B64:B65))/(SUM(B67,B70)),"")</f>
        <v/>
      </c>
      <c r="C78" s="23">
        <f t="shared" si="47"/>
        <v>19.053951789802582</v>
      </c>
      <c r="D78" s="23">
        <f t="shared" si="47"/>
        <v>1.885927167767625</v>
      </c>
      <c r="E78" s="23">
        <f t="shared" si="47"/>
        <v>1.8708823319444445</v>
      </c>
      <c r="F78" s="23">
        <f t="shared" si="47"/>
        <v>1.1900638450901546</v>
      </c>
      <c r="G78" s="23">
        <f t="shared" si="47"/>
        <v>3.2224173927231194</v>
      </c>
      <c r="H78" s="23">
        <f t="shared" si="47"/>
        <v>1.8738293411329565</v>
      </c>
      <c r="I78" s="23">
        <f t="shared" si="47"/>
        <v>0.80044956274281298</v>
      </c>
      <c r="J78" s="23" t="str">
        <f t="shared" si="47"/>
        <v/>
      </c>
      <c r="L78" s="23">
        <f>IFERROR((SUM(L64:L65))/(SUM(L67,L70)),"")</f>
        <v>1.7998052944782732</v>
      </c>
      <c r="M78" s="23">
        <f>IFERROR((SUM(M64:M65))/(SUM(M67,M70)),"")</f>
        <v>0.47463505169357428</v>
      </c>
      <c r="N78" s="23">
        <f>IFERROR((SUM(N64:N65))/(SUM(N67,N70)),"")</f>
        <v>9.5490331317642916</v>
      </c>
      <c r="O78" s="23">
        <f>IFERROR((SUM(O64:O65))/(SUM(O67,O70)),"")</f>
        <v>1.8361388578449407</v>
      </c>
      <c r="P78" s="23">
        <f>IFERROR((SUM(P64:P65))/(SUM(P67,P70)),"")</f>
        <v>0.21533864113570728</v>
      </c>
      <c r="Q78" s="23">
        <v>43.772472408120485</v>
      </c>
    </row>
    <row r="79" spans="1:17" s="23" customFormat="1" ht="15" x14ac:dyDescent="0.25">
      <c r="A79" s="24" t="s">
        <v>49</v>
      </c>
      <c r="B79" s="23" t="str">
        <f t="shared" ref="B79:J79" si="48">IFERROR(B64/B66,"")</f>
        <v/>
      </c>
      <c r="C79" s="23">
        <f t="shared" si="48"/>
        <v>-5.6047417865657536</v>
      </c>
      <c r="D79" s="23">
        <f t="shared" si="48"/>
        <v>6.8377002466949204</v>
      </c>
      <c r="E79" s="23">
        <f t="shared" si="48"/>
        <v>-0.22316293645511273</v>
      </c>
      <c r="F79" s="23">
        <f t="shared" si="48"/>
        <v>-7.1449283130108538</v>
      </c>
      <c r="G79" s="23">
        <f t="shared" si="48"/>
        <v>0.97306800241566105</v>
      </c>
      <c r="H79" s="23">
        <f t="shared" si="48"/>
        <v>-1.8485004443475475</v>
      </c>
      <c r="I79" s="23">
        <f t="shared" si="48"/>
        <v>-0.78045518161302307</v>
      </c>
      <c r="J79" s="23" t="str">
        <f t="shared" si="48"/>
        <v/>
      </c>
      <c r="L79" s="23">
        <f>IFERROR(L64/L66,"")</f>
        <v>5.2934087625484505</v>
      </c>
      <c r="M79" s="23">
        <f>IFERROR(M64/M66,"")</f>
        <v>-0.60428713729447225</v>
      </c>
      <c r="N79" s="23">
        <f>IFERROR(N64/N66,"")</f>
        <v>-7.5824765143821233</v>
      </c>
      <c r="O79" s="23">
        <f>IFERROR(O64/O66,"")</f>
        <v>1.952995206905112</v>
      </c>
      <c r="P79" s="23">
        <f>IFERROR(P64/P66,"")</f>
        <v>-0.64942291511216244</v>
      </c>
      <c r="Q79" s="23">
        <v>-9.3808030102169049</v>
      </c>
    </row>
    <row r="80" spans="1:17" s="23" customFormat="1" ht="15" x14ac:dyDescent="0.25">
      <c r="A80" s="24" t="s">
        <v>48</v>
      </c>
      <c r="B80" s="23" t="str">
        <f t="shared" ref="B80:J80" si="49">IFERROR((B64+B65)/B66,"")</f>
        <v/>
      </c>
      <c r="C80" s="23">
        <f t="shared" si="49"/>
        <v>-11.672852953703206</v>
      </c>
      <c r="D80" s="23">
        <f t="shared" si="49"/>
        <v>14.865812421495892</v>
      </c>
      <c r="E80" s="23">
        <f t="shared" si="49"/>
        <v>-1.4187246918308403</v>
      </c>
      <c r="F80" s="23">
        <f t="shared" si="49"/>
        <v>-9.3561481084461118</v>
      </c>
      <c r="G80" s="23">
        <f t="shared" si="49"/>
        <v>7.495558673742158</v>
      </c>
      <c r="H80" s="23">
        <f t="shared" si="49"/>
        <v>-4.0066203586911913</v>
      </c>
      <c r="I80" s="23">
        <f t="shared" si="49"/>
        <v>-1.8625555301262142</v>
      </c>
      <c r="J80" s="23" t="str">
        <f t="shared" si="49"/>
        <v/>
      </c>
      <c r="L80" s="23">
        <f>IFERROR((L64+L65)/L66,"")</f>
        <v>9.6004844805897953</v>
      </c>
      <c r="M80" s="23">
        <f>IFERROR((M64+M65)/M66,"")</f>
        <v>-1.0321858708166776</v>
      </c>
      <c r="N80" s="23">
        <f>IFERROR((N64+N65)/N66,"")</f>
        <v>-15.189181214799802</v>
      </c>
      <c r="O80" s="23">
        <f>IFERROR((O64+O65)/O66,"")</f>
        <v>2.5255981820612217</v>
      </c>
      <c r="P80" s="23">
        <f>IFERROR((P64+P65)/P66,"")</f>
        <v>-1.1926288717077584</v>
      </c>
      <c r="Q80" s="23">
        <v>-11.243443842232736</v>
      </c>
    </row>
    <row r="81" spans="1:17" x14ac:dyDescent="0.2">
      <c r="H81" s="42"/>
    </row>
    <row r="82" spans="1:17" ht="15" x14ac:dyDescent="0.2">
      <c r="A82" s="49" t="s">
        <v>78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21"/>
      <c r="N82" s="21"/>
      <c r="O82" s="21"/>
      <c r="P82" s="21"/>
      <c r="Q82" s="46">
        <v>1000</v>
      </c>
    </row>
    <row r="83" spans="1:17" ht="15" x14ac:dyDescent="0.25">
      <c r="A83" s="27" t="s">
        <v>46</v>
      </c>
      <c r="B83" s="26" t="s">
        <v>79</v>
      </c>
      <c r="C83" s="26" t="s">
        <v>66</v>
      </c>
      <c r="D83" s="26" t="s">
        <v>67</v>
      </c>
      <c r="E83" s="26" t="s">
        <v>80</v>
      </c>
      <c r="F83" s="26" t="s">
        <v>69</v>
      </c>
      <c r="G83" s="26" t="s">
        <v>70</v>
      </c>
      <c r="H83" s="26" t="s">
        <v>71</v>
      </c>
      <c r="I83" s="26" t="s">
        <v>72</v>
      </c>
      <c r="J83" s="26" t="s">
        <v>73</v>
      </c>
      <c r="K83" s="26" t="s">
        <v>74</v>
      </c>
      <c r="L83" s="26" t="s">
        <v>13</v>
      </c>
      <c r="M83" s="26" t="s">
        <v>75</v>
      </c>
      <c r="N83" s="26" t="s">
        <v>45</v>
      </c>
      <c r="O83" s="26" t="s">
        <v>77</v>
      </c>
      <c r="P83" s="26" t="s">
        <v>81</v>
      </c>
      <c r="Q83" s="26" t="s">
        <v>65</v>
      </c>
    </row>
    <row r="84" spans="1:17" s="17" customFormat="1" ht="15" x14ac:dyDescent="0.25">
      <c r="A84" s="33" t="s">
        <v>32</v>
      </c>
      <c r="B84" s="17">
        <f t="shared" ref="B84:P84" si="50">B85+B86</f>
        <v>1453.3049099999998</v>
      </c>
      <c r="C84" s="17">
        <f t="shared" si="50"/>
        <v>4494637</v>
      </c>
      <c r="D84" s="17">
        <f t="shared" si="50"/>
        <v>8182901</v>
      </c>
      <c r="E84" s="17">
        <f t="shared" si="50"/>
        <v>3883.9325600000002</v>
      </c>
      <c r="F84" s="17">
        <f t="shared" si="50"/>
        <v>1027403</v>
      </c>
      <c r="G84" s="17">
        <f t="shared" si="50"/>
        <v>57903.26958</v>
      </c>
      <c r="H84" s="17">
        <f t="shared" si="50"/>
        <v>0</v>
      </c>
      <c r="I84" s="17">
        <f t="shared" si="50"/>
        <v>0</v>
      </c>
      <c r="J84" s="17">
        <f t="shared" si="50"/>
        <v>37135.04808</v>
      </c>
      <c r="K84" s="17">
        <f t="shared" si="50"/>
        <v>11138.71717</v>
      </c>
      <c r="L84" s="17">
        <f t="shared" si="50"/>
        <v>10044169</v>
      </c>
      <c r="M84" s="17">
        <f t="shared" si="50"/>
        <v>0</v>
      </c>
      <c r="N84" s="17">
        <f t="shared" si="50"/>
        <v>97962.175130000003</v>
      </c>
      <c r="O84" s="17">
        <f t="shared" si="50"/>
        <v>416944</v>
      </c>
      <c r="P84" s="9">
        <f t="shared" si="50"/>
        <v>24933</v>
      </c>
      <c r="Q84" s="17">
        <v>24558581.731699996</v>
      </c>
    </row>
    <row r="85" spans="1:17" s="9" customFormat="1" x14ac:dyDescent="0.2">
      <c r="A85" s="32" t="s">
        <v>31</v>
      </c>
      <c r="B85" s="9">
        <f>1412683.88/1000</f>
        <v>1412.6838799999998</v>
      </c>
      <c r="C85" s="9">
        <f>1800222</f>
        <v>1800222</v>
      </c>
      <c r="D85" s="9">
        <f>2277707</f>
        <v>2277707</v>
      </c>
      <c r="E85" s="9">
        <f>2236403.55/1000</f>
        <v>2236.40355</v>
      </c>
      <c r="F85" s="9">
        <f>479657</f>
        <v>479657</v>
      </c>
      <c r="G85" s="9">
        <f>30668183.99/1000</f>
        <v>30668.183989999998</v>
      </c>
      <c r="J85" s="9">
        <f>12058496.46/1000</f>
        <v>12058.49646</v>
      </c>
      <c r="K85" s="9">
        <f>74253.33/1000</f>
        <v>74.253330000000005</v>
      </c>
      <c r="L85" s="9">
        <v>3395320</v>
      </c>
      <c r="N85" s="9">
        <f>60852613.36/1000</f>
        <v>60852.613360000003</v>
      </c>
      <c r="O85" s="9">
        <v>397758</v>
      </c>
      <c r="P85" s="9">
        <f>7817</f>
        <v>7817</v>
      </c>
      <c r="Q85" s="9">
        <v>8521613.4032800011</v>
      </c>
    </row>
    <row r="86" spans="1:17" s="9" customFormat="1" x14ac:dyDescent="0.2">
      <c r="A86" s="32" t="s">
        <v>30</v>
      </c>
      <c r="B86" s="9">
        <f t="shared" ref="B86:P86" si="51">SUM(B87:B89)</f>
        <v>40.621029999999998</v>
      </c>
      <c r="C86" s="9">
        <f t="shared" si="51"/>
        <v>2694415</v>
      </c>
      <c r="D86" s="9">
        <f t="shared" si="51"/>
        <v>5905194</v>
      </c>
      <c r="E86" s="9">
        <f t="shared" si="51"/>
        <v>1647.5290100000002</v>
      </c>
      <c r="F86" s="9">
        <f t="shared" si="51"/>
        <v>547746</v>
      </c>
      <c r="G86" s="9">
        <f t="shared" si="51"/>
        <v>27235.085590000002</v>
      </c>
      <c r="H86" s="9">
        <f t="shared" si="51"/>
        <v>0</v>
      </c>
      <c r="I86" s="9">
        <f t="shared" si="51"/>
        <v>0</v>
      </c>
      <c r="J86" s="9">
        <f t="shared" si="51"/>
        <v>25076.551619999998</v>
      </c>
      <c r="K86" s="9">
        <f t="shared" si="51"/>
        <v>11064.46384</v>
      </c>
      <c r="L86" s="9">
        <f t="shared" si="51"/>
        <v>6648849</v>
      </c>
      <c r="M86" s="9">
        <f t="shared" si="51"/>
        <v>0</v>
      </c>
      <c r="N86" s="9">
        <f t="shared" si="51"/>
        <v>37109.56177</v>
      </c>
      <c r="O86" s="9">
        <f t="shared" si="51"/>
        <v>19186</v>
      </c>
      <c r="P86" s="9">
        <f t="shared" si="51"/>
        <v>17116</v>
      </c>
      <c r="Q86" s="9">
        <v>16036968.328419996</v>
      </c>
    </row>
    <row r="87" spans="1:17" s="9" customFormat="1" x14ac:dyDescent="0.2">
      <c r="A87" s="32" t="s">
        <v>29</v>
      </c>
      <c r="C87" s="9">
        <f>(50736+762180+148544+86073+48350)</f>
        <v>1095883</v>
      </c>
      <c r="D87" s="9">
        <f>765552+251226+38814+501088+23307+181433</f>
        <v>1761420</v>
      </c>
      <c r="E87" s="9">
        <f>1089154.6/1000</f>
        <v>1089.1546000000001</v>
      </c>
      <c r="F87" s="9">
        <f>99101+127772+9547</f>
        <v>236420</v>
      </c>
      <c r="G87" s="9">
        <f>15646979.35/1000</f>
        <v>15646.97935</v>
      </c>
      <c r="J87" s="9">
        <f>495193.6/1000</f>
        <v>495.1936</v>
      </c>
      <c r="K87" s="9">
        <f>4890248.07/1000</f>
        <v>4890.2480700000006</v>
      </c>
      <c r="L87" s="9">
        <f>1586270</f>
        <v>1586270</v>
      </c>
      <c r="N87" s="9">
        <f>3290246.8/1000</f>
        <v>3290.2467999999999</v>
      </c>
      <c r="O87" s="9">
        <f>12923+447+983</f>
        <v>14353</v>
      </c>
      <c r="P87" s="9">
        <f>17116</f>
        <v>17116</v>
      </c>
      <c r="Q87" s="9">
        <v>4806363.1362999994</v>
      </c>
    </row>
    <row r="88" spans="1:17" s="9" customFormat="1" x14ac:dyDescent="0.2">
      <c r="A88" s="32" t="s">
        <v>28</v>
      </c>
      <c r="B88" s="9">
        <f>40621.03/1000</f>
        <v>40.621029999999998</v>
      </c>
      <c r="C88" s="9">
        <f>(1488887+109645)</f>
        <v>1598532</v>
      </c>
      <c r="D88" s="9">
        <f>202917+2734567+1206290</f>
        <v>4143774</v>
      </c>
      <c r="E88" s="9">
        <f>(254869.79+821968.01-526084.72+7621.33)/1000</f>
        <v>558.37441000000001</v>
      </c>
      <c r="F88" s="9">
        <f>287039+24287</f>
        <v>311326</v>
      </c>
      <c r="G88" s="9">
        <f>11588106.24/1000</f>
        <v>11588.106240000001</v>
      </c>
      <c r="J88" s="9">
        <f>24560897.65/1000</f>
        <v>24560.897649999999</v>
      </c>
      <c r="K88" s="9">
        <f>6174215.77/1000</f>
        <v>6174.2157699999998</v>
      </c>
      <c r="L88" s="9">
        <f>801035+3933693+327851</f>
        <v>5062579</v>
      </c>
      <c r="N88" s="9">
        <f>(6915514.52+26903800.45)/1000</f>
        <v>33819.314969999999</v>
      </c>
      <c r="O88" s="9">
        <v>4833</v>
      </c>
      <c r="Q88" s="9">
        <v>11230584.731749998</v>
      </c>
    </row>
    <row r="89" spans="1:17" s="9" customFormat="1" x14ac:dyDescent="0.2">
      <c r="A89" s="32" t="s">
        <v>21</v>
      </c>
      <c r="J89" s="9">
        <f>20460.37/1000</f>
        <v>20.460369999999998</v>
      </c>
      <c r="Q89" s="9">
        <v>20.460369999999998</v>
      </c>
    </row>
    <row r="90" spans="1:17" s="17" customFormat="1" ht="15" x14ac:dyDescent="0.25">
      <c r="A90" s="33" t="s">
        <v>27</v>
      </c>
      <c r="B90" s="17">
        <f t="shared" ref="B90:P90" si="52">B91+B92+B93</f>
        <v>1453.3049100000001</v>
      </c>
      <c r="C90" s="17">
        <f t="shared" si="52"/>
        <v>4494637</v>
      </c>
      <c r="D90" s="17">
        <f t="shared" si="52"/>
        <v>8182901</v>
      </c>
      <c r="E90" s="17">
        <f t="shared" si="52"/>
        <v>3883.9325599999993</v>
      </c>
      <c r="F90" s="17">
        <f t="shared" si="52"/>
        <v>1027403</v>
      </c>
      <c r="G90" s="17">
        <f t="shared" si="52"/>
        <v>57903.26958</v>
      </c>
      <c r="H90" s="17">
        <f t="shared" si="52"/>
        <v>0</v>
      </c>
      <c r="I90" s="17">
        <f t="shared" si="52"/>
        <v>0</v>
      </c>
      <c r="J90" s="17">
        <f t="shared" si="52"/>
        <v>37135.04808</v>
      </c>
      <c r="K90" s="17">
        <f t="shared" si="52"/>
        <v>11138.717170000002</v>
      </c>
      <c r="L90" s="17">
        <f t="shared" si="52"/>
        <v>10044169</v>
      </c>
      <c r="M90" s="17">
        <f t="shared" si="52"/>
        <v>0</v>
      </c>
      <c r="N90" s="17">
        <f t="shared" si="52"/>
        <v>97962.175130000003</v>
      </c>
      <c r="O90" s="17">
        <f t="shared" si="52"/>
        <v>416944</v>
      </c>
      <c r="P90" s="9">
        <f t="shared" si="52"/>
        <v>24933</v>
      </c>
      <c r="Q90" s="17">
        <v>24558581.731699999</v>
      </c>
    </row>
    <row r="91" spans="1:17" s="9" customFormat="1" x14ac:dyDescent="0.2">
      <c r="A91" s="32" t="s">
        <v>26</v>
      </c>
      <c r="B91" s="9">
        <f>201151.66/1000</f>
        <v>201.15165999999999</v>
      </c>
      <c r="C91" s="9">
        <f>2543868</f>
        <v>2543868</v>
      </c>
      <c r="D91" s="9">
        <f>3917562</f>
        <v>3917562</v>
      </c>
      <c r="E91" s="9">
        <f>2424620.23/1000</f>
        <v>2424.62023</v>
      </c>
      <c r="F91" s="9">
        <f>829778</f>
        <v>829778</v>
      </c>
      <c r="G91" s="9">
        <f>8934600.32/1000</f>
        <v>8934.6003199999996</v>
      </c>
      <c r="J91" s="9">
        <f>24738151/1000</f>
        <v>24738.151000000002</v>
      </c>
      <c r="K91" s="9">
        <f>914247.75/1000</f>
        <v>914.24775</v>
      </c>
      <c r="L91" s="9">
        <f>4964864</f>
        <v>4964864</v>
      </c>
      <c r="M91" s="9">
        <f>58539</f>
        <v>58539</v>
      </c>
      <c r="N91" s="9">
        <f>55068590.24/1000</f>
        <v>55068.590240000005</v>
      </c>
      <c r="O91" s="9">
        <v>263702</v>
      </c>
      <c r="P91" s="9">
        <f>20343</f>
        <v>20343</v>
      </c>
      <c r="Q91" s="9">
        <v>12757513.86029</v>
      </c>
    </row>
    <row r="92" spans="1:17" s="9" customFormat="1" x14ac:dyDescent="0.2">
      <c r="A92" s="32" t="s">
        <v>25</v>
      </c>
      <c r="C92" s="9">
        <f>2246808</f>
        <v>2246808</v>
      </c>
      <c r="D92" s="9">
        <f>4301541</f>
        <v>4301541</v>
      </c>
      <c r="E92" s="9">
        <f>11563156.35/1000</f>
        <v>11563.156349999999</v>
      </c>
      <c r="F92" s="9">
        <f>182264</f>
        <v>182264</v>
      </c>
      <c r="G92" s="9">
        <f>35860314.63/1000</f>
        <v>35860.314630000001</v>
      </c>
      <c r="J92" s="9">
        <f>10721289.82/1000</f>
        <v>10721.28982</v>
      </c>
      <c r="K92" s="9">
        <f>15786771.53/1000</f>
        <v>15786.77153</v>
      </c>
      <c r="L92" s="9">
        <f>4251115</f>
        <v>4251115</v>
      </c>
      <c r="M92" s="9">
        <f>18999</f>
        <v>18999</v>
      </c>
      <c r="N92" s="9">
        <f>35823902.36/1000</f>
        <v>35823.90236</v>
      </c>
      <c r="O92" s="9">
        <v>38166</v>
      </c>
      <c r="P92" s="9">
        <f>119085</f>
        <v>119085</v>
      </c>
      <c r="Q92" s="9">
        <v>11391098.791389998</v>
      </c>
    </row>
    <row r="93" spans="1:17" s="17" customFormat="1" ht="15" x14ac:dyDescent="0.25">
      <c r="A93" s="33" t="s">
        <v>24</v>
      </c>
      <c r="B93" s="17">
        <f t="shared" ref="B93:P93" si="53">SUM(B94:B97)</f>
        <v>1252.1532500000001</v>
      </c>
      <c r="C93" s="17">
        <f t="shared" si="53"/>
        <v>-296039</v>
      </c>
      <c r="D93" s="17">
        <f t="shared" si="53"/>
        <v>-36202</v>
      </c>
      <c r="E93" s="17">
        <f t="shared" si="53"/>
        <v>-10103.84402</v>
      </c>
      <c r="F93" s="17">
        <f t="shared" si="53"/>
        <v>15361</v>
      </c>
      <c r="G93" s="17">
        <f t="shared" si="53"/>
        <v>13108.35463</v>
      </c>
      <c r="H93" s="17">
        <f t="shared" si="53"/>
        <v>0</v>
      </c>
      <c r="I93" s="17">
        <f t="shared" si="53"/>
        <v>0</v>
      </c>
      <c r="J93" s="17">
        <f t="shared" si="53"/>
        <v>1675.6072599999998</v>
      </c>
      <c r="K93" s="17">
        <f t="shared" si="53"/>
        <v>-5562.3021099999987</v>
      </c>
      <c r="L93" s="17">
        <f t="shared" si="53"/>
        <v>828190</v>
      </c>
      <c r="M93" s="17">
        <f t="shared" si="53"/>
        <v>-77538</v>
      </c>
      <c r="N93" s="17">
        <f t="shared" si="53"/>
        <v>7069.68253</v>
      </c>
      <c r="O93" s="17">
        <f t="shared" si="53"/>
        <v>115076</v>
      </c>
      <c r="P93" s="9">
        <f t="shared" si="53"/>
        <v>-114495</v>
      </c>
      <c r="Q93" s="17">
        <v>409969.08001999999</v>
      </c>
    </row>
    <row r="94" spans="1:17" s="9" customFormat="1" x14ac:dyDescent="0.2">
      <c r="A94" s="32" t="s">
        <v>23</v>
      </c>
      <c r="B94" s="9">
        <f>1558803/1000</f>
        <v>1558.8030000000001</v>
      </c>
      <c r="C94" s="9">
        <f>260810</f>
        <v>260810</v>
      </c>
      <c r="D94" s="9">
        <v>3343381</v>
      </c>
      <c r="E94" s="9">
        <f>7200000/1000</f>
        <v>7200</v>
      </c>
      <c r="F94" s="9">
        <f>880099</f>
        <v>880099</v>
      </c>
      <c r="G94" s="9">
        <f>(13500000-1807804.1)/1000</f>
        <v>11692.195900000001</v>
      </c>
      <c r="J94" s="9">
        <f>3000000/1000</f>
        <v>3000</v>
      </c>
      <c r="K94" s="9">
        <f>3000000/1000</f>
        <v>3000</v>
      </c>
      <c r="L94" s="9">
        <f>4636665</f>
        <v>4636665</v>
      </c>
      <c r="M94" s="9">
        <f>84166</f>
        <v>84166</v>
      </c>
      <c r="N94" s="9">
        <f>6000000/1000</f>
        <v>6000</v>
      </c>
      <c r="O94" s="9">
        <f>4061</f>
        <v>4061</v>
      </c>
      <c r="P94" s="9">
        <f>714633</f>
        <v>714633</v>
      </c>
      <c r="Q94" s="9">
        <v>9991987.5568999983</v>
      </c>
    </row>
    <row r="95" spans="1:17" s="9" customFormat="1" x14ac:dyDescent="0.2">
      <c r="A95" s="32" t="s">
        <v>50</v>
      </c>
      <c r="B95" s="9">
        <f>-314706.62/1000</f>
        <v>-314.70661999999999</v>
      </c>
      <c r="C95" s="9">
        <f>-547142</f>
        <v>-547142</v>
      </c>
      <c r="D95" s="9">
        <v>-4355030</v>
      </c>
      <c r="E95" s="9">
        <f>-17303844.02/1000</f>
        <v>-17303.84402</v>
      </c>
      <c r="F95" s="9">
        <v>-894230</v>
      </c>
      <c r="G95" s="9">
        <f>-6367964.23/1000</f>
        <v>-6367.9642300000005</v>
      </c>
      <c r="K95" s="9">
        <f>-8562302.11/1000</f>
        <v>-8562.3021099999987</v>
      </c>
      <c r="L95" s="9">
        <v>-4666051</v>
      </c>
      <c r="M95" s="9">
        <v>-245644</v>
      </c>
      <c r="N95" s="9">
        <f>-9455112.33/1000</f>
        <v>-9455.1123299999999</v>
      </c>
      <c r="O95" s="9">
        <v>-29071</v>
      </c>
      <c r="P95" s="9">
        <v>-829128</v>
      </c>
      <c r="Q95" s="9">
        <v>-11675845.05883</v>
      </c>
    </row>
    <row r="96" spans="1:17" s="9" customFormat="1" x14ac:dyDescent="0.2">
      <c r="A96" s="32" t="s">
        <v>22</v>
      </c>
      <c r="G96" s="9">
        <f>7784122.96/1000</f>
        <v>7784.1229599999997</v>
      </c>
      <c r="J96" s="9">
        <f>-5015712.07/1000</f>
        <v>-5015.7120700000005</v>
      </c>
      <c r="N96" s="9">
        <f>10524794.86/1000</f>
        <v>10524.79486</v>
      </c>
      <c r="Q96" s="9">
        <v>13293.205749999999</v>
      </c>
    </row>
    <row r="97" spans="1:17" s="9" customFormat="1" x14ac:dyDescent="0.2">
      <c r="A97" s="32" t="s">
        <v>21</v>
      </c>
      <c r="B97" s="9">
        <f>(0.82+8056.05)/1000</f>
        <v>8.05687</v>
      </c>
      <c r="C97" s="9">
        <f>(18272-27979)</f>
        <v>-9707</v>
      </c>
      <c r="D97" s="9">
        <f>1114159-138712</f>
        <v>975447</v>
      </c>
      <c r="F97" s="9">
        <f>29492</f>
        <v>29492</v>
      </c>
      <c r="J97" s="9">
        <f>(3670858.96+20460.37)/1000</f>
        <v>3691.3193300000003</v>
      </c>
      <c r="L97" s="9">
        <f>756325+101251</f>
        <v>857576</v>
      </c>
      <c r="M97" s="9">
        <f>83940</f>
        <v>83940</v>
      </c>
      <c r="O97" s="9">
        <f>140000+86</f>
        <v>140086</v>
      </c>
      <c r="Q97" s="9">
        <v>2080533.3761999998</v>
      </c>
    </row>
    <row r="98" spans="1:17" s="4" customFormat="1" x14ac:dyDescent="0.2">
      <c r="A98" s="47"/>
    </row>
    <row r="99" spans="1:17" s="23" customFormat="1" ht="15" x14ac:dyDescent="0.25">
      <c r="A99" s="24" t="s">
        <v>20</v>
      </c>
      <c r="B99" s="23">
        <f t="shared" ref="B99:M99" si="54">IFERROR(+B85/B91,"")</f>
        <v>7.0229789801386673</v>
      </c>
      <c r="C99" s="23">
        <f t="shared" si="54"/>
        <v>0.70767115274849168</v>
      </c>
      <c r="D99" s="23">
        <f t="shared" si="54"/>
        <v>0.5814093050728999</v>
      </c>
      <c r="E99" s="23">
        <f t="shared" si="54"/>
        <v>0.92237271731416681</v>
      </c>
      <c r="F99" s="23">
        <f t="shared" si="54"/>
        <v>0.57805461219747933</v>
      </c>
      <c r="G99" s="23">
        <f t="shared" si="54"/>
        <v>3.4325188471329402</v>
      </c>
      <c r="H99" s="23" t="str">
        <f t="shared" si="54"/>
        <v/>
      </c>
      <c r="I99" s="23" t="str">
        <f t="shared" si="54"/>
        <v/>
      </c>
      <c r="J99" s="23">
        <f t="shared" si="54"/>
        <v>0.4874453414080947</v>
      </c>
      <c r="K99" s="23">
        <f t="shared" si="54"/>
        <v>8.121795213605941E-2</v>
      </c>
      <c r="L99" s="23">
        <f t="shared" si="54"/>
        <v>0.68386968907909662</v>
      </c>
      <c r="M99" s="23">
        <f t="shared" si="54"/>
        <v>0</v>
      </c>
      <c r="N99" s="23">
        <f>IFERROR(+N85/N91,"")</f>
        <v>1.1050330704815952</v>
      </c>
      <c r="O99" s="23">
        <f>IFERROR(+O85/O91,"")</f>
        <v>1.5083617113256631</v>
      </c>
      <c r="P99" s="23">
        <f>IFERROR(+P85/P91,"")</f>
        <v>0.38425994199478936</v>
      </c>
      <c r="Q99" s="23">
        <v>0.66796818695255489</v>
      </c>
    </row>
    <row r="100" spans="1:17" s="23" customFormat="1" ht="15" x14ac:dyDescent="0.25">
      <c r="A100" s="24" t="s">
        <v>19</v>
      </c>
      <c r="B100" s="23">
        <f t="shared" ref="B100:M100" si="55">IFERROR(+(B85+B87)/(B91+B92),"")</f>
        <v>7.0229789801386673</v>
      </c>
      <c r="C100" s="23">
        <f t="shared" si="55"/>
        <v>0.60452950690048757</v>
      </c>
      <c r="D100" s="23">
        <f t="shared" si="55"/>
        <v>0.49143160756106841</v>
      </c>
      <c r="E100" s="23">
        <f t="shared" si="55"/>
        <v>0.23774744549144064</v>
      </c>
      <c r="F100" s="23">
        <f t="shared" si="55"/>
        <v>0.70755660338207305</v>
      </c>
      <c r="G100" s="23">
        <f t="shared" si="55"/>
        <v>1.033937967996968</v>
      </c>
      <c r="H100" s="23" t="str">
        <f t="shared" si="55"/>
        <v/>
      </c>
      <c r="I100" s="23" t="str">
        <f t="shared" si="55"/>
        <v/>
      </c>
      <c r="J100" s="23">
        <f t="shared" si="55"/>
        <v>0.35402955516770046</v>
      </c>
      <c r="K100" s="23">
        <f t="shared" si="55"/>
        <v>0.29725738990943795</v>
      </c>
      <c r="L100" s="23">
        <f t="shared" si="55"/>
        <v>0.54053834107043863</v>
      </c>
      <c r="M100" s="23">
        <f t="shared" si="55"/>
        <v>0</v>
      </c>
      <c r="N100" s="23">
        <f>IFERROR(+(N85+N87)/(N91+N92),"")</f>
        <v>0.7057003095104909</v>
      </c>
      <c r="O100" s="23">
        <f>IFERROR(+(O85+O87)/(O91+O92),"")</f>
        <v>1.3652026713662926</v>
      </c>
      <c r="P100" s="23">
        <f>IFERROR(+(P85+P87)/(P91+P92),"")</f>
        <v>0.17882347878474911</v>
      </c>
      <c r="Q100" s="23">
        <v>0.55191479244886488</v>
      </c>
    </row>
    <row r="101" spans="1:17" s="23" customFormat="1" ht="15" x14ac:dyDescent="0.25">
      <c r="A101" s="24" t="s">
        <v>18</v>
      </c>
      <c r="B101" s="23">
        <f t="shared" ref="B101:M101" si="56">IFERROR(+B93,"")</f>
        <v>1252.1532500000001</v>
      </c>
      <c r="C101" s="23">
        <f t="shared" si="56"/>
        <v>-296039</v>
      </c>
      <c r="D101" s="23">
        <f t="shared" si="56"/>
        <v>-36202</v>
      </c>
      <c r="E101" s="23">
        <f t="shared" si="56"/>
        <v>-10103.84402</v>
      </c>
      <c r="F101" s="23">
        <f t="shared" si="56"/>
        <v>15361</v>
      </c>
      <c r="G101" s="23">
        <f t="shared" si="56"/>
        <v>13108.35463</v>
      </c>
      <c r="H101" s="23">
        <f t="shared" si="56"/>
        <v>0</v>
      </c>
      <c r="I101" s="23">
        <f t="shared" si="56"/>
        <v>0</v>
      </c>
      <c r="J101" s="23">
        <f t="shared" si="56"/>
        <v>1675.6072599999998</v>
      </c>
      <c r="K101" s="23">
        <f t="shared" si="56"/>
        <v>-5562.3021099999987</v>
      </c>
      <c r="L101" s="23">
        <f t="shared" si="56"/>
        <v>828190</v>
      </c>
      <c r="M101" s="23">
        <f t="shared" si="56"/>
        <v>-77538</v>
      </c>
      <c r="N101" s="23">
        <f>IFERROR(+N93,"")</f>
        <v>7069.68253</v>
      </c>
      <c r="O101" s="23">
        <f>IFERROR(+O93,"")</f>
        <v>115076</v>
      </c>
      <c r="P101" s="23">
        <f>IFERROR(+P93,"")</f>
        <v>-114495</v>
      </c>
      <c r="Q101" s="23">
        <v>409969.08001999999</v>
      </c>
    </row>
    <row r="102" spans="1:17" s="23" customFormat="1" ht="15" x14ac:dyDescent="0.25">
      <c r="A102" s="24" t="s">
        <v>17</v>
      </c>
      <c r="B102" s="23">
        <f t="shared" ref="B102:M102" si="57">IFERROR(((B91+B92))/B84,"")</f>
        <v>0.13840981243227204</v>
      </c>
      <c r="C102" s="23">
        <f t="shared" si="57"/>
        <v>1.0658649408172451</v>
      </c>
      <c r="D102" s="23">
        <f t="shared" si="57"/>
        <v>1.0044241033833845</v>
      </c>
      <c r="E102" s="23">
        <f t="shared" si="57"/>
        <v>3.6014468232682182</v>
      </c>
      <c r="F102" s="23">
        <f t="shared" si="57"/>
        <v>0.9850487101945391</v>
      </c>
      <c r="G102" s="23">
        <f t="shared" si="57"/>
        <v>0.7736163307343239</v>
      </c>
      <c r="H102" s="23" t="str">
        <f t="shared" si="57"/>
        <v/>
      </c>
      <c r="I102" s="23" t="str">
        <f t="shared" si="57"/>
        <v/>
      </c>
      <c r="J102" s="23">
        <f t="shared" si="57"/>
        <v>0.95487801021853436</v>
      </c>
      <c r="K102" s="23">
        <f t="shared" si="57"/>
        <v>1.4993664912312339</v>
      </c>
      <c r="L102" s="23">
        <f t="shared" si="57"/>
        <v>0.91754519462983941</v>
      </c>
      <c r="M102" s="23" t="str">
        <f t="shared" si="57"/>
        <v/>
      </c>
      <c r="N102" s="23">
        <f>IFERROR(((N91+N92))/N84,"")</f>
        <v>0.92783252800769034</v>
      </c>
      <c r="O102" s="23">
        <f>IFERROR(((O91+O92))/O84,"")</f>
        <v>0.72400130473157065</v>
      </c>
      <c r="P102" s="23">
        <f>IFERROR(((P91+P92))/P84,"")</f>
        <v>5.5921068463482131</v>
      </c>
      <c r="Q102" s="23">
        <v>0.98330648388010078</v>
      </c>
    </row>
    <row r="103" spans="1:17" s="23" customFormat="1" ht="15" x14ac:dyDescent="0.25">
      <c r="A103" s="24" t="s">
        <v>16</v>
      </c>
      <c r="B103" s="23">
        <f t="shared" ref="B103:M103" si="58">IFERROR(B84/B93,"")</f>
        <v>1.1606446016092677</v>
      </c>
      <c r="C103" s="23">
        <f t="shared" si="58"/>
        <v>-15.182584051425657</v>
      </c>
      <c r="D103" s="23">
        <f t="shared" si="58"/>
        <v>-226.03450085630629</v>
      </c>
      <c r="E103" s="23">
        <f t="shared" si="58"/>
        <v>-0.38440147653823342</v>
      </c>
      <c r="F103" s="23">
        <f t="shared" si="58"/>
        <v>66.883861727752105</v>
      </c>
      <c r="G103" s="23">
        <f t="shared" si="58"/>
        <v>4.4172797589318806</v>
      </c>
      <c r="H103" s="23" t="str">
        <f t="shared" si="58"/>
        <v/>
      </c>
      <c r="I103" s="23" t="str">
        <f t="shared" si="58"/>
        <v/>
      </c>
      <c r="J103" s="23">
        <f t="shared" si="58"/>
        <v>22.162143222034025</v>
      </c>
      <c r="K103" s="23">
        <f t="shared" si="58"/>
        <v>-2.0025372498150773</v>
      </c>
      <c r="L103" s="23">
        <f t="shared" si="58"/>
        <v>12.127855926780086</v>
      </c>
      <c r="M103" s="23">
        <f t="shared" si="58"/>
        <v>0</v>
      </c>
      <c r="N103" s="23">
        <f>IFERROR(N84/N93,"")</f>
        <v>13.8566583031558</v>
      </c>
      <c r="O103" s="23">
        <f>IFERROR(O84/O93,"")</f>
        <v>3.6232055337342279</v>
      </c>
      <c r="P103" s="23">
        <f>IFERROR(P84/P93,"")</f>
        <v>-0.2177649679025285</v>
      </c>
      <c r="Q103" s="23">
        <v>59.903497430835337</v>
      </c>
    </row>
    <row r="104" spans="1:17" s="23" customFormat="1" ht="15" x14ac:dyDescent="0.25">
      <c r="A104" s="24" t="s">
        <v>15</v>
      </c>
      <c r="B104" s="23">
        <f t="shared" ref="B104:M104" si="59">IFERROR(((B91+B92))/B93,"")</f>
        <v>0.16064460160926786</v>
      </c>
      <c r="C104" s="23">
        <f t="shared" si="59"/>
        <v>-16.182584051425657</v>
      </c>
      <c r="D104" s="23">
        <f t="shared" si="59"/>
        <v>-227.03450085630629</v>
      </c>
      <c r="E104" s="23">
        <f t="shared" si="59"/>
        <v>-1.3844014765382333</v>
      </c>
      <c r="F104" s="23">
        <f t="shared" si="59"/>
        <v>65.883861727752105</v>
      </c>
      <c r="G104" s="23">
        <f t="shared" si="59"/>
        <v>3.4172797589318806</v>
      </c>
      <c r="H104" s="23" t="str">
        <f t="shared" si="59"/>
        <v/>
      </c>
      <c r="I104" s="23" t="str">
        <f t="shared" si="59"/>
        <v/>
      </c>
      <c r="J104" s="23">
        <f t="shared" si="59"/>
        <v>21.162143222034029</v>
      </c>
      <c r="K104" s="23">
        <f t="shared" si="59"/>
        <v>-3.0025372498150777</v>
      </c>
      <c r="L104" s="23">
        <f t="shared" si="59"/>
        <v>11.127855926780086</v>
      </c>
      <c r="M104" s="23">
        <f t="shared" si="59"/>
        <v>-1</v>
      </c>
      <c r="N104" s="23">
        <f>IFERROR(((N91+N92))/N93,"")</f>
        <v>12.856658303155799</v>
      </c>
      <c r="O104" s="23">
        <f>IFERROR(((O91+O92))/O93,"")</f>
        <v>2.6232055337342279</v>
      </c>
      <c r="P104" s="23">
        <f>IFERROR(((P91+P92))/P93,"")</f>
        <v>-1.2177649679025284</v>
      </c>
      <c r="Q104" s="23">
        <v>58.903497430835344</v>
      </c>
    </row>
    <row r="105" spans="1:17" s="23" customFormat="1" ht="15" x14ac:dyDescent="0.25">
      <c r="A105" s="24" t="s">
        <v>14</v>
      </c>
      <c r="B105" s="23">
        <f t="shared" ref="B105:M105" si="60">IFERROR((SUM(B91:B92))/(SUM(B94,B97)),"")</f>
        <v>0.12837884475272188</v>
      </c>
      <c r="C105" s="23">
        <f t="shared" si="60"/>
        <v>19.078529527723685</v>
      </c>
      <c r="D105" s="23">
        <f t="shared" si="60"/>
        <v>1.9030864391913733</v>
      </c>
      <c r="E105" s="23">
        <f t="shared" si="60"/>
        <v>1.9427467472222222</v>
      </c>
      <c r="F105" s="23">
        <f t="shared" si="60"/>
        <v>1.1126341399596082</v>
      </c>
      <c r="G105" s="23">
        <f t="shared" si="60"/>
        <v>3.831180672400468</v>
      </c>
      <c r="H105" s="23" t="str">
        <f t="shared" si="60"/>
        <v/>
      </c>
      <c r="I105" s="23" t="str">
        <f t="shared" si="60"/>
        <v/>
      </c>
      <c r="J105" s="23">
        <f t="shared" si="60"/>
        <v>5.2993197710682267</v>
      </c>
      <c r="K105" s="23">
        <f t="shared" si="60"/>
        <v>5.5670064266666666</v>
      </c>
      <c r="L105" s="23">
        <f t="shared" si="60"/>
        <v>1.6773889241480306</v>
      </c>
      <c r="M105" s="23">
        <f t="shared" si="60"/>
        <v>0.46124469084982095</v>
      </c>
      <c r="N105" s="23">
        <f>IFERROR((SUM(N91:N92))/(SUM(N94,N97)),"")</f>
        <v>15.148748766666666</v>
      </c>
      <c r="O105" s="23">
        <f>IFERROR((SUM(O91:O92))/(SUM(O94,O97)),"")</f>
        <v>2.0941677593012686</v>
      </c>
      <c r="P105" s="23">
        <f>IFERROR((SUM(P91:P92))/(SUM(P94,P97)),"")</f>
        <v>0.19510434026976084</v>
      </c>
      <c r="Q105" s="23">
        <v>2.0002957779489297</v>
      </c>
    </row>
    <row r="106" spans="1:17" s="23" customFormat="1" ht="15" x14ac:dyDescent="0.25">
      <c r="A106" s="24" t="s">
        <v>49</v>
      </c>
      <c r="B106" s="23">
        <f t="shared" ref="B106:M106" si="61">IFERROR(B91/B93,"")</f>
        <v>0.16064460160926786</v>
      </c>
      <c r="C106" s="23">
        <f t="shared" si="61"/>
        <v>-8.593016460669034</v>
      </c>
      <c r="D106" s="23">
        <f t="shared" si="61"/>
        <v>-108.21396607922215</v>
      </c>
      <c r="E106" s="23">
        <f t="shared" si="61"/>
        <v>-0.23997007724986633</v>
      </c>
      <c r="F106" s="23">
        <f t="shared" si="61"/>
        <v>54.018488379662784</v>
      </c>
      <c r="G106" s="23">
        <f t="shared" si="61"/>
        <v>0.68159586555219709</v>
      </c>
      <c r="H106" s="23" t="str">
        <f t="shared" si="61"/>
        <v/>
      </c>
      <c r="I106" s="23" t="str">
        <f t="shared" si="61"/>
        <v/>
      </c>
      <c r="J106" s="23">
        <f t="shared" si="61"/>
        <v>14.763692895434223</v>
      </c>
      <c r="K106" s="23">
        <f t="shared" si="61"/>
        <v>-0.16436499347210037</v>
      </c>
      <c r="L106" s="23">
        <f t="shared" si="61"/>
        <v>5.9948369335538949</v>
      </c>
      <c r="M106" s="23">
        <f t="shared" si="61"/>
        <v>-0.75497175578426057</v>
      </c>
      <c r="N106" s="23">
        <f>IFERROR(N91/N93,"")</f>
        <v>7.7894007271639119</v>
      </c>
      <c r="O106" s="23">
        <f>IFERROR(O91/O93,"")</f>
        <v>2.2915464562549968</v>
      </c>
      <c r="P106" s="23">
        <f>IFERROR(P91/P93,"")</f>
        <v>-0.17767588104284029</v>
      </c>
      <c r="Q106" s="23">
        <v>31.11823423285394</v>
      </c>
    </row>
    <row r="107" spans="1:17" s="23" customFormat="1" ht="15" x14ac:dyDescent="0.25">
      <c r="A107" s="24" t="s">
        <v>48</v>
      </c>
      <c r="B107" s="23">
        <f t="shared" ref="B107:M107" si="62">IFERROR((B91+B92)/B93,"")</f>
        <v>0.16064460160926786</v>
      </c>
      <c r="C107" s="23">
        <f t="shared" si="62"/>
        <v>-16.182584051425657</v>
      </c>
      <c r="D107" s="23">
        <f t="shared" si="62"/>
        <v>-227.03450085630629</v>
      </c>
      <c r="E107" s="23">
        <f t="shared" si="62"/>
        <v>-1.3844014765382333</v>
      </c>
      <c r="F107" s="23">
        <f t="shared" si="62"/>
        <v>65.883861727752105</v>
      </c>
      <c r="G107" s="23">
        <f t="shared" si="62"/>
        <v>3.4172797589318806</v>
      </c>
      <c r="H107" s="23" t="str">
        <f t="shared" si="62"/>
        <v/>
      </c>
      <c r="I107" s="23" t="str">
        <f t="shared" si="62"/>
        <v/>
      </c>
      <c r="J107" s="23">
        <f t="shared" si="62"/>
        <v>21.162143222034029</v>
      </c>
      <c r="K107" s="23">
        <f t="shared" si="62"/>
        <v>-3.0025372498150777</v>
      </c>
      <c r="L107" s="23">
        <f t="shared" si="62"/>
        <v>11.127855926780086</v>
      </c>
      <c r="M107" s="23">
        <f t="shared" si="62"/>
        <v>-1</v>
      </c>
      <c r="N107" s="23">
        <f>IFERROR((N91+N92)/N93,"")</f>
        <v>12.856658303155799</v>
      </c>
      <c r="O107" s="23">
        <f>IFERROR((O91+O92)/O93,"")</f>
        <v>2.6232055337342279</v>
      </c>
      <c r="P107" s="23">
        <f>IFERROR((P91+P92)/P93,"")</f>
        <v>-1.2177649679025284</v>
      </c>
      <c r="Q107" s="23">
        <v>58.903497430835344</v>
      </c>
    </row>
    <row r="108" spans="1:17" s="23" customFormat="1" ht="15" x14ac:dyDescent="0.25">
      <c r="A108" s="24" t="s">
        <v>47</v>
      </c>
      <c r="B108" s="23">
        <f t="shared" ref="B108:P108" si="63">(B91+B92)/B84</f>
        <v>0.13840981243227204</v>
      </c>
      <c r="C108" s="23">
        <f t="shared" si="63"/>
        <v>1.0658649408172451</v>
      </c>
      <c r="D108" s="23">
        <f t="shared" si="63"/>
        <v>1.0044241033833845</v>
      </c>
      <c r="E108" s="23">
        <f t="shared" si="63"/>
        <v>3.6014468232682182</v>
      </c>
      <c r="F108" s="23">
        <f t="shared" si="63"/>
        <v>0.9850487101945391</v>
      </c>
      <c r="G108" s="23">
        <f t="shared" si="63"/>
        <v>0.7736163307343239</v>
      </c>
      <c r="J108" s="23">
        <f t="shared" si="63"/>
        <v>0.95487801021853436</v>
      </c>
      <c r="K108" s="23">
        <f t="shared" si="63"/>
        <v>1.4993664912312339</v>
      </c>
      <c r="L108" s="23">
        <f t="shared" si="63"/>
        <v>0.91754519462983941</v>
      </c>
      <c r="M108" s="23" t="e">
        <f t="shared" si="63"/>
        <v>#DIV/0!</v>
      </c>
      <c r="N108" s="23">
        <f t="shared" si="63"/>
        <v>0.92783252800769034</v>
      </c>
      <c r="O108" s="23">
        <f t="shared" si="63"/>
        <v>0.72400130473157065</v>
      </c>
      <c r="P108" s="23">
        <f t="shared" si="63"/>
        <v>5.5921068463482131</v>
      </c>
      <c r="Q108" s="23">
        <v>0.98330648388010078</v>
      </c>
    </row>
  </sheetData>
  <mergeCells count="4">
    <mergeCell ref="A28:L28"/>
    <mergeCell ref="A1:L1"/>
    <mergeCell ref="A55:L55"/>
    <mergeCell ref="A82:L8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DRE 2014</vt:lpstr>
      <vt:lpstr>BP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Jose Humberto Borges Junior</cp:lastModifiedBy>
  <dcterms:created xsi:type="dcterms:W3CDTF">2015-07-20T21:36:12Z</dcterms:created>
  <dcterms:modified xsi:type="dcterms:W3CDTF">2015-09-28T19:10:44Z</dcterms:modified>
</cp:coreProperties>
</file>