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cdf1001\anac\SAS\GEAC\Dados econômicos\Documentos Contábeis\Demonstrações Contábeis Publicadas\12\"/>
    </mc:Choice>
  </mc:AlternateContent>
  <bookViews>
    <workbookView xWindow="0" yWindow="0" windowWidth="24000" windowHeight="9135" activeTab="1"/>
  </bookViews>
  <sheets>
    <sheet name="DRE 2012" sheetId="8" r:id="rId1"/>
    <sheet name="BP 2012" sheetId="9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9" l="1"/>
  <c r="T6" i="9"/>
  <c r="T7" i="9"/>
  <c r="T8" i="9"/>
  <c r="T11" i="9"/>
  <c r="T12" i="9"/>
  <c r="T14" i="9"/>
  <c r="T15" i="9"/>
  <c r="T16" i="9"/>
  <c r="T17" i="9"/>
  <c r="T90" i="9"/>
  <c r="T91" i="9"/>
  <c r="T92" i="9"/>
  <c r="T93" i="9"/>
  <c r="T94" i="9"/>
  <c r="T95" i="9"/>
  <c r="T96" i="9"/>
  <c r="T89" i="9"/>
  <c r="T85" i="9"/>
  <c r="T86" i="9"/>
  <c r="T87" i="9"/>
  <c r="T84" i="9"/>
  <c r="U88" i="8" l="1"/>
  <c r="U84" i="8"/>
  <c r="U87" i="8" s="1"/>
  <c r="U96" i="8" s="1"/>
  <c r="U99" i="8" s="1"/>
  <c r="P14" i="9"/>
  <c r="E25" i="9" l="1"/>
  <c r="E24" i="9"/>
  <c r="E21" i="9"/>
  <c r="E20" i="9"/>
  <c r="E19" i="9"/>
  <c r="E10" i="9"/>
  <c r="E8" i="9"/>
  <c r="E7" i="9"/>
  <c r="E3" i="9"/>
  <c r="E23" i="9" s="1"/>
  <c r="C25" i="9"/>
  <c r="C20" i="9"/>
  <c r="C19" i="9"/>
  <c r="C17" i="9"/>
  <c r="C13" i="9"/>
  <c r="C21" i="9" s="1"/>
  <c r="C12" i="9"/>
  <c r="C7" i="9"/>
  <c r="C3" i="9"/>
  <c r="C23" i="9" s="1"/>
  <c r="E22" i="9" l="1"/>
  <c r="C22" i="9"/>
  <c r="C10" i="9"/>
  <c r="C24" i="9"/>
  <c r="S20" i="9"/>
  <c r="S19" i="9"/>
  <c r="S13" i="9"/>
  <c r="S11" i="9"/>
  <c r="S25" i="9" s="1"/>
  <c r="S7" i="9"/>
  <c r="S5" i="9"/>
  <c r="R25" i="9"/>
  <c r="R13" i="9"/>
  <c r="R24" i="9" s="1"/>
  <c r="R7" i="9"/>
  <c r="R6" i="9"/>
  <c r="R5" i="9"/>
  <c r="R4" i="9"/>
  <c r="R20" i="9" s="1"/>
  <c r="Q17" i="9"/>
  <c r="Q16" i="9"/>
  <c r="Q15" i="9"/>
  <c r="Q14" i="9"/>
  <c r="Q13" i="9"/>
  <c r="Q21" i="9" s="1"/>
  <c r="Q12" i="9"/>
  <c r="Q11" i="9"/>
  <c r="Q25" i="9" s="1"/>
  <c r="Q7" i="9"/>
  <c r="Q5" i="9" s="1"/>
  <c r="Q3" i="9" s="1"/>
  <c r="Q6" i="9"/>
  <c r="Q4" i="9"/>
  <c r="Q20" i="9" s="1"/>
  <c r="P21" i="9"/>
  <c r="P25" i="9"/>
  <c r="P20" i="9"/>
  <c r="N17" i="9"/>
  <c r="N16" i="9"/>
  <c r="N13" i="9" s="1"/>
  <c r="N21" i="9" s="1"/>
  <c r="N14" i="9"/>
  <c r="N12" i="9"/>
  <c r="N11" i="9"/>
  <c r="N24" i="9" s="1"/>
  <c r="N7" i="9"/>
  <c r="N6" i="9"/>
  <c r="N5" i="9"/>
  <c r="N3" i="9" s="1"/>
  <c r="N4" i="9"/>
  <c r="N20" i="9" s="1"/>
  <c r="M19" i="9"/>
  <c r="M17" i="9"/>
  <c r="M15" i="9"/>
  <c r="M14" i="9"/>
  <c r="M13" i="9"/>
  <c r="M21" i="9" s="1"/>
  <c r="M12" i="9"/>
  <c r="M11" i="9"/>
  <c r="M7" i="9"/>
  <c r="M5" i="9" s="1"/>
  <c r="M3" i="9" s="1"/>
  <c r="M23" i="9" s="1"/>
  <c r="M6" i="9"/>
  <c r="M4" i="9"/>
  <c r="M20" i="9" s="1"/>
  <c r="L25" i="9"/>
  <c r="L17" i="9"/>
  <c r="L16" i="9"/>
  <c r="L13" i="9" s="1"/>
  <c r="L21" i="9" s="1"/>
  <c r="L15" i="9"/>
  <c r="L14" i="9"/>
  <c r="L12" i="9"/>
  <c r="L11" i="9"/>
  <c r="L24" i="9" s="1"/>
  <c r="L7" i="9"/>
  <c r="L6" i="9"/>
  <c r="L5" i="9" s="1"/>
  <c r="L3" i="9" s="1"/>
  <c r="L4" i="9"/>
  <c r="L20" i="9" s="1"/>
  <c r="K25" i="9"/>
  <c r="K13" i="9"/>
  <c r="K21" i="9" s="1"/>
  <c r="K6" i="9"/>
  <c r="K5" i="9"/>
  <c r="K4" i="9"/>
  <c r="J19" i="9"/>
  <c r="J15" i="9"/>
  <c r="J14" i="9"/>
  <c r="J13" i="9" s="1"/>
  <c r="J21" i="9" s="1"/>
  <c r="J12" i="9"/>
  <c r="J25" i="9" s="1"/>
  <c r="J11" i="9"/>
  <c r="J8" i="9"/>
  <c r="J7" i="9"/>
  <c r="J5" i="9" s="1"/>
  <c r="J3" i="9" s="1"/>
  <c r="J6" i="9"/>
  <c r="J4" i="9"/>
  <c r="J20" i="9" s="1"/>
  <c r="H25" i="9"/>
  <c r="H17" i="9"/>
  <c r="H13" i="9"/>
  <c r="H21" i="9" s="1"/>
  <c r="H12" i="9"/>
  <c r="H24" i="9" s="1"/>
  <c r="H8" i="9"/>
  <c r="H7" i="9"/>
  <c r="H6" i="9"/>
  <c r="H5" i="9" s="1"/>
  <c r="H3" i="9" s="1"/>
  <c r="H4" i="9"/>
  <c r="H20" i="9" s="1"/>
  <c r="G16" i="9"/>
  <c r="G15" i="9"/>
  <c r="G14" i="9"/>
  <c r="G13" i="9" s="1"/>
  <c r="G21" i="9" s="1"/>
  <c r="G12" i="9"/>
  <c r="G11" i="9"/>
  <c r="G7" i="9"/>
  <c r="G5" i="9"/>
  <c r="G4" i="9"/>
  <c r="G20" i="9" s="1"/>
  <c r="F19" i="9"/>
  <c r="F17" i="9"/>
  <c r="F25" i="9" s="1"/>
  <c r="F7" i="9"/>
  <c r="F6" i="9"/>
  <c r="F20" i="9" s="1"/>
  <c r="F3" i="9"/>
  <c r="F22" i="9" s="1"/>
  <c r="B25" i="9"/>
  <c r="B24" i="9"/>
  <c r="B23" i="9"/>
  <c r="B22" i="9"/>
  <c r="B21" i="9"/>
  <c r="B20" i="9"/>
  <c r="B19" i="9"/>
  <c r="B17" i="9"/>
  <c r="B15" i="9"/>
  <c r="B14" i="9"/>
  <c r="B13" i="9"/>
  <c r="B11" i="9"/>
  <c r="B10" i="9"/>
  <c r="B7" i="9"/>
  <c r="B5" i="9"/>
  <c r="B4" i="9"/>
  <c r="B3" i="9"/>
  <c r="S21" i="9" l="1"/>
  <c r="T13" i="9"/>
  <c r="S3" i="9"/>
  <c r="T3" i="9" s="1"/>
  <c r="T5" i="9"/>
  <c r="P23" i="9"/>
  <c r="J24" i="9"/>
  <c r="J23" i="9"/>
  <c r="G24" i="9"/>
  <c r="M24" i="9"/>
  <c r="N23" i="9"/>
  <c r="R21" i="9"/>
  <c r="R10" i="9"/>
  <c r="K3" i="9"/>
  <c r="S10" i="9"/>
  <c r="T10" i="9" s="1"/>
  <c r="S24" i="9"/>
  <c r="R19" i="9"/>
  <c r="R3" i="9"/>
  <c r="Q23" i="9"/>
  <c r="Q22" i="9"/>
  <c r="Q10" i="9"/>
  <c r="Q19" i="9"/>
  <c r="Q24" i="9"/>
  <c r="P22" i="9"/>
  <c r="P19" i="9"/>
  <c r="P24" i="9"/>
  <c r="N25" i="9"/>
  <c r="N22" i="9"/>
  <c r="N19" i="9"/>
  <c r="N10" i="9"/>
  <c r="M25" i="9"/>
  <c r="M22" i="9"/>
  <c r="M10" i="9"/>
  <c r="L23" i="9"/>
  <c r="L22" i="9"/>
  <c r="L10" i="9"/>
  <c r="L19" i="9"/>
  <c r="K23" i="9"/>
  <c r="K22" i="9"/>
  <c r="K19" i="9"/>
  <c r="K20" i="9"/>
  <c r="K24" i="9"/>
  <c r="K10" i="9"/>
  <c r="J10" i="9"/>
  <c r="J22" i="9"/>
  <c r="H23" i="9"/>
  <c r="H22" i="9"/>
  <c r="H10" i="9"/>
  <c r="H19" i="9"/>
  <c r="G19" i="9"/>
  <c r="G25" i="9"/>
  <c r="G3" i="9"/>
  <c r="G23" i="9" s="1"/>
  <c r="G10" i="9"/>
  <c r="F13" i="9"/>
  <c r="G22" i="8"/>
  <c r="G23" i="8"/>
  <c r="G25" i="8"/>
  <c r="G48" i="8"/>
  <c r="G49" i="8"/>
  <c r="G50" i="8"/>
  <c r="G51" i="8"/>
  <c r="G74" i="8"/>
  <c r="G75" i="8"/>
  <c r="G77" i="8"/>
  <c r="K22" i="8"/>
  <c r="K23" i="8"/>
  <c r="K24" i="8"/>
  <c r="K25" i="8"/>
  <c r="K48" i="8"/>
  <c r="K49" i="8"/>
  <c r="K50" i="8"/>
  <c r="K51" i="8"/>
  <c r="K74" i="8"/>
  <c r="K75" i="8"/>
  <c r="K76" i="8"/>
  <c r="K77" i="8"/>
  <c r="J82" i="8"/>
  <c r="J84" i="8" s="1"/>
  <c r="J83" i="8"/>
  <c r="K84" i="8"/>
  <c r="K87" i="8" s="1"/>
  <c r="J85" i="8"/>
  <c r="J88" i="8"/>
  <c r="K88" i="8"/>
  <c r="J98" i="8"/>
  <c r="N22" i="8"/>
  <c r="N23" i="8"/>
  <c r="N24" i="8"/>
  <c r="N25" i="8"/>
  <c r="N48" i="8"/>
  <c r="N49" i="8"/>
  <c r="N50" i="8"/>
  <c r="N51" i="8"/>
  <c r="N74" i="8"/>
  <c r="N75" i="8"/>
  <c r="N76" i="8"/>
  <c r="N77" i="8"/>
  <c r="T22" i="8"/>
  <c r="T23" i="8"/>
  <c r="T25" i="8"/>
  <c r="T48" i="8"/>
  <c r="T49" i="8"/>
  <c r="T51" i="8"/>
  <c r="T74" i="8"/>
  <c r="T75" i="8"/>
  <c r="T77" i="8"/>
  <c r="T83" i="8"/>
  <c r="T84" i="8"/>
  <c r="T85" i="8"/>
  <c r="T87" i="8" s="1"/>
  <c r="T91" i="8"/>
  <c r="T88" i="8" s="1"/>
  <c r="T103" i="8"/>
  <c r="T104" i="8"/>
  <c r="T106" i="8"/>
  <c r="Q22" i="8"/>
  <c r="Q23" i="8"/>
  <c r="Q25" i="8"/>
  <c r="Q48" i="8"/>
  <c r="Q49" i="8"/>
  <c r="Q51" i="8"/>
  <c r="Q74" i="8"/>
  <c r="Q75" i="8"/>
  <c r="Q77" i="8"/>
  <c r="Q84" i="8"/>
  <c r="Q87" i="8" s="1"/>
  <c r="Q88" i="8"/>
  <c r="Q103" i="8"/>
  <c r="Q104" i="8"/>
  <c r="Q106" i="8"/>
  <c r="X22" i="8"/>
  <c r="X23" i="8"/>
  <c r="X25" i="8"/>
  <c r="X48" i="8"/>
  <c r="X49" i="8"/>
  <c r="X51" i="8"/>
  <c r="X74" i="8"/>
  <c r="X75" i="8"/>
  <c r="X77" i="8"/>
  <c r="X84" i="8"/>
  <c r="X87" i="8" s="1"/>
  <c r="X88" i="8"/>
  <c r="S23" i="9" l="1"/>
  <c r="S22" i="9"/>
  <c r="R23" i="9"/>
  <c r="R22" i="9"/>
  <c r="G22" i="9"/>
  <c r="F21" i="9"/>
  <c r="F24" i="9"/>
  <c r="F10" i="9"/>
  <c r="F23" i="9"/>
  <c r="J87" i="8"/>
  <c r="J96" i="8" s="1"/>
  <c r="J99" i="8" s="1"/>
  <c r="X96" i="8"/>
  <c r="X99" i="8" s="1"/>
  <c r="T96" i="8"/>
  <c r="T99" i="8" s="1"/>
  <c r="T102" i="8" s="1"/>
  <c r="K96" i="8"/>
  <c r="K99" i="8" s="1"/>
  <c r="Q96" i="8"/>
  <c r="Q99" i="8" s="1"/>
  <c r="Q102" i="8" s="1"/>
  <c r="T101" i="8"/>
  <c r="T107" i="8"/>
  <c r="Q101" i="8"/>
  <c r="R77" i="8"/>
  <c r="M77" i="8"/>
  <c r="D77" i="8"/>
  <c r="B77" i="8"/>
  <c r="R76" i="8"/>
  <c r="P76" i="8"/>
  <c r="P77" i="8" s="1"/>
  <c r="M76" i="8"/>
  <c r="I76" i="8"/>
  <c r="H76" i="8"/>
  <c r="H77" i="8" s="1"/>
  <c r="F76" i="8"/>
  <c r="F77" i="8" s="1"/>
  <c r="D76" i="8"/>
  <c r="B76" i="8"/>
  <c r="U75" i="8"/>
  <c r="R75" i="8"/>
  <c r="P75" i="8"/>
  <c r="M75" i="8"/>
  <c r="H75" i="8"/>
  <c r="F75" i="8"/>
  <c r="D75" i="8"/>
  <c r="B75" i="8"/>
  <c r="U74" i="8"/>
  <c r="R74" i="8"/>
  <c r="P74" i="8"/>
  <c r="M74" i="8"/>
  <c r="H74" i="8"/>
  <c r="F74" i="8"/>
  <c r="D74" i="8"/>
  <c r="B74" i="8"/>
  <c r="Q107" i="8" l="1"/>
  <c r="E3" i="8"/>
  <c r="E55" i="8" s="1"/>
  <c r="I3" i="8"/>
  <c r="I5" i="8" s="1"/>
  <c r="L3" i="8"/>
  <c r="M3" i="8"/>
  <c r="R3" i="8"/>
  <c r="S3" i="8"/>
  <c r="S29" i="8" s="1"/>
  <c r="V3" i="8"/>
  <c r="V29" i="8" s="1"/>
  <c r="D4" i="8"/>
  <c r="E4" i="8"/>
  <c r="E56" i="8" s="1"/>
  <c r="L4" i="8"/>
  <c r="M4" i="8"/>
  <c r="M30" i="8" s="1"/>
  <c r="R4" i="8"/>
  <c r="S4" i="8"/>
  <c r="S30" i="8" s="1"/>
  <c r="S56" i="8" s="1"/>
  <c r="V4" i="8"/>
  <c r="V30" i="8" s="1"/>
  <c r="V56" i="8" s="1"/>
  <c r="C5" i="8"/>
  <c r="C22" i="8" s="1"/>
  <c r="D5" i="8"/>
  <c r="E5" i="8"/>
  <c r="L5" i="8"/>
  <c r="M5" i="8"/>
  <c r="O5" i="8"/>
  <c r="O22" i="8" s="1"/>
  <c r="R5" i="8"/>
  <c r="S5" i="8"/>
  <c r="V5" i="8"/>
  <c r="V22" i="8" s="1"/>
  <c r="B6" i="8"/>
  <c r="D6" i="8"/>
  <c r="E6" i="8"/>
  <c r="E58" i="8" s="1"/>
  <c r="I6" i="8"/>
  <c r="L6" i="8"/>
  <c r="M6" i="8"/>
  <c r="M32" i="8" s="1"/>
  <c r="R6" i="8"/>
  <c r="S6" i="8"/>
  <c r="S32" i="8" s="1"/>
  <c r="S58" i="8" s="1"/>
  <c r="V6" i="8"/>
  <c r="V32" i="8" s="1"/>
  <c r="V58" i="8" s="1"/>
  <c r="Z7" i="8"/>
  <c r="E8" i="8"/>
  <c r="L8" i="8"/>
  <c r="L24" i="8" s="1"/>
  <c r="L25" i="8" s="1"/>
  <c r="M8" i="8"/>
  <c r="M24" i="8" s="1"/>
  <c r="O8" i="8"/>
  <c r="O24" i="8" s="1"/>
  <c r="O25" i="8" s="1"/>
  <c r="R8" i="8"/>
  <c r="S8" i="8"/>
  <c r="S24" i="8" s="1"/>
  <c r="B9" i="8"/>
  <c r="E9" i="8"/>
  <c r="L9" i="8"/>
  <c r="Z10" i="8"/>
  <c r="M11" i="8"/>
  <c r="R11" i="8"/>
  <c r="S11" i="8"/>
  <c r="S37" i="8" s="1"/>
  <c r="D12" i="8"/>
  <c r="R12" i="8"/>
  <c r="S12" i="8"/>
  <c r="S38" i="8" s="1"/>
  <c r="S64" i="8" s="1"/>
  <c r="S61" i="8" s="1"/>
  <c r="Z13" i="8"/>
  <c r="M14" i="8"/>
  <c r="V14" i="8"/>
  <c r="V9" i="8" s="1"/>
  <c r="Z15" i="8"/>
  <c r="D16" i="8"/>
  <c r="L16" i="8"/>
  <c r="S16" i="8"/>
  <c r="S42" i="8" s="1"/>
  <c r="B17" i="8"/>
  <c r="E17" i="8"/>
  <c r="L17" i="8"/>
  <c r="M17" i="8"/>
  <c r="R17" i="8"/>
  <c r="S17" i="8"/>
  <c r="V17" i="8"/>
  <c r="I18" i="8"/>
  <c r="R18" i="8"/>
  <c r="Z19" i="8"/>
  <c r="E20" i="8"/>
  <c r="L20" i="8"/>
  <c r="M20" i="8"/>
  <c r="R20" i="8"/>
  <c r="S20" i="8"/>
  <c r="V20" i="8"/>
  <c r="B22" i="8"/>
  <c r="D22" i="8"/>
  <c r="F22" i="8"/>
  <c r="H22" i="8"/>
  <c r="P22" i="8"/>
  <c r="U22" i="8"/>
  <c r="W22" i="8"/>
  <c r="Y22" i="8"/>
  <c r="B23" i="8"/>
  <c r="D23" i="8"/>
  <c r="F23" i="8"/>
  <c r="H23" i="8"/>
  <c r="O23" i="8"/>
  <c r="P23" i="8"/>
  <c r="U23" i="8"/>
  <c r="W23" i="8"/>
  <c r="Y23" i="8"/>
  <c r="E24" i="8"/>
  <c r="F24" i="8"/>
  <c r="F25" i="8" s="1"/>
  <c r="H24" i="8"/>
  <c r="H25" i="8" s="1"/>
  <c r="P24" i="8"/>
  <c r="P25" i="8" s="1"/>
  <c r="R24" i="8"/>
  <c r="U24" i="8"/>
  <c r="U25" i="8" s="1"/>
  <c r="W24" i="8"/>
  <c r="W25" i="8" s="1"/>
  <c r="Y24" i="8"/>
  <c r="Y25" i="8" s="1"/>
  <c r="D25" i="8"/>
  <c r="C29" i="8"/>
  <c r="C55" i="8" s="1"/>
  <c r="L29" i="8"/>
  <c r="Y29" i="8"/>
  <c r="Y49" i="8" s="1"/>
  <c r="C30" i="8"/>
  <c r="L30" i="8"/>
  <c r="Y30" i="8"/>
  <c r="Y56" i="8" s="1"/>
  <c r="L31" i="8"/>
  <c r="O31" i="8"/>
  <c r="O34" i="8" s="1"/>
  <c r="O50" i="8" s="1"/>
  <c r="O51" i="8" s="1"/>
  <c r="B32" i="8"/>
  <c r="C32" i="8"/>
  <c r="C58" i="8" s="1"/>
  <c r="L32" i="8"/>
  <c r="Z33" i="8"/>
  <c r="L34" i="8"/>
  <c r="L50" i="8" s="1"/>
  <c r="C35" i="8"/>
  <c r="C61" i="8" s="1"/>
  <c r="L35" i="8"/>
  <c r="Z36" i="8"/>
  <c r="B37" i="8"/>
  <c r="M37" i="8"/>
  <c r="V37" i="8"/>
  <c r="V63" i="8" s="1"/>
  <c r="B38" i="8"/>
  <c r="M38" i="8"/>
  <c r="V38" i="8"/>
  <c r="V64" i="8" s="1"/>
  <c r="Z39" i="8"/>
  <c r="Z41" i="8"/>
  <c r="L42" i="8"/>
  <c r="B43" i="8"/>
  <c r="E43" i="8"/>
  <c r="E46" i="8" s="1"/>
  <c r="E49" i="8" s="1"/>
  <c r="L43" i="8"/>
  <c r="Z44" i="8"/>
  <c r="Z45" i="8"/>
  <c r="L46" i="8"/>
  <c r="B48" i="8"/>
  <c r="D48" i="8"/>
  <c r="E48" i="8"/>
  <c r="F48" i="8"/>
  <c r="H48" i="8"/>
  <c r="I48" i="8"/>
  <c r="P48" i="8"/>
  <c r="R48" i="8"/>
  <c r="U48" i="8"/>
  <c r="W48" i="8"/>
  <c r="B49" i="8"/>
  <c r="D49" i="8"/>
  <c r="F49" i="8"/>
  <c r="H49" i="8"/>
  <c r="I49" i="8"/>
  <c r="O49" i="8"/>
  <c r="P49" i="8"/>
  <c r="R49" i="8"/>
  <c r="U49" i="8"/>
  <c r="W49" i="8"/>
  <c r="E50" i="8"/>
  <c r="E51" i="8" s="1"/>
  <c r="F50" i="8"/>
  <c r="F51" i="8" s="1"/>
  <c r="H50" i="8"/>
  <c r="H51" i="8" s="1"/>
  <c r="I50" i="8"/>
  <c r="I51" i="8" s="1"/>
  <c r="P50" i="8"/>
  <c r="P51" i="8" s="1"/>
  <c r="R50" i="8"/>
  <c r="U50" i="8"/>
  <c r="U51" i="8" s="1"/>
  <c r="W50" i="8"/>
  <c r="W51" i="8" s="1"/>
  <c r="Y50" i="8"/>
  <c r="D51" i="8"/>
  <c r="R51" i="8"/>
  <c r="I55" i="8"/>
  <c r="I77" i="8" s="1"/>
  <c r="L55" i="8"/>
  <c r="O55" i="8"/>
  <c r="W55" i="8"/>
  <c r="L56" i="8"/>
  <c r="W56" i="8"/>
  <c r="L57" i="8"/>
  <c r="L58" i="8"/>
  <c r="O58" i="8"/>
  <c r="O60" i="8" s="1"/>
  <c r="O76" i="8" s="1"/>
  <c r="W58" i="8"/>
  <c r="Z59" i="8"/>
  <c r="L60" i="8"/>
  <c r="L76" i="8" s="1"/>
  <c r="U60" i="8"/>
  <c r="U76" i="8" s="1"/>
  <c r="U77" i="8" s="1"/>
  <c r="E61" i="8"/>
  <c r="F61" i="8"/>
  <c r="I61" i="8"/>
  <c r="L61" i="8"/>
  <c r="U61" i="8"/>
  <c r="Y61" i="8"/>
  <c r="Z62" i="8"/>
  <c r="W63" i="8"/>
  <c r="W64" i="8"/>
  <c r="W65" i="8"/>
  <c r="W66" i="8"/>
  <c r="Z67" i="8"/>
  <c r="L68" i="8"/>
  <c r="L69" i="8"/>
  <c r="Z70" i="8"/>
  <c r="Z71" i="8"/>
  <c r="L72" i="8"/>
  <c r="B82" i="8"/>
  <c r="H82" i="8"/>
  <c r="P82" i="8"/>
  <c r="S82" i="8"/>
  <c r="V82" i="8"/>
  <c r="B83" i="8"/>
  <c r="H83" i="8"/>
  <c r="L83" i="8"/>
  <c r="L84" i="8" s="1"/>
  <c r="P83" i="8"/>
  <c r="S83" i="8"/>
  <c r="V83" i="8"/>
  <c r="C84" i="8"/>
  <c r="E84" i="8"/>
  <c r="F84" i="8"/>
  <c r="I84" i="8"/>
  <c r="M84" i="8"/>
  <c r="M87" i="8" s="1"/>
  <c r="O84" i="8"/>
  <c r="O87" i="8" s="1"/>
  <c r="R84" i="8"/>
  <c r="W84" i="8"/>
  <c r="Y84" i="8"/>
  <c r="B85" i="8"/>
  <c r="C85" i="8"/>
  <c r="E85" i="8"/>
  <c r="F85" i="8"/>
  <c r="H85" i="8"/>
  <c r="L85" i="8"/>
  <c r="P85" i="8"/>
  <c r="R85" i="8"/>
  <c r="S85" i="8"/>
  <c r="V85" i="8"/>
  <c r="W85" i="8"/>
  <c r="Y85" i="8"/>
  <c r="L86" i="8"/>
  <c r="V86" i="8"/>
  <c r="E88" i="8"/>
  <c r="E96" i="8" s="1"/>
  <c r="F88" i="8"/>
  <c r="I88" i="8"/>
  <c r="M88" i="8"/>
  <c r="O88" i="8"/>
  <c r="R88" i="8"/>
  <c r="W88" i="8"/>
  <c r="Y88" i="8"/>
  <c r="Z89" i="8"/>
  <c r="B90" i="8"/>
  <c r="L90" i="8"/>
  <c r="S90" i="8"/>
  <c r="V90" i="8"/>
  <c r="B91" i="8"/>
  <c r="H91" i="8"/>
  <c r="H88" i="8" s="1"/>
  <c r="L91" i="8"/>
  <c r="P91" i="8"/>
  <c r="P88" i="8" s="1"/>
  <c r="S91" i="8"/>
  <c r="V91" i="8"/>
  <c r="Z92" i="8"/>
  <c r="S93" i="8"/>
  <c r="V93" i="8"/>
  <c r="Z94" i="8"/>
  <c r="B95" i="8"/>
  <c r="P95" i="8"/>
  <c r="V95" i="8"/>
  <c r="I97" i="8"/>
  <c r="P97" i="8"/>
  <c r="S97" i="8"/>
  <c r="Z98" i="8"/>
  <c r="D101" i="8"/>
  <c r="D102" i="8"/>
  <c r="D103" i="8"/>
  <c r="M103" i="8"/>
  <c r="D104" i="8"/>
  <c r="M104" i="8"/>
  <c r="D105" i="8"/>
  <c r="D106" i="8"/>
  <c r="M106" i="8"/>
  <c r="D107" i="8"/>
  <c r="L23" i="8" l="1"/>
  <c r="C31" i="8"/>
  <c r="V55" i="8"/>
  <c r="V57" i="8" s="1"/>
  <c r="V74" i="8" s="1"/>
  <c r="V31" i="8"/>
  <c r="V48" i="8" s="1"/>
  <c r="F87" i="8"/>
  <c r="O48" i="8"/>
  <c r="Z86" i="8"/>
  <c r="R87" i="8"/>
  <c r="Y48" i="8"/>
  <c r="E22" i="8"/>
  <c r="V23" i="8"/>
  <c r="L22" i="8"/>
  <c r="S84" i="8"/>
  <c r="E25" i="8"/>
  <c r="R23" i="8"/>
  <c r="C8" i="8"/>
  <c r="Z97" i="8"/>
  <c r="Z95" i="8"/>
  <c r="Z11" i="8"/>
  <c r="W57" i="8"/>
  <c r="W60" i="8" s="1"/>
  <c r="W76" i="8" s="1"/>
  <c r="W77" i="8" s="1"/>
  <c r="Z14" i="8"/>
  <c r="Z12" i="8"/>
  <c r="Z4" i="8"/>
  <c r="V84" i="8"/>
  <c r="V87" i="8" s="1"/>
  <c r="O77" i="8"/>
  <c r="Z82" i="8"/>
  <c r="S88" i="8"/>
  <c r="I87" i="8"/>
  <c r="W87" i="8"/>
  <c r="W96" i="8" s="1"/>
  <c r="W99" i="8" s="1"/>
  <c r="H84" i="8"/>
  <c r="H87" i="8" s="1"/>
  <c r="P84" i="8"/>
  <c r="R25" i="8"/>
  <c r="S87" i="8"/>
  <c r="V40" i="8"/>
  <c r="Z40" i="8" s="1"/>
  <c r="Z37" i="8"/>
  <c r="I8" i="8"/>
  <c r="I24" i="8" s="1"/>
  <c r="I25" i="8" s="1"/>
  <c r="Z3" i="8"/>
  <c r="M105" i="8"/>
  <c r="M96" i="8"/>
  <c r="M99" i="8" s="1"/>
  <c r="M101" i="8" s="1"/>
  <c r="E57" i="8"/>
  <c r="B84" i="8"/>
  <c r="B87" i="8" s="1"/>
  <c r="O75" i="8"/>
  <c r="O74" i="8"/>
  <c r="D9" i="8"/>
  <c r="C87" i="8"/>
  <c r="Y55" i="8"/>
  <c r="L77" i="8"/>
  <c r="L75" i="8"/>
  <c r="L74" i="8"/>
  <c r="Y51" i="8"/>
  <c r="E23" i="8"/>
  <c r="S9" i="8"/>
  <c r="V88" i="8"/>
  <c r="C56" i="8"/>
  <c r="C57" i="8" s="1"/>
  <c r="C60" i="8" s="1"/>
  <c r="C76" i="8" s="1"/>
  <c r="C77" i="8" s="1"/>
  <c r="Z85" i="8"/>
  <c r="Y87" i="8"/>
  <c r="I75" i="8"/>
  <c r="I74" i="8"/>
  <c r="R9" i="8"/>
  <c r="Z30" i="8"/>
  <c r="O96" i="8"/>
  <c r="O99" i="8" s="1"/>
  <c r="L87" i="8"/>
  <c r="Z65" i="8"/>
  <c r="Z18" i="8"/>
  <c r="M22" i="8"/>
  <c r="M23" i="8"/>
  <c r="M25" i="8"/>
  <c r="M29" i="8"/>
  <c r="Z29" i="8" s="1"/>
  <c r="Z90" i="8"/>
  <c r="Z6" i="8"/>
  <c r="B8" i="8"/>
  <c r="Z93" i="8"/>
  <c r="Z91" i="8"/>
  <c r="B88" i="8"/>
  <c r="Z32" i="8"/>
  <c r="R22" i="8"/>
  <c r="S68" i="8"/>
  <c r="Z42" i="8"/>
  <c r="I22" i="8"/>
  <c r="L88" i="8"/>
  <c r="Z83" i="8"/>
  <c r="Z63" i="8"/>
  <c r="W61" i="8"/>
  <c r="B35" i="8"/>
  <c r="B34" i="8"/>
  <c r="S31" i="8"/>
  <c r="S34" i="8" s="1"/>
  <c r="S55" i="8"/>
  <c r="Z38" i="8"/>
  <c r="C34" i="8"/>
  <c r="C48" i="8"/>
  <c r="L48" i="8"/>
  <c r="L49" i="8"/>
  <c r="L51" i="8"/>
  <c r="V8" i="8"/>
  <c r="V24" i="8" s="1"/>
  <c r="V25" i="8" s="1"/>
  <c r="D8" i="8"/>
  <c r="Z5" i="8"/>
  <c r="S22" i="8"/>
  <c r="S23" i="8"/>
  <c r="S25" i="8"/>
  <c r="Z64" i="8"/>
  <c r="Z58" i="8"/>
  <c r="M35" i="8"/>
  <c r="S35" i="8"/>
  <c r="V34" i="8"/>
  <c r="Z16" i="8"/>
  <c r="M9" i="8"/>
  <c r="V66" i="8" l="1"/>
  <c r="Z66" i="8" s="1"/>
  <c r="P87" i="8"/>
  <c r="P96" i="8" s="1"/>
  <c r="P99" i="8" s="1"/>
  <c r="I17" i="8"/>
  <c r="C96" i="8"/>
  <c r="C99" i="8" s="1"/>
  <c r="Z55" i="8"/>
  <c r="F96" i="8"/>
  <c r="F99" i="8" s="1"/>
  <c r="R96" i="8"/>
  <c r="R99" i="8" s="1"/>
  <c r="V35" i="8"/>
  <c r="Z35" i="8" s="1"/>
  <c r="Z22" i="8"/>
  <c r="B96" i="8"/>
  <c r="B99" i="8" s="1"/>
  <c r="Z84" i="8"/>
  <c r="Z87" i="8" s="1"/>
  <c r="S96" i="8"/>
  <c r="S99" i="8" s="1"/>
  <c r="S48" i="8"/>
  <c r="W74" i="8"/>
  <c r="C17" i="8"/>
  <c r="C20" i="8" s="1"/>
  <c r="C23" i="8" s="1"/>
  <c r="C24" i="8"/>
  <c r="C25" i="8" s="1"/>
  <c r="V96" i="8"/>
  <c r="V99" i="8" s="1"/>
  <c r="H96" i="8"/>
  <c r="H99" i="8" s="1"/>
  <c r="I96" i="8"/>
  <c r="I99" i="8" s="1"/>
  <c r="E60" i="8"/>
  <c r="Z9" i="8"/>
  <c r="M102" i="8"/>
  <c r="Y96" i="8"/>
  <c r="Y99" i="8" s="1"/>
  <c r="C74" i="8"/>
  <c r="Y57" i="8"/>
  <c r="Z56" i="8"/>
  <c r="M107" i="8"/>
  <c r="E74" i="8"/>
  <c r="C50" i="8"/>
  <c r="C51" i="8" s="1"/>
  <c r="C43" i="8"/>
  <c r="S57" i="8"/>
  <c r="S74" i="8" s="1"/>
  <c r="M31" i="8"/>
  <c r="W69" i="8"/>
  <c r="Z68" i="8"/>
  <c r="D24" i="8"/>
  <c r="D17" i="8"/>
  <c r="V50" i="8"/>
  <c r="V51" i="8" s="1"/>
  <c r="B24" i="8"/>
  <c r="B25" i="8" s="1"/>
  <c r="Z8" i="8"/>
  <c r="Z24" i="8" s="1"/>
  <c r="Z25" i="8" s="1"/>
  <c r="I20" i="8"/>
  <c r="S50" i="8"/>
  <c r="S51" i="8" s="1"/>
  <c r="S43" i="8"/>
  <c r="S46" i="8" s="1"/>
  <c r="S49" i="8" s="1"/>
  <c r="V60" i="8"/>
  <c r="V76" i="8" s="1"/>
  <c r="V77" i="8" s="1"/>
  <c r="C69" i="8"/>
  <c r="Z88" i="8"/>
  <c r="B50" i="8"/>
  <c r="B51" i="8" s="1"/>
  <c r="L96" i="8"/>
  <c r="L99" i="8" s="1"/>
  <c r="V61" i="8" l="1"/>
  <c r="Z61" i="8" s="1"/>
  <c r="V43" i="8"/>
  <c r="V46" i="8" s="1"/>
  <c r="V49" i="8" s="1"/>
  <c r="E76" i="8"/>
  <c r="E77" i="8" s="1"/>
  <c r="E69" i="8"/>
  <c r="E72" i="8" s="1"/>
  <c r="E75" i="8" s="1"/>
  <c r="Y60" i="8"/>
  <c r="Y74" i="8"/>
  <c r="C46" i="8"/>
  <c r="V69" i="8"/>
  <c r="I23" i="8"/>
  <c r="D20" i="8"/>
  <c r="Z17" i="8"/>
  <c r="W72" i="8"/>
  <c r="W75" i="8" s="1"/>
  <c r="C72" i="8"/>
  <c r="C75" i="8" s="1"/>
  <c r="M34" i="8"/>
  <c r="Z31" i="8"/>
  <c r="Z48" i="8" s="1"/>
  <c r="M48" i="8"/>
  <c r="S60" i="8"/>
  <c r="S76" i="8" s="1"/>
  <c r="S77" i="8" s="1"/>
  <c r="Z57" i="8"/>
  <c r="Z96" i="8"/>
  <c r="Z99" i="8" s="1"/>
  <c r="Z74" i="8" l="1"/>
  <c r="Y76" i="8"/>
  <c r="Y77" i="8" s="1"/>
  <c r="Y69" i="8"/>
  <c r="Y72" i="8" s="1"/>
  <c r="Y75" i="8" s="1"/>
  <c r="C49" i="8"/>
  <c r="M43" i="8"/>
  <c r="M50" i="8"/>
  <c r="M51" i="8" s="1"/>
  <c r="Z34" i="8"/>
  <c r="Z50" i="8" s="1"/>
  <c r="Z51" i="8" s="1"/>
  <c r="Z20" i="8"/>
  <c r="Z23" i="8" s="1"/>
  <c r="S69" i="8"/>
  <c r="Z60" i="8"/>
  <c r="V72" i="8"/>
  <c r="V75" i="8" s="1"/>
  <c r="Z76" i="8" l="1"/>
  <c r="Z77" i="8" s="1"/>
  <c r="S72" i="8"/>
  <c r="S75" i="8" s="1"/>
  <c r="Z69" i="8"/>
  <c r="M46" i="8"/>
  <c r="Z43" i="8"/>
  <c r="Z72" i="8" l="1"/>
  <c r="M49" i="8"/>
  <c r="Z46" i="8"/>
  <c r="Z49" i="8" s="1"/>
  <c r="Z75" i="8" l="1"/>
</calcChain>
</file>

<file path=xl/comments1.xml><?xml version="1.0" encoding="utf-8"?>
<comments xmlns="http://schemas.openxmlformats.org/spreadsheetml/2006/main">
  <authors>
    <author>marcos.rogerio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</t>
        </r>
      </text>
    </comment>
    <comment ref="V43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
</t>
        </r>
      </text>
    </comment>
    <comment ref="U56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Não foi apresentado o custo dos serviços prestados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marcos.rogerio:</t>
        </r>
        <r>
          <rPr>
            <sz val="9"/>
            <color indexed="81"/>
            <rFont val="Tahoma"/>
            <family val="2"/>
          </rPr>
          <t xml:space="preserve">
arredondamento</t>
        </r>
      </text>
    </comment>
  </commentList>
</comments>
</file>

<file path=xl/sharedStrings.xml><?xml version="1.0" encoding="utf-8"?>
<sst xmlns="http://schemas.openxmlformats.org/spreadsheetml/2006/main" count="378" uniqueCount="93">
  <si>
    <t>Margem EBIT</t>
  </si>
  <si>
    <t>EBIT</t>
  </si>
  <si>
    <t>Margem Líquida</t>
  </si>
  <si>
    <t>Margem Bruta</t>
  </si>
  <si>
    <t>RESULTADO LÍQUIDO DO EXERCÍCIO</t>
  </si>
  <si>
    <t>OUTROS</t>
  </si>
  <si>
    <t>IMPOSTO DE RENDA E C. SOCIAL</t>
  </si>
  <si>
    <t>RESULTADO ANTES DO IMPOSTO RENDA E C. SOCIAL</t>
  </si>
  <si>
    <t>OUTROS RESULTADOS OPERACIONAIS</t>
  </si>
  <si>
    <t xml:space="preserve">       Outros</t>
  </si>
  <si>
    <t xml:space="preserve">       Variação cambial líquida</t>
  </si>
  <si>
    <t xml:space="preserve">       Resultado líquido com derivativos</t>
  </si>
  <si>
    <t xml:space="preserve">       Despesas Financeiras</t>
  </si>
  <si>
    <t xml:space="preserve">       Receitas Financeiras</t>
  </si>
  <si>
    <t xml:space="preserve">       Variação do valor justo de derivativos de combustível</t>
  </si>
  <si>
    <t>RESULTADO FINANCEIRO</t>
  </si>
  <si>
    <t>RESULTADO ANTES DO RESULTADO FINANCEIRO</t>
  </si>
  <si>
    <t>RESULTADO DE EQUIVALÊNCIA PATRIMONIAL (CPC 26 - 82.E)</t>
  </si>
  <si>
    <t>DESPESAS OPERACIONAIS</t>
  </si>
  <si>
    <t>LUCRO BRUTO</t>
  </si>
  <si>
    <t>CUSTOS DOS SERVIÇOS PRESTADOS</t>
  </si>
  <si>
    <t>RECEITA OPERACIONAL LÍQUIDA</t>
  </si>
  <si>
    <t>WEBJET</t>
  </si>
  <si>
    <t>VARIGLOG</t>
  </si>
  <si>
    <t>TRIP</t>
  </si>
  <si>
    <t>TOTAL</t>
  </si>
  <si>
    <t>TAM</t>
  </si>
  <si>
    <t>SOL</t>
  </si>
  <si>
    <t>SETE</t>
  </si>
  <si>
    <t>RIO</t>
  </si>
  <si>
    <t>RICO</t>
  </si>
  <si>
    <t>PASSAREDO</t>
  </si>
  <si>
    <t>PANTANAL</t>
  </si>
  <si>
    <t>NHT</t>
  </si>
  <si>
    <t>MEGA_MEL</t>
  </si>
  <si>
    <t>GOL</t>
  </si>
  <si>
    <t>CRUISER</t>
  </si>
  <si>
    <t>BETA</t>
  </si>
  <si>
    <t>AZUL</t>
  </si>
  <si>
    <t>AVIANCA</t>
  </si>
  <si>
    <t>AIR MINAS</t>
  </si>
  <si>
    <t>ABSA</t>
  </si>
  <si>
    <t>ABAETÉ</t>
  </si>
  <si>
    <t>ITEM</t>
  </si>
  <si>
    <t>Grau de Endividamento Ajustado</t>
  </si>
  <si>
    <t>Grau de Endividamento</t>
  </si>
  <si>
    <t>Multiplicador de Capital Próprio</t>
  </si>
  <si>
    <t>Participação de Capitais de Terceiros sobre os Recursos Totais</t>
  </si>
  <si>
    <t>Situação Líquida Patrimonial</t>
  </si>
  <si>
    <t>Índice de Liquidez Geral</t>
  </si>
  <si>
    <t>Índice de Liquidez Corrente</t>
  </si>
  <si>
    <t>Outros</t>
  </si>
  <si>
    <t>Resultado do Exercício</t>
  </si>
  <si>
    <t>Lucros ou Prejuízos Acumulados³</t>
  </si>
  <si>
    <t>Capital Social</t>
  </si>
  <si>
    <t>Patrimônio Líquido</t>
  </si>
  <si>
    <t>Passsivo Não Circulante</t>
  </si>
  <si>
    <t>Passivo Circulante</t>
  </si>
  <si>
    <t>PASSIVO TOTAL</t>
  </si>
  <si>
    <t>Investimentos, Imobilizado e Intangível</t>
  </si>
  <si>
    <t>Ativo Realizável a Longo Prazo</t>
  </si>
  <si>
    <t>Ativo Não Circulante</t>
  </si>
  <si>
    <t>Ativo Circulante</t>
  </si>
  <si>
    <t>ATIVO TOTAL</t>
  </si>
  <si>
    <t>NOAR</t>
  </si>
  <si>
    <r>
      <t>Lucros ou Prejuízos Acumulados</t>
    </r>
    <r>
      <rPr>
        <vertAlign val="superscript"/>
        <sz val="10"/>
        <color theme="1"/>
        <rFont val="Calibri"/>
        <family val="2"/>
        <scheme val="minor"/>
      </rPr>
      <t>3</t>
    </r>
  </si>
  <si>
    <r>
      <t>RICO</t>
    </r>
    <r>
      <rPr>
        <b/>
        <vertAlign val="superscript"/>
        <sz val="11"/>
        <rFont val="Calibri"/>
        <family val="2"/>
        <scheme val="minor"/>
      </rPr>
      <t>10</t>
    </r>
  </si>
  <si>
    <r>
      <t>SOL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</si>
  <si>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t>Retorno sobre o patrimônio líquido</t>
  </si>
  <si>
    <t>Retorno sobre o ativo</t>
  </si>
  <si>
    <t>MAIS</t>
  </si>
  <si>
    <t>MAP</t>
  </si>
  <si>
    <t>DEMONSTRAÇÃO DO RESULTADO DO EXERCÍCIO ENCERRADA EM 31/12/2012</t>
  </si>
  <si>
    <t>TRIP¹³</t>
  </si>
  <si>
    <r>
      <t>RIO</t>
    </r>
    <r>
      <rPr>
        <b/>
        <vertAlign val="superscript"/>
        <sz val="8"/>
        <color theme="1"/>
        <rFont val="Calibri"/>
        <family val="2"/>
        <scheme val="minor"/>
      </rPr>
      <t>14</t>
    </r>
  </si>
  <si>
    <r>
      <t>PANTANAL</t>
    </r>
    <r>
      <rPr>
        <b/>
        <vertAlign val="superscript"/>
        <sz val="11"/>
        <color theme="1"/>
        <rFont val="Calibri"/>
        <family val="2"/>
        <scheme val="minor"/>
      </rPr>
      <t>6,7</t>
    </r>
  </si>
  <si>
    <r>
      <t>NHT</t>
    </r>
    <r>
      <rPr>
        <b/>
        <vertAlign val="superscript"/>
        <sz val="11"/>
        <color theme="1"/>
        <rFont val="Calibri"/>
        <family val="2"/>
        <scheme val="minor"/>
      </rPr>
      <t>14</t>
    </r>
  </si>
  <si>
    <t>DEMONSTRAÇÃO DO RESULTADO ENCERRADO EM 30/09/2012 (julho a setembro)</t>
  </si>
  <si>
    <t>DEMONSTRAÇÃO DO RESULTADO ENCERRADO EM 30/06/2012 (abril a junho)</t>
  </si>
  <si>
    <r>
      <t>TAM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</si>
  <si>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>PANTANAL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</si>
  <si>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DEMONSTRAÇÃO DO RESULTADO ENCERRADO EM 31/03/2012 (janeiro a março)</t>
  </si>
  <si>
    <r>
      <t>PASSAREDO</t>
    </r>
    <r>
      <rPr>
        <b/>
        <vertAlign val="superscript"/>
        <sz val="11"/>
        <color theme="1"/>
        <rFont val="Calibri"/>
        <family val="2"/>
        <scheme val="minor"/>
      </rPr>
      <t xml:space="preserve">5  </t>
    </r>
  </si>
  <si>
    <r>
      <t>PANTANAL</t>
    </r>
    <r>
      <rPr>
        <b/>
        <vertAlign val="superscript"/>
        <sz val="11"/>
        <color theme="1"/>
        <rFont val="Calibri"/>
        <family val="2"/>
        <scheme val="minor"/>
      </rPr>
      <t xml:space="preserve">4   </t>
    </r>
  </si>
  <si>
    <r>
      <t>GOL</t>
    </r>
    <r>
      <rPr>
        <b/>
        <vertAlign val="superscript"/>
        <sz val="11"/>
        <color theme="1"/>
        <rFont val="Calibri"/>
        <family val="2"/>
        <scheme val="minor"/>
      </rPr>
      <t>13</t>
    </r>
  </si>
  <si>
    <t>BALANÇO PATRIMONIAL ENCERRADO EM 30/09/2012 (julho a setembro)</t>
  </si>
  <si>
    <t>BALANÇO PATRIMONIAL ENCERRADO EM 30/06/2012 (abril a junho)</t>
  </si>
  <si>
    <t>BALANÇO PATRIMONIAL ENCERRADO EM 31/03/2012 (janeiro a março)</t>
  </si>
  <si>
    <t>BALANÇO PATRIMONIAL ENCERRADO EM 31/12/2012(janeiro a dezembro)</t>
  </si>
  <si>
    <t>GAF</t>
  </si>
  <si>
    <t/>
  </si>
  <si>
    <r>
      <t xml:space="preserve">SOL </t>
    </r>
    <r>
      <rPr>
        <b/>
        <vertAlign val="superscript"/>
        <sz val="11"/>
        <rFont val="Calibri"/>
        <family val="2"/>
        <scheme val="minor"/>
      </rPr>
      <t>11</t>
    </r>
  </si>
  <si>
    <r>
      <t>SOL</t>
    </r>
    <r>
      <rPr>
        <b/>
        <vertAlign val="superscript"/>
        <sz val="11"/>
        <rFont val="Calibri"/>
        <family val="2"/>
        <scheme val="minor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</si>
</sst>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4" fillId="0" borderId="0" xfId="1"/>
    <xf numFmtId="0" fontId="4" fillId="0" borderId="2" xfId="1" applyFont="1" applyFill="1" applyBorder="1"/>
    <xf numFmtId="0" fontId="4" fillId="0" borderId="4" xfId="1" applyFont="1" applyFill="1" applyBorder="1"/>
    <xf numFmtId="164" fontId="0" fillId="0" borderId="3" xfId="3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165" fontId="3" fillId="2" borderId="0" xfId="4" applyNumberFormat="1" applyFont="1" applyFill="1" applyBorder="1"/>
    <xf numFmtId="164" fontId="6" fillId="2" borderId="0" xfId="4" applyFont="1" applyFill="1"/>
    <xf numFmtId="3" fontId="3" fillId="0" borderId="1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0" fontId="3" fillId="0" borderId="2" xfId="1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/>
    <xf numFmtId="3" fontId="3" fillId="0" borderId="1" xfId="1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right"/>
    </xf>
    <xf numFmtId="3" fontId="3" fillId="2" borderId="1" xfId="2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3" fillId="0" borderId="0" xfId="5" applyFont="1"/>
    <xf numFmtId="0" fontId="1" fillId="2" borderId="0" xfId="5" applyFont="1" applyFill="1"/>
    <xf numFmtId="3" fontId="4" fillId="0" borderId="1" xfId="1" applyNumberFormat="1" applyFont="1" applyFill="1" applyBorder="1" applyAlignment="1">
      <alignment horizontal="left"/>
    </xf>
    <xf numFmtId="0" fontId="2" fillId="4" borderId="5" xfId="1" applyFont="1" applyFill="1" applyBorder="1" applyAlignment="1">
      <alignment horizontal="center" vertical="center"/>
    </xf>
    <xf numFmtId="0" fontId="11" fillId="0" borderId="0" xfId="1" applyFont="1"/>
    <xf numFmtId="4" fontId="3" fillId="0" borderId="3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left"/>
    </xf>
    <xf numFmtId="0" fontId="2" fillId="3" borderId="1" xfId="1" applyFont="1" applyFill="1" applyBorder="1" applyAlignment="1">
      <alignment horizontal="right"/>
    </xf>
    <xf numFmtId="0" fontId="1" fillId="0" borderId="0" xfId="5" applyFont="1"/>
    <xf numFmtId="165" fontId="6" fillId="2" borderId="0" xfId="4" applyNumberFormat="1" applyFont="1" applyFill="1" applyBorder="1"/>
    <xf numFmtId="0" fontId="3" fillId="0" borderId="6" xfId="5" applyFont="1" applyBorder="1" applyAlignment="1">
      <alignment horizontal="left"/>
    </xf>
    <xf numFmtId="164" fontId="6" fillId="0" borderId="0" xfId="4" applyFont="1" applyFill="1"/>
    <xf numFmtId="0" fontId="1" fillId="0" borderId="0" xfId="5" applyFont="1" applyFill="1" applyBorder="1" applyAlignment="1">
      <alignment horizontal="left"/>
    </xf>
    <xf numFmtId="0" fontId="1" fillId="0" borderId="0" xfId="5" applyFont="1" applyFill="1"/>
    <xf numFmtId="165" fontId="1" fillId="0" borderId="0" xfId="5" applyNumberFormat="1" applyFont="1"/>
    <xf numFmtId="165" fontId="16" fillId="2" borderId="0" xfId="4" applyNumberFormat="1" applyFont="1" applyFill="1" applyBorder="1"/>
    <xf numFmtId="0" fontId="1" fillId="0" borderId="0" xfId="5" applyFont="1" applyBorder="1" applyAlignment="1">
      <alignment horizontal="left"/>
    </xf>
    <xf numFmtId="165" fontId="1" fillId="0" borderId="0" xfId="5" applyNumberFormat="1" applyFont="1" applyFill="1" applyBorder="1" applyAlignment="1">
      <alignment horizontal="left"/>
    </xf>
    <xf numFmtId="165" fontId="1" fillId="0" borderId="0" xfId="5" applyNumberFormat="1" applyFont="1" applyBorder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/>
    <xf numFmtId="0" fontId="3" fillId="0" borderId="0" xfId="5" applyFont="1" applyAlignment="1">
      <alignment horizontal="right"/>
    </xf>
    <xf numFmtId="164" fontId="6" fillId="2" borderId="0" xfId="4" applyFont="1" applyFill="1" applyAlignment="1">
      <alignment horizontal="right"/>
    </xf>
    <xf numFmtId="0" fontId="1" fillId="2" borderId="0" xfId="5" applyFont="1" applyFill="1" applyAlignment="1">
      <alignment horizontal="right"/>
    </xf>
    <xf numFmtId="0" fontId="1" fillId="0" borderId="0" xfId="5" applyFont="1" applyAlignment="1"/>
    <xf numFmtId="164" fontId="6" fillId="2" borderId="0" xfId="4" applyNumberFormat="1" applyFont="1" applyFill="1" applyBorder="1" applyAlignment="1">
      <alignment horizontal="right"/>
    </xf>
    <xf numFmtId="0" fontId="6" fillId="2" borderId="0" xfId="4" applyNumberFormat="1" applyFont="1" applyFill="1" applyBorder="1" applyAlignment="1">
      <alignment horizontal="right"/>
    </xf>
    <xf numFmtId="164" fontId="9" fillId="2" borderId="0" xfId="4" applyFont="1" applyFill="1" applyAlignment="1">
      <alignment horizontal="right"/>
    </xf>
    <xf numFmtId="4" fontId="3" fillId="0" borderId="3" xfId="1" applyNumberFormat="1" applyFont="1" applyFill="1" applyBorder="1" applyAlignment="1"/>
    <xf numFmtId="165" fontId="1" fillId="2" borderId="0" xfId="5" applyNumberFormat="1" applyFont="1" applyFill="1" applyAlignment="1">
      <alignment horizontal="right"/>
    </xf>
    <xf numFmtId="3" fontId="4" fillId="0" borderId="1" xfId="1" applyNumberFormat="1" applyFont="1" applyFill="1" applyBorder="1" applyAlignment="1"/>
    <xf numFmtId="3" fontId="3" fillId="0" borderId="1" xfId="1" applyNumberFormat="1" applyFont="1" applyFill="1" applyBorder="1" applyAlignment="1"/>
    <xf numFmtId="165" fontId="9" fillId="2" borderId="0" xfId="4" applyNumberFormat="1" applyFont="1" applyFill="1" applyAlignment="1">
      <alignment horizontal="right"/>
    </xf>
    <xf numFmtId="164" fontId="6" fillId="0" borderId="0" xfId="4" applyFont="1" applyAlignment="1"/>
    <xf numFmtId="0" fontId="2" fillId="3" borderId="1" xfId="1" applyFont="1" applyFill="1" applyBorder="1" applyAlignment="1"/>
    <xf numFmtId="0" fontId="8" fillId="0" borderId="0" xfId="5" applyFont="1" applyAlignment="1"/>
    <xf numFmtId="0" fontId="7" fillId="0" borderId="0" xfId="5" applyFont="1" applyAlignment="1">
      <alignment horizontal="right"/>
    </xf>
    <xf numFmtId="0" fontId="7" fillId="0" borderId="0" xfId="5" applyFont="1" applyAlignment="1"/>
    <xf numFmtId="0" fontId="3" fillId="0" borderId="4" xfId="1" applyFont="1" applyFill="1" applyBorder="1" applyAlignment="1"/>
    <xf numFmtId="0" fontId="3" fillId="0" borderId="2" xfId="1" applyFont="1" applyFill="1" applyBorder="1" applyAlignment="1"/>
    <xf numFmtId="0" fontId="2" fillId="5" borderId="1" xfId="1" applyFont="1" applyFill="1" applyBorder="1" applyAlignment="1">
      <alignment horizontal="right"/>
    </xf>
    <xf numFmtId="4" fontId="15" fillId="2" borderId="6" xfId="4" applyNumberFormat="1" applyFont="1" applyFill="1" applyBorder="1"/>
    <xf numFmtId="4" fontId="16" fillId="2" borderId="6" xfId="4" applyNumberFormat="1" applyFont="1" applyFill="1" applyBorder="1"/>
    <xf numFmtId="165" fontId="16" fillId="2" borderId="6" xfId="4" applyNumberFormat="1" applyFont="1" applyFill="1" applyBorder="1"/>
    <xf numFmtId="10" fontId="16" fillId="2" borderId="6" xfId="2" applyNumberFormat="1" applyFont="1" applyFill="1" applyBorder="1"/>
    <xf numFmtId="0" fontId="3" fillId="0" borderId="0" xfId="1" applyFont="1" applyFill="1" applyBorder="1"/>
    <xf numFmtId="3" fontId="3" fillId="0" borderId="0" xfId="2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165" fontId="9" fillId="2" borderId="0" xfId="4" applyNumberFormat="1" applyFont="1" applyFill="1"/>
    <xf numFmtId="164" fontId="9" fillId="2" borderId="0" xfId="4" applyFont="1" applyFill="1"/>
    <xf numFmtId="165" fontId="1" fillId="2" borderId="0" xfId="5" applyNumberFormat="1" applyFont="1" applyFill="1"/>
    <xf numFmtId="0" fontId="1" fillId="0" borderId="6" xfId="5" applyFont="1" applyBorder="1" applyAlignment="1">
      <alignment horizontal="left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right" vertical="center"/>
    </xf>
  </cellXfs>
  <cellStyles count="6">
    <cellStyle name="Normal" xfId="0" builtinId="0"/>
    <cellStyle name="Normal 2" xfId="1"/>
    <cellStyle name="Normal 3" xfId="5"/>
    <cellStyle name="Porcentagem 2" xfId="2"/>
    <cellStyle name="Separador de milhares 2" xfId="4"/>
    <cellStyle name="Vírgula 2" xfId="3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E/GEAC/Dados%20econ&#244;micos/Documentos%20Cont&#225;beis/Documentos%20Cont&#225;beis%20Portaria%201334-04/Dados%20Portaria%201334-04/Resumo%20Acompanhamento%20Econ&#244;mico-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DRO Mensal R$"/>
      <sheetName val="DRO Trimestral R$"/>
      <sheetName val="DRO Semestral R$"/>
      <sheetName val="DRO Mensal %"/>
      <sheetName val="DRO Trimestral %"/>
      <sheetName val="DRO Semestral %"/>
      <sheetName val="DRO Anual %"/>
      <sheetName val="Petróleo"/>
      <sheetName val="Dólar"/>
      <sheetName val="Gráf1"/>
      <sheetName val="Balanço Patrimonial %"/>
      <sheetName val="Balanço Patrimonial"/>
      <sheetName val="Demonstração do Resultado"/>
      <sheetName val="DRO Anual R$"/>
      <sheetName val="Diferença DRO x DRE"/>
      <sheetName val="DRO X DRE TAM"/>
      <sheetName val="Demonstração do Resultado %"/>
      <sheetName val="Sugestão de 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7">
          <cell r="B127">
            <v>2655.4978500000002</v>
          </cell>
          <cell r="D127">
            <v>0</v>
          </cell>
          <cell r="M127">
            <v>6153.5760899999996</v>
          </cell>
          <cell r="P127">
            <v>0</v>
          </cell>
          <cell r="S127">
            <v>0</v>
          </cell>
        </row>
        <row r="137">
          <cell r="D137">
            <v>0</v>
          </cell>
          <cell r="M137">
            <v>-5639.0378200000005</v>
          </cell>
          <cell r="P137">
            <v>0</v>
          </cell>
          <cell r="S137">
            <v>0</v>
          </cell>
        </row>
        <row r="156">
          <cell r="S156">
            <v>0</v>
          </cell>
        </row>
      </sheetData>
      <sheetData sheetId="13" refreshError="1">
        <row r="144">
          <cell r="B144">
            <v>-1.4203277906208776</v>
          </cell>
          <cell r="D144">
            <v>0</v>
          </cell>
          <cell r="M144">
            <v>-0.38584359953645936</v>
          </cell>
          <cell r="Q144">
            <v>0</v>
          </cell>
          <cell r="T144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7"/>
  <sheetViews>
    <sheetView topLeftCell="A61" workbookViewId="0">
      <selection activeCell="Z3" sqref="Z3:Z20"/>
    </sheetView>
  </sheetViews>
  <sheetFormatPr defaultRowHeight="12.75" x14ac:dyDescent="0.2"/>
  <cols>
    <col min="1" max="1" width="99.140625" style="1" bestFit="1" customWidth="1"/>
    <col min="2" max="2" width="8.28515625" style="1" bestFit="1" customWidth="1"/>
    <col min="3" max="3" width="9.140625" style="1" bestFit="1" customWidth="1"/>
    <col min="4" max="4" width="10.5703125" style="1" bestFit="1" customWidth="1"/>
    <col min="5" max="5" width="9.85546875" style="1" bestFit="1" customWidth="1"/>
    <col min="6" max="6" width="10.5703125" style="1" bestFit="1" customWidth="1"/>
    <col min="7" max="7" width="5.7109375" style="1" bestFit="1" customWidth="1"/>
    <col min="8" max="8" width="8.42578125" style="1" bestFit="1" customWidth="1"/>
    <col min="9" max="9" width="10.5703125" style="1" bestFit="1" customWidth="1"/>
    <col min="10" max="10" width="8.28515625" style="1" bestFit="1" customWidth="1"/>
    <col min="11" max="11" width="12" style="1" bestFit="1" customWidth="1"/>
    <col min="12" max="12" width="8.28515625" style="1" bestFit="1" customWidth="1"/>
    <col min="13" max="13" width="8.140625" style="1" bestFit="1" customWidth="1"/>
    <col min="14" max="14" width="6.28515625" style="1" bestFit="1" customWidth="1"/>
    <col min="15" max="15" width="12.5703125" style="1" bestFit="1" customWidth="1"/>
    <col min="16" max="16" width="11.5703125" style="1" bestFit="1" customWidth="1"/>
    <col min="17" max="17" width="6.7109375" style="1" bestFit="1" customWidth="1"/>
    <col min="18" max="18" width="8.28515625" style="1" bestFit="1" customWidth="1"/>
    <col min="19" max="19" width="8.140625" style="1" bestFit="1" customWidth="1"/>
    <col min="20" max="20" width="5.7109375" style="1" bestFit="1" customWidth="1"/>
    <col min="21" max="21" width="10.85546875" style="1" bestFit="1" customWidth="1"/>
    <col min="22" max="22" width="8.5703125" style="1" bestFit="1" customWidth="1"/>
    <col min="23" max="23" width="10" style="1" bestFit="1" customWidth="1"/>
    <col min="24" max="24" width="11.85546875" style="1" bestFit="1" customWidth="1"/>
    <col min="25" max="25" width="9.85546875" style="1" bestFit="1" customWidth="1"/>
    <col min="26" max="26" width="12.5703125" style="1" bestFit="1" customWidth="1"/>
    <col min="27" max="16384" width="9.140625" style="1"/>
  </cols>
  <sheetData>
    <row r="1" spans="1:26" ht="15" x14ac:dyDescent="0.2">
      <c r="A1" s="70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>
        <v>1000</v>
      </c>
      <c r="Y1" s="71"/>
      <c r="Z1" s="71">
        <v>1000</v>
      </c>
    </row>
    <row r="2" spans="1:26" ht="17.25" x14ac:dyDescent="0.25">
      <c r="A2" s="16" t="s">
        <v>43</v>
      </c>
      <c r="B2" s="16" t="s">
        <v>42</v>
      </c>
      <c r="C2" s="16" t="s">
        <v>41</v>
      </c>
      <c r="D2" s="16" t="s">
        <v>40</v>
      </c>
      <c r="E2" s="16" t="s">
        <v>39</v>
      </c>
      <c r="F2" s="16" t="s">
        <v>38</v>
      </c>
      <c r="G2" s="16" t="s">
        <v>37</v>
      </c>
      <c r="H2" s="16" t="s">
        <v>36</v>
      </c>
      <c r="I2" s="16" t="s">
        <v>35</v>
      </c>
      <c r="J2" s="16" t="s">
        <v>71</v>
      </c>
      <c r="K2" s="16" t="s">
        <v>34</v>
      </c>
      <c r="L2" s="16" t="s">
        <v>64</v>
      </c>
      <c r="M2" s="16" t="s">
        <v>33</v>
      </c>
      <c r="N2" s="16" t="s">
        <v>64</v>
      </c>
      <c r="O2" s="16" t="s">
        <v>80</v>
      </c>
      <c r="P2" s="16" t="s">
        <v>31</v>
      </c>
      <c r="Q2" s="16" t="s">
        <v>66</v>
      </c>
      <c r="R2" s="16" t="s">
        <v>29</v>
      </c>
      <c r="S2" s="16" t="s">
        <v>28</v>
      </c>
      <c r="T2" s="16" t="s">
        <v>67</v>
      </c>
      <c r="U2" s="16" t="s">
        <v>79</v>
      </c>
      <c r="V2" s="16" t="s">
        <v>25</v>
      </c>
      <c r="W2" s="16" t="s">
        <v>24</v>
      </c>
      <c r="X2" s="16" t="s">
        <v>23</v>
      </c>
      <c r="Y2" s="16" t="s">
        <v>22</v>
      </c>
      <c r="Z2" s="16" t="s">
        <v>25</v>
      </c>
    </row>
    <row r="3" spans="1:26" ht="15" x14ac:dyDescent="0.25">
      <c r="A3" s="10" t="s">
        <v>21</v>
      </c>
      <c r="B3" s="14">
        <v>178.45294000000001</v>
      </c>
      <c r="C3" s="14">
        <v>160314.13768000001</v>
      </c>
      <c r="D3" s="14">
        <v>0</v>
      </c>
      <c r="E3" s="14">
        <f>318145238.38/1000</f>
        <v>318145.23838</v>
      </c>
      <c r="F3" s="14">
        <v>605236</v>
      </c>
      <c r="G3" s="14"/>
      <c r="H3" s="14">
        <v>188</v>
      </c>
      <c r="I3" s="14">
        <f>1924727.2954723+240878.9958777</f>
        <v>2165606.2913500001</v>
      </c>
      <c r="J3" s="14"/>
      <c r="K3" s="14"/>
      <c r="L3" s="14">
        <f>145956.11/1000</f>
        <v>145.95611</v>
      </c>
      <c r="M3" s="14">
        <f>4729300.08/1000</f>
        <v>4729.30008</v>
      </c>
      <c r="N3" s="14"/>
      <c r="O3" s="14">
        <v>32965</v>
      </c>
      <c r="P3" s="14">
        <v>56022</v>
      </c>
      <c r="Q3" s="14"/>
      <c r="R3" s="14">
        <f>56969383.98/1000</f>
        <v>56969.383979999999</v>
      </c>
      <c r="S3" s="14">
        <f>7591592.64/1000</f>
        <v>7591.5926399999998</v>
      </c>
      <c r="T3" s="14"/>
      <c r="U3" s="14">
        <v>3117007</v>
      </c>
      <c r="V3" s="14">
        <f>29764186.06/1000</f>
        <v>29764.18606</v>
      </c>
      <c r="W3" s="15">
        <v>349449</v>
      </c>
      <c r="X3" s="14"/>
      <c r="Y3" s="14">
        <v>319052</v>
      </c>
      <c r="Z3" s="14">
        <f t="shared" ref="Z3:Z20" si="0">SUM(B3:Y3)</f>
        <v>7223363.5392199997</v>
      </c>
    </row>
    <row r="4" spans="1:26" ht="15" x14ac:dyDescent="0.25">
      <c r="A4" s="12" t="s">
        <v>20</v>
      </c>
      <c r="B4" s="14">
        <v>-274.13333999999998</v>
      </c>
      <c r="C4" s="14">
        <v>-157592.68899327901</v>
      </c>
      <c r="D4" s="14">
        <f>-566705/1000</f>
        <v>-566.70500000000004</v>
      </c>
      <c r="E4" s="14">
        <f>-278816069.45/1000</f>
        <v>-278816.06945000001</v>
      </c>
      <c r="F4" s="14">
        <v>-495795</v>
      </c>
      <c r="G4" s="14"/>
      <c r="H4" s="14">
        <v>-271</v>
      </c>
      <c r="I4" s="14">
        <v>-1941872.6270600001</v>
      </c>
      <c r="J4" s="14"/>
      <c r="K4" s="14"/>
      <c r="L4" s="14">
        <f>-792332.36/1000</f>
        <v>-792.33235999999999</v>
      </c>
      <c r="M4" s="14">
        <f>-5510142.95/1000</f>
        <v>-5510.1429500000004</v>
      </c>
      <c r="N4" s="14"/>
      <c r="O4" s="14"/>
      <c r="P4" s="14">
        <v>-52554</v>
      </c>
      <c r="Q4" s="14"/>
      <c r="R4" s="14">
        <f>(-45657062.41-5239178.35)/1000</f>
        <v>-50896.240760000001</v>
      </c>
      <c r="S4" s="14">
        <f>-6470657.91/1000</f>
        <v>-6470.6579099999999</v>
      </c>
      <c r="T4" s="14"/>
      <c r="U4" s="14">
        <v>-2576432</v>
      </c>
      <c r="V4" s="14">
        <f>-26866470.3/1000</f>
        <v>-26866.470300000001</v>
      </c>
      <c r="W4" s="14">
        <v>-317010</v>
      </c>
      <c r="X4" s="14"/>
      <c r="Y4" s="14">
        <v>-254161</v>
      </c>
      <c r="Z4" s="14">
        <f t="shared" si="0"/>
        <v>-6165881.0681232791</v>
      </c>
    </row>
    <row r="5" spans="1:26" ht="15" x14ac:dyDescent="0.25">
      <c r="A5" s="10" t="s">
        <v>19</v>
      </c>
      <c r="B5" s="14">
        <v>-95.680400000000006</v>
      </c>
      <c r="C5" s="14">
        <f>C3+C4</f>
        <v>2721.4486867210071</v>
      </c>
      <c r="D5" s="14">
        <f>-566705/1000</f>
        <v>-566.70500000000004</v>
      </c>
      <c r="E5" s="14">
        <f>39329168.93/1000</f>
        <v>39329.16893</v>
      </c>
      <c r="F5" s="14">
        <v>109441</v>
      </c>
      <c r="G5" s="14"/>
      <c r="H5" s="14">
        <v>-83</v>
      </c>
      <c r="I5" s="14">
        <f>SUM(I3:I4)</f>
        <v>223733.66428999999</v>
      </c>
      <c r="J5" s="14"/>
      <c r="K5" s="14"/>
      <c r="L5" s="14">
        <f>-646376.25/1000</f>
        <v>-646.37625000000003</v>
      </c>
      <c r="M5" s="14">
        <f>-780842.87/1000</f>
        <v>-780.84286999999995</v>
      </c>
      <c r="N5" s="14"/>
      <c r="O5" s="14">
        <f>32965</f>
        <v>32965</v>
      </c>
      <c r="P5" s="14">
        <v>3468</v>
      </c>
      <c r="Q5" s="14"/>
      <c r="R5" s="14">
        <f>6073143.22/1000</f>
        <v>6073.1432199999999</v>
      </c>
      <c r="S5" s="14">
        <f>1120934.73/1000</f>
        <v>1120.9347299999999</v>
      </c>
      <c r="T5" s="14"/>
      <c r="U5" s="14">
        <v>540575</v>
      </c>
      <c r="V5" s="14">
        <f>2897715.76/1000</f>
        <v>2897.7157599999996</v>
      </c>
      <c r="W5" s="15">
        <v>32439</v>
      </c>
      <c r="X5" s="14"/>
      <c r="Y5" s="14">
        <v>64891</v>
      </c>
      <c r="Z5" s="14">
        <f t="shared" si="0"/>
        <v>1057482.471096721</v>
      </c>
    </row>
    <row r="6" spans="1:26" ht="15" x14ac:dyDescent="0.25">
      <c r="A6" s="12" t="s">
        <v>18</v>
      </c>
      <c r="B6" s="14">
        <f>-21727.6/1000</f>
        <v>-21.727599999999999</v>
      </c>
      <c r="C6" s="14">
        <v>-9922.0012392810168</v>
      </c>
      <c r="D6" s="14">
        <f>(-577310-4164-11732-225331)/1000</f>
        <v>-818.53700000000003</v>
      </c>
      <c r="E6" s="14">
        <f>(-25048631.15-17195954.83-17838239.96)/1000</f>
        <v>-60082.825939999995</v>
      </c>
      <c r="F6" s="14">
        <v>-75759</v>
      </c>
      <c r="G6" s="14"/>
      <c r="H6" s="14">
        <v>-40.9</v>
      </c>
      <c r="I6" s="14">
        <f>-92881.48587-126168.93</f>
        <v>-219050.41587</v>
      </c>
      <c r="J6" s="14"/>
      <c r="K6" s="14"/>
      <c r="L6" s="14">
        <f>-246542.8/1000</f>
        <v>-246.5428</v>
      </c>
      <c r="M6" s="14">
        <f>-629478.9/1000</f>
        <v>-629.47890000000007</v>
      </c>
      <c r="N6" s="14"/>
      <c r="O6" s="14">
        <v>-32983</v>
      </c>
      <c r="P6" s="14">
        <v>-11385</v>
      </c>
      <c r="Q6" s="14"/>
      <c r="R6" s="14">
        <f>(-3728739.76+200053.79)/1000</f>
        <v>-3528.6859699999995</v>
      </c>
      <c r="S6" s="14">
        <f>-1331762.56/1000</f>
        <v>-1331.7625600000001</v>
      </c>
      <c r="T6" s="14"/>
      <c r="U6" s="14">
        <v>-659253</v>
      </c>
      <c r="V6" s="14">
        <f>(-2478479.1-522186.32+625147.86)/1000</f>
        <v>-2375.5175600000002</v>
      </c>
      <c r="W6" s="14">
        <v>-29031</v>
      </c>
      <c r="X6" s="14"/>
      <c r="Y6" s="14">
        <v>-20923</v>
      </c>
      <c r="Z6" s="14">
        <f t="shared" si="0"/>
        <v>-1127382.3954392811</v>
      </c>
    </row>
    <row r="7" spans="1:26" ht="15" x14ac:dyDescent="0.25">
      <c r="A7" s="10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/>
      <c r="H7" s="14">
        <v>0</v>
      </c>
      <c r="I7" s="14">
        <v>0</v>
      </c>
      <c r="J7" s="14"/>
      <c r="K7" s="14"/>
      <c r="L7" s="14">
        <v>0</v>
      </c>
      <c r="M7" s="14">
        <v>0</v>
      </c>
      <c r="N7" s="14"/>
      <c r="O7" s="14">
        <v>0</v>
      </c>
      <c r="P7" s="14">
        <v>0</v>
      </c>
      <c r="Q7" s="14"/>
      <c r="R7" s="14"/>
      <c r="S7" s="14">
        <v>0</v>
      </c>
      <c r="T7" s="14"/>
      <c r="U7" s="14">
        <v>27712</v>
      </c>
      <c r="V7" s="14">
        <v>0</v>
      </c>
      <c r="W7" s="14">
        <v>0</v>
      </c>
      <c r="X7" s="14"/>
      <c r="Y7" s="14">
        <v>0</v>
      </c>
      <c r="Z7" s="14">
        <f t="shared" si="0"/>
        <v>27712</v>
      </c>
    </row>
    <row r="8" spans="1:26" ht="15" x14ac:dyDescent="0.25">
      <c r="A8" s="10" t="s">
        <v>16</v>
      </c>
      <c r="B8" s="14">
        <f>B5+B6</f>
        <v>-117.408</v>
      </c>
      <c r="C8" s="14">
        <f>C5+C6</f>
        <v>-7200.5525525600096</v>
      </c>
      <c r="D8" s="14">
        <f>D5+D6</f>
        <v>-1385.2420000000002</v>
      </c>
      <c r="E8" s="14">
        <f>-20753657.01/1000</f>
        <v>-20753.657010000003</v>
      </c>
      <c r="F8" s="14">
        <v>33682</v>
      </c>
      <c r="G8" s="14"/>
      <c r="H8" s="14">
        <v>-123.89</v>
      </c>
      <c r="I8" s="14">
        <f>SUM(I5:I7)</f>
        <v>4683.248419999989</v>
      </c>
      <c r="J8" s="14"/>
      <c r="K8" s="14"/>
      <c r="L8" s="14">
        <f>-892919.05/1000</f>
        <v>-892.91905000000008</v>
      </c>
      <c r="M8" s="14">
        <f>-1410321.77/1000</f>
        <v>-1410.32177</v>
      </c>
      <c r="N8" s="14"/>
      <c r="O8" s="14">
        <f>-18</f>
        <v>-18</v>
      </c>
      <c r="P8" s="14">
        <v>-7917</v>
      </c>
      <c r="Q8" s="14"/>
      <c r="R8" s="14">
        <f>2544457.25/1000</f>
        <v>2544.4572499999999</v>
      </c>
      <c r="S8" s="14">
        <f>-210827.83/1000</f>
        <v>-210.82782999999998</v>
      </c>
      <c r="T8" s="14"/>
      <c r="U8" s="14">
        <v>-90966</v>
      </c>
      <c r="V8" s="14">
        <f>V5+V6</f>
        <v>522.19819999999936</v>
      </c>
      <c r="W8" s="15">
        <v>3408</v>
      </c>
      <c r="X8" s="14"/>
      <c r="Y8" s="14">
        <v>43968</v>
      </c>
      <c r="Z8" s="14">
        <f t="shared" si="0"/>
        <v>-42187.91434256002</v>
      </c>
    </row>
    <row r="9" spans="1:26" ht="15" x14ac:dyDescent="0.25">
      <c r="A9" s="10" t="s">
        <v>15</v>
      </c>
      <c r="B9" s="14">
        <f>SUM(B10:B15)</f>
        <v>-6.5366199999999992</v>
      </c>
      <c r="C9" s="14">
        <v>-367.80776000001202</v>
      </c>
      <c r="D9" s="14">
        <f>SUM(D10:D15)</f>
        <v>-970.42899999999997</v>
      </c>
      <c r="E9" s="14">
        <f>18322.07/1000</f>
        <v>18.32207</v>
      </c>
      <c r="F9" s="14">
        <v>-41140</v>
      </c>
      <c r="G9" s="14"/>
      <c r="H9" s="14">
        <v>-0.83</v>
      </c>
      <c r="I9" s="14">
        <v>-30288</v>
      </c>
      <c r="J9" s="14"/>
      <c r="K9" s="14"/>
      <c r="L9" s="14">
        <f>-19858.7/1000</f>
        <v>-19.858700000000002</v>
      </c>
      <c r="M9" s="14">
        <f>SUM(M10:M15)</f>
        <v>5.3519299999999994</v>
      </c>
      <c r="N9" s="14"/>
      <c r="O9" s="14">
        <v>-7925</v>
      </c>
      <c r="P9" s="14">
        <v>-5036</v>
      </c>
      <c r="Q9" s="14"/>
      <c r="R9" s="14">
        <f>SUM(R10:R15)</f>
        <v>-652.05928999999992</v>
      </c>
      <c r="S9" s="14">
        <f>S11+S12</f>
        <v>-438.17289</v>
      </c>
      <c r="T9" s="14"/>
      <c r="U9" s="14">
        <v>223808</v>
      </c>
      <c r="V9" s="14">
        <f>SUM(V10:V15)</f>
        <v>-5052.9448899999998</v>
      </c>
      <c r="W9" s="14">
        <v>-23361</v>
      </c>
      <c r="X9" s="14"/>
      <c r="Y9" s="14">
        <v>-10161</v>
      </c>
      <c r="Z9" s="14">
        <f t="shared" si="0"/>
        <v>98412.034849999967</v>
      </c>
    </row>
    <row r="10" spans="1:26" x14ac:dyDescent="0.2">
      <c r="A10" s="3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/>
      <c r="H10" s="5">
        <v>0</v>
      </c>
      <c r="I10" s="5">
        <v>0</v>
      </c>
      <c r="J10" s="5"/>
      <c r="K10" s="5"/>
      <c r="L10" s="5">
        <v>0</v>
      </c>
      <c r="M10" s="5">
        <v>0</v>
      </c>
      <c r="N10" s="5"/>
      <c r="O10" s="5">
        <v>0</v>
      </c>
      <c r="P10" s="5">
        <v>0</v>
      </c>
      <c r="Q10" s="5"/>
      <c r="R10" s="5"/>
      <c r="S10" s="5">
        <v>0</v>
      </c>
      <c r="T10" s="5"/>
      <c r="U10" s="5">
        <v>54276</v>
      </c>
      <c r="V10" s="5"/>
      <c r="W10" s="5">
        <v>0</v>
      </c>
      <c r="Y10" s="1">
        <v>0</v>
      </c>
      <c r="Z10" s="1">
        <f t="shared" si="0"/>
        <v>54276</v>
      </c>
    </row>
    <row r="11" spans="1:26" x14ac:dyDescent="0.2">
      <c r="A11" s="2" t="s">
        <v>13</v>
      </c>
      <c r="B11" s="5">
        <v>1.2959700000000001</v>
      </c>
      <c r="C11" s="5">
        <v>0</v>
      </c>
      <c r="D11" s="5">
        <v>0</v>
      </c>
      <c r="E11" s="5">
        <v>0</v>
      </c>
      <c r="F11" s="5">
        <v>20109</v>
      </c>
      <c r="G11" s="5"/>
      <c r="H11" s="5">
        <v>0</v>
      </c>
      <c r="I11" s="5">
        <v>25908</v>
      </c>
      <c r="J11" s="5"/>
      <c r="K11" s="5"/>
      <c r="L11" s="5">
        <v>0</v>
      </c>
      <c r="M11" s="5">
        <f>6289.65/1000</f>
        <v>6.28965</v>
      </c>
      <c r="N11" s="5"/>
      <c r="O11" s="5">
        <v>0</v>
      </c>
      <c r="P11" s="5">
        <v>0</v>
      </c>
      <c r="Q11" s="5"/>
      <c r="R11" s="5">
        <f>445282.4/1000</f>
        <v>445.2824</v>
      </c>
      <c r="S11" s="5">
        <f>2305.25/1000</f>
        <v>2.30525</v>
      </c>
      <c r="T11" s="5"/>
      <c r="U11" s="5">
        <v>826184</v>
      </c>
      <c r="V11" s="5">
        <v>131.93807000000001</v>
      </c>
      <c r="W11" s="5">
        <v>4169</v>
      </c>
      <c r="Y11" s="1">
        <v>0</v>
      </c>
      <c r="Z11" s="1">
        <f t="shared" si="0"/>
        <v>876957.11134000006</v>
      </c>
    </row>
    <row r="12" spans="1:26" x14ac:dyDescent="0.2">
      <c r="A12" s="3" t="s">
        <v>12</v>
      </c>
      <c r="B12" s="5">
        <v>-7.8325899999999997</v>
      </c>
      <c r="C12" s="5">
        <v>0</v>
      </c>
      <c r="D12" s="5">
        <f>-970429/1000</f>
        <v>-970.42899999999997</v>
      </c>
      <c r="E12" s="5">
        <v>0</v>
      </c>
      <c r="F12" s="5">
        <v>-61249</v>
      </c>
      <c r="G12" s="5"/>
      <c r="H12" s="5">
        <v>0</v>
      </c>
      <c r="I12" s="5">
        <v>-85045</v>
      </c>
      <c r="J12" s="5"/>
      <c r="K12" s="5"/>
      <c r="L12" s="5">
        <v>0</v>
      </c>
      <c r="M12" s="5">
        <v>-8.1020000000000003</v>
      </c>
      <c r="N12" s="5"/>
      <c r="O12" s="5">
        <v>-7925</v>
      </c>
      <c r="P12" s="5">
        <v>0</v>
      </c>
      <c r="Q12" s="5"/>
      <c r="R12" s="5">
        <f>-1097341.69/1000</f>
        <v>-1097.34169</v>
      </c>
      <c r="S12" s="5">
        <f>-440478.14/1000</f>
        <v>-440.47814</v>
      </c>
      <c r="T12" s="5"/>
      <c r="U12" s="5">
        <v>-656652</v>
      </c>
      <c r="V12" s="5">
        <v>-6299.2514099999999</v>
      </c>
      <c r="W12" s="5">
        <v>-27530</v>
      </c>
      <c r="Y12" s="1">
        <v>0</v>
      </c>
      <c r="Z12" s="1">
        <f t="shared" si="0"/>
        <v>-847224.43483000004</v>
      </c>
    </row>
    <row r="13" spans="1:26" x14ac:dyDescent="0.2">
      <c r="A13" s="2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/>
      <c r="H13" s="5">
        <v>0</v>
      </c>
      <c r="I13" s="5">
        <v>19544</v>
      </c>
      <c r="J13" s="5"/>
      <c r="K13" s="5"/>
      <c r="L13" s="5">
        <v>0</v>
      </c>
      <c r="M13" s="5">
        <v>0</v>
      </c>
      <c r="N13" s="5"/>
      <c r="O13" s="5">
        <v>0</v>
      </c>
      <c r="P13" s="5">
        <v>0</v>
      </c>
      <c r="Q13" s="5"/>
      <c r="R13" s="5"/>
      <c r="S13" s="5">
        <v>0</v>
      </c>
      <c r="T13" s="5"/>
      <c r="U13" s="5">
        <v>0</v>
      </c>
      <c r="V13" s="5"/>
      <c r="W13" s="5">
        <v>0</v>
      </c>
      <c r="Y13" s="1">
        <v>0</v>
      </c>
      <c r="Z13" s="1">
        <f t="shared" si="0"/>
        <v>19544</v>
      </c>
    </row>
    <row r="14" spans="1:26" x14ac:dyDescent="0.2">
      <c r="A14" s="3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/>
      <c r="H14" s="5">
        <v>0</v>
      </c>
      <c r="I14" s="5">
        <v>45502</v>
      </c>
      <c r="J14" s="5"/>
      <c r="K14" s="5"/>
      <c r="L14" s="5">
        <v>0</v>
      </c>
      <c r="M14" s="5">
        <f>7164.28/1000</f>
        <v>7.1642799999999998</v>
      </c>
      <c r="N14" s="5"/>
      <c r="O14" s="5">
        <v>0</v>
      </c>
      <c r="P14" s="5">
        <v>0</v>
      </c>
      <c r="Q14" s="5"/>
      <c r="R14" s="5"/>
      <c r="S14" s="5">
        <v>0</v>
      </c>
      <c r="T14" s="5"/>
      <c r="U14" s="5">
        <v>0</v>
      </c>
      <c r="V14" s="5">
        <f>(3066614.13-1952245.68)/1000</f>
        <v>1114.3684499999999</v>
      </c>
      <c r="W14" s="5">
        <v>0</v>
      </c>
      <c r="Y14" s="1">
        <v>0</v>
      </c>
      <c r="Z14" s="1">
        <f t="shared" si="0"/>
        <v>46623.532729999999</v>
      </c>
    </row>
    <row r="15" spans="1:26" x14ac:dyDescent="0.2">
      <c r="A15" s="2" t="s">
        <v>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/>
      <c r="H15" s="5"/>
      <c r="I15" s="5">
        <v>-36198</v>
      </c>
      <c r="J15" s="5"/>
      <c r="K15" s="5"/>
      <c r="L15" s="5">
        <v>0</v>
      </c>
      <c r="M15" s="5">
        <v>0</v>
      </c>
      <c r="N15" s="5"/>
      <c r="O15" s="5">
        <v>0</v>
      </c>
      <c r="P15" s="5">
        <v>0</v>
      </c>
      <c r="Q15" s="5"/>
      <c r="R15" s="5"/>
      <c r="S15" s="5">
        <v>0</v>
      </c>
      <c r="T15" s="5"/>
      <c r="U15" s="5">
        <v>0</v>
      </c>
      <c r="V15" s="5"/>
      <c r="W15" s="5">
        <v>0</v>
      </c>
      <c r="Y15" s="1">
        <v>0</v>
      </c>
      <c r="Z15" s="1">
        <f t="shared" si="0"/>
        <v>-36198</v>
      </c>
    </row>
    <row r="16" spans="1:26" ht="15" x14ac:dyDescent="0.25">
      <c r="A16" s="12" t="s">
        <v>8</v>
      </c>
      <c r="B16" s="8">
        <v>0</v>
      </c>
      <c r="C16" s="8">
        <v>0</v>
      </c>
      <c r="D16" s="8">
        <f>1592651/1000</f>
        <v>1592.6510000000001</v>
      </c>
      <c r="E16" s="8">
        <v>0</v>
      </c>
      <c r="F16" s="8">
        <v>0</v>
      </c>
      <c r="G16" s="8"/>
      <c r="H16" s="8"/>
      <c r="I16" s="8">
        <v>0</v>
      </c>
      <c r="J16" s="8"/>
      <c r="K16" s="8"/>
      <c r="L16" s="8">
        <f>-3986.24/1000</f>
        <v>-3.9862399999999996</v>
      </c>
      <c r="M16" s="8">
        <v>0</v>
      </c>
      <c r="N16" s="8"/>
      <c r="O16" s="8">
        <v>0</v>
      </c>
      <c r="P16" s="8">
        <v>436</v>
      </c>
      <c r="Q16" s="8"/>
      <c r="R16" s="8"/>
      <c r="S16" s="8">
        <f>341347.21/1000</f>
        <v>341.34721000000002</v>
      </c>
      <c r="T16" s="8"/>
      <c r="U16" s="8">
        <v>0</v>
      </c>
      <c r="V16" s="8"/>
      <c r="W16" s="11">
        <v>0</v>
      </c>
      <c r="Y16" s="1">
        <v>0</v>
      </c>
      <c r="Z16" s="1">
        <f t="shared" si="0"/>
        <v>2366.01197</v>
      </c>
    </row>
    <row r="17" spans="1:26" ht="15" x14ac:dyDescent="0.25">
      <c r="A17" s="10" t="s">
        <v>7</v>
      </c>
      <c r="B17" s="8">
        <f>-123944.62/1000</f>
        <v>-123.94462</v>
      </c>
      <c r="C17" s="8">
        <f>C8+C9</f>
        <v>-7568.3603125600221</v>
      </c>
      <c r="D17" s="8">
        <f>D8+D9+D16</f>
        <v>-763.02000000000021</v>
      </c>
      <c r="E17" s="8">
        <f>-20735334.94/1000</f>
        <v>-20735.334940000001</v>
      </c>
      <c r="F17" s="8">
        <v>-7458</v>
      </c>
      <c r="G17" s="8"/>
      <c r="H17" s="8">
        <v>-124.72</v>
      </c>
      <c r="I17" s="8">
        <f>I8+I9</f>
        <v>-25604.751580000011</v>
      </c>
      <c r="J17" s="8"/>
      <c r="K17" s="8"/>
      <c r="L17" s="8">
        <f>-916763.99/1000</f>
        <v>-916.76399000000004</v>
      </c>
      <c r="M17" s="8">
        <f>-1404969.84/1000</f>
        <v>-1404.96984</v>
      </c>
      <c r="N17" s="8"/>
      <c r="O17" s="8">
        <v>-7943</v>
      </c>
      <c r="P17" s="8">
        <v>-12517</v>
      </c>
      <c r="Q17" s="8"/>
      <c r="R17" s="8">
        <f>1892397.96/1000</f>
        <v>1892.39796</v>
      </c>
      <c r="S17" s="8">
        <f>-307653.51/1000</f>
        <v>-307.65350999999998</v>
      </c>
      <c r="T17" s="8"/>
      <c r="U17" s="8">
        <v>132842</v>
      </c>
      <c r="V17" s="8">
        <f>-4530746.69/1000</f>
        <v>-4530.7466900000009</v>
      </c>
      <c r="W17" s="11">
        <v>-19953</v>
      </c>
      <c r="X17" s="11"/>
      <c r="Y17" s="8">
        <v>33807</v>
      </c>
      <c r="Z17" s="21">
        <f t="shared" si="0"/>
        <v>58590.132477439969</v>
      </c>
    </row>
    <row r="18" spans="1:26" ht="15" x14ac:dyDescent="0.25">
      <c r="A18" s="12" t="s">
        <v>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/>
      <c r="H18" s="8">
        <v>0</v>
      </c>
      <c r="I18" s="8">
        <f>-8853.184</f>
        <v>-8853.1839999999993</v>
      </c>
      <c r="J18" s="8"/>
      <c r="K18" s="8"/>
      <c r="L18" s="8">
        <v>0</v>
      </c>
      <c r="M18" s="8">
        <v>0</v>
      </c>
      <c r="N18" s="8"/>
      <c r="O18" s="8">
        <v>0</v>
      </c>
      <c r="P18" s="8">
        <v>0</v>
      </c>
      <c r="Q18" s="8"/>
      <c r="R18" s="8">
        <f>-641563.07/1000</f>
        <v>-641.56306999999993</v>
      </c>
      <c r="S18" s="8">
        <v>0</v>
      </c>
      <c r="T18" s="8"/>
      <c r="U18" s="8">
        <v>-63313</v>
      </c>
      <c r="V18" s="8">
        <v>0</v>
      </c>
      <c r="W18" s="11">
        <v>6413</v>
      </c>
      <c r="X18" s="11"/>
      <c r="Y18" s="21">
        <v>-8576</v>
      </c>
      <c r="Z18" s="21">
        <f t="shared" si="0"/>
        <v>-74970.747069999998</v>
      </c>
    </row>
    <row r="19" spans="1:26" ht="15" x14ac:dyDescent="0.25">
      <c r="A19" s="10" t="s">
        <v>5</v>
      </c>
      <c r="B19" s="8">
        <v>0</v>
      </c>
      <c r="C19" s="8">
        <v>0</v>
      </c>
      <c r="D19" s="8"/>
      <c r="E19" s="8">
        <v>0</v>
      </c>
      <c r="F19" s="8">
        <v>0</v>
      </c>
      <c r="G19" s="8"/>
      <c r="H19" s="8">
        <v>0</v>
      </c>
      <c r="I19" s="8">
        <v>-15533.0372299999</v>
      </c>
      <c r="J19" s="8"/>
      <c r="K19" s="8"/>
      <c r="L19" s="8">
        <v>0</v>
      </c>
      <c r="M19" s="8">
        <v>0</v>
      </c>
      <c r="N19" s="8"/>
      <c r="O19" s="8">
        <v>0</v>
      </c>
      <c r="P19" s="8">
        <v>0</v>
      </c>
      <c r="Q19" s="8"/>
      <c r="R19" s="8"/>
      <c r="S19" s="8">
        <v>0</v>
      </c>
      <c r="T19" s="8"/>
      <c r="U19" s="8">
        <v>0</v>
      </c>
      <c r="V19" s="8">
        <v>0</v>
      </c>
      <c r="W19" s="13">
        <v>0</v>
      </c>
      <c r="X19" s="21"/>
      <c r="Y19" s="21">
        <v>0</v>
      </c>
      <c r="Z19" s="21">
        <f t="shared" si="0"/>
        <v>-15533.0372299999</v>
      </c>
    </row>
    <row r="20" spans="1:26" ht="15" x14ac:dyDescent="0.25">
      <c r="A20" s="12" t="s">
        <v>4</v>
      </c>
      <c r="B20" s="8">
        <v>-123.94462</v>
      </c>
      <c r="C20" s="8">
        <f>C17</f>
        <v>-7568.3603125600221</v>
      </c>
      <c r="D20" s="8">
        <f>D17+D18+D19</f>
        <v>-763.02000000000021</v>
      </c>
      <c r="E20" s="8">
        <f>-20735334.94/1000</f>
        <v>-20735.334940000001</v>
      </c>
      <c r="F20" s="8">
        <v>-7458</v>
      </c>
      <c r="G20" s="8"/>
      <c r="H20" s="8">
        <v>-124.72</v>
      </c>
      <c r="I20" s="8">
        <f>I17+I18+I19</f>
        <v>-49990.972809999912</v>
      </c>
      <c r="J20" s="8"/>
      <c r="K20" s="8"/>
      <c r="L20" s="8">
        <f>-916763.99/1000</f>
        <v>-916.76399000000004</v>
      </c>
      <c r="M20" s="8">
        <f>-1404969.84/1000</f>
        <v>-1404.96984</v>
      </c>
      <c r="N20" s="8"/>
      <c r="O20" s="8">
        <v>-7943</v>
      </c>
      <c r="P20" s="8">
        <v>-12517</v>
      </c>
      <c r="Q20" s="8"/>
      <c r="R20" s="8">
        <f>1250834.89/1000</f>
        <v>1250.8348899999999</v>
      </c>
      <c r="S20" s="8">
        <f>-307653.51/1000</f>
        <v>-307.65350999999998</v>
      </c>
      <c r="T20" s="8"/>
      <c r="U20" s="8">
        <v>69529</v>
      </c>
      <c r="V20" s="8">
        <f>-4530746.69/1000</f>
        <v>-4530.7466900000009</v>
      </c>
      <c r="W20" s="11">
        <v>-13540</v>
      </c>
      <c r="X20" s="21"/>
      <c r="Y20" s="21">
        <v>25231</v>
      </c>
      <c r="Z20" s="21">
        <f t="shared" si="0"/>
        <v>-31913.651822559943</v>
      </c>
    </row>
    <row r="21" spans="1:26" ht="15" x14ac:dyDescent="0.25">
      <c r="A21" s="10"/>
      <c r="B21" s="6"/>
      <c r="C21" s="9"/>
      <c r="D21" s="6"/>
      <c r="E21" s="5"/>
      <c r="F21" s="5"/>
      <c r="G21" s="6"/>
      <c r="H21" s="6"/>
      <c r="I21" s="5"/>
      <c r="J21" s="6"/>
      <c r="K21" s="8"/>
      <c r="L21" s="6"/>
      <c r="M21" s="5"/>
      <c r="N21" s="6"/>
      <c r="O21" s="5"/>
      <c r="P21" s="6"/>
      <c r="Q21" s="6"/>
      <c r="R21" s="6"/>
      <c r="S21" s="7"/>
      <c r="T21" s="6"/>
      <c r="U21" s="6"/>
      <c r="V21" s="6"/>
      <c r="W21" s="5"/>
    </row>
    <row r="22" spans="1:26" ht="15" x14ac:dyDescent="0.25">
      <c r="A22" s="27" t="s">
        <v>3</v>
      </c>
      <c r="B22" s="58">
        <f t="shared" ref="B22:I22" si="1">IF(B3=0,0,B5/B3)</f>
        <v>-0.53616600544658999</v>
      </c>
      <c r="C22" s="58">
        <f t="shared" si="1"/>
        <v>1.6975724824427142E-2</v>
      </c>
      <c r="D22" s="58">
        <f t="shared" si="1"/>
        <v>0</v>
      </c>
      <c r="E22" s="58">
        <f t="shared" si="1"/>
        <v>0.12362017149860446</v>
      </c>
      <c r="F22" s="58">
        <f t="shared" si="1"/>
        <v>0.18082367869723545</v>
      </c>
      <c r="G22" s="58">
        <f t="shared" si="1"/>
        <v>0</v>
      </c>
      <c r="H22" s="58">
        <f t="shared" si="1"/>
        <v>-0.44148936170212766</v>
      </c>
      <c r="I22" s="58">
        <f t="shared" si="1"/>
        <v>0.10331225263966537</v>
      </c>
      <c r="J22" s="58"/>
      <c r="K22" s="58">
        <f t="shared" ref="K22:Y22" si="2">IF(K3=0,0,K5/K3)</f>
        <v>0</v>
      </c>
      <c r="L22" s="58">
        <f t="shared" si="2"/>
        <v>-4.4285658887455961</v>
      </c>
      <c r="M22" s="58">
        <f t="shared" si="2"/>
        <v>-0.16510749091649943</v>
      </c>
      <c r="N22" s="58">
        <f t="shared" si="2"/>
        <v>0</v>
      </c>
      <c r="O22" s="58">
        <f t="shared" si="2"/>
        <v>1</v>
      </c>
      <c r="P22" s="58">
        <f t="shared" si="2"/>
        <v>6.1904251901038876E-2</v>
      </c>
      <c r="Q22" s="58">
        <f t="shared" si="2"/>
        <v>0</v>
      </c>
      <c r="R22" s="58">
        <f t="shared" si="2"/>
        <v>0.10660363155992827</v>
      </c>
      <c r="S22" s="58">
        <f t="shared" si="2"/>
        <v>0.14765475219176144</v>
      </c>
      <c r="T22" s="58">
        <f t="shared" si="2"/>
        <v>0</v>
      </c>
      <c r="U22" s="58">
        <f t="shared" si="2"/>
        <v>0.17342758614273243</v>
      </c>
      <c r="V22" s="58">
        <f t="shared" si="2"/>
        <v>9.7355787057595067E-2</v>
      </c>
      <c r="W22" s="58">
        <f t="shared" si="2"/>
        <v>9.2828996505927908E-2</v>
      </c>
      <c r="X22" s="27">
        <f t="shared" si="2"/>
        <v>0</v>
      </c>
      <c r="Y22" s="58">
        <f t="shared" si="2"/>
        <v>0.20338690871707432</v>
      </c>
      <c r="Z22" s="58">
        <f>+Z5/Z3</f>
        <v>0.14639751486340269</v>
      </c>
    </row>
    <row r="23" spans="1:26" ht="15" x14ac:dyDescent="0.25">
      <c r="A23" s="27" t="s">
        <v>2</v>
      </c>
      <c r="B23" s="59">
        <f t="shared" ref="B23:I23" si="3">IF(B3=0,0,B20/B3)</f>
        <v>-0.6945507314141196</v>
      </c>
      <c r="C23" s="59">
        <f t="shared" si="3"/>
        <v>-4.7209562563141384E-2</v>
      </c>
      <c r="D23" s="59">
        <f t="shared" si="3"/>
        <v>0</v>
      </c>
      <c r="E23" s="59">
        <f t="shared" si="3"/>
        <v>-6.5175688454696401E-2</v>
      </c>
      <c r="F23" s="59">
        <f t="shared" si="3"/>
        <v>-1.2322465947167717E-2</v>
      </c>
      <c r="G23" s="59">
        <f t="shared" si="3"/>
        <v>0</v>
      </c>
      <c r="H23" s="59">
        <f t="shared" si="3"/>
        <v>-0.66340425531914893</v>
      </c>
      <c r="I23" s="59">
        <f t="shared" si="3"/>
        <v>-2.3084054109778391E-2</v>
      </c>
      <c r="J23" s="59"/>
      <c r="K23" s="59">
        <f t="shared" ref="K23:Y23" si="4">IF(K3=0,0,K20/K3)</f>
        <v>0</v>
      </c>
      <c r="L23" s="59">
        <f t="shared" si="4"/>
        <v>-6.2810936109492097</v>
      </c>
      <c r="M23" s="59">
        <f t="shared" si="4"/>
        <v>-0.29707775278239479</v>
      </c>
      <c r="N23" s="59">
        <f t="shared" si="4"/>
        <v>0</v>
      </c>
      <c r="O23" s="59">
        <f t="shared" si="4"/>
        <v>-0.24095252540573336</v>
      </c>
      <c r="P23" s="59">
        <f t="shared" si="4"/>
        <v>-0.22343008103959158</v>
      </c>
      <c r="Q23" s="59">
        <f t="shared" si="4"/>
        <v>0</v>
      </c>
      <c r="R23" s="59">
        <f t="shared" si="4"/>
        <v>2.1956264972763706E-2</v>
      </c>
      <c r="S23" s="59">
        <f t="shared" si="4"/>
        <v>-4.0525555649413771E-2</v>
      </c>
      <c r="T23" s="59">
        <f t="shared" si="4"/>
        <v>0</v>
      </c>
      <c r="U23" s="59">
        <f t="shared" si="4"/>
        <v>2.2306334249489974E-2</v>
      </c>
      <c r="V23" s="59">
        <f t="shared" si="4"/>
        <v>-0.15222142076610848</v>
      </c>
      <c r="W23" s="59">
        <f t="shared" si="4"/>
        <v>-3.8746712681965036E-2</v>
      </c>
      <c r="X23" s="27">
        <f t="shared" si="4"/>
        <v>0</v>
      </c>
      <c r="Y23" s="59">
        <f t="shared" si="4"/>
        <v>7.9081152915512209E-2</v>
      </c>
      <c r="Z23" s="59">
        <f>Z20/Z3</f>
        <v>-4.4181151411363234E-3</v>
      </c>
    </row>
    <row r="24" spans="1:26" ht="15" x14ac:dyDescent="0.25">
      <c r="A24" s="27" t="s">
        <v>1</v>
      </c>
      <c r="B24" s="60">
        <f>+B8</f>
        <v>-117.408</v>
      </c>
      <c r="C24" s="60">
        <f>+C8</f>
        <v>-7200.5525525600096</v>
      </c>
      <c r="D24" s="60">
        <f>+D8</f>
        <v>-1385.2420000000002</v>
      </c>
      <c r="E24" s="60">
        <f>+E8</f>
        <v>-20753.657010000003</v>
      </c>
      <c r="F24" s="60">
        <f>+F8</f>
        <v>33682</v>
      </c>
      <c r="G24" s="60"/>
      <c r="H24" s="60">
        <f>+H8</f>
        <v>-123.89</v>
      </c>
      <c r="I24" s="60">
        <f>+I8</f>
        <v>4683.248419999989</v>
      </c>
      <c r="J24" s="60"/>
      <c r="K24" s="60">
        <f t="shared" ref="K24:P24" si="5">+K8</f>
        <v>0</v>
      </c>
      <c r="L24" s="60">
        <f t="shared" si="5"/>
        <v>-892.91905000000008</v>
      </c>
      <c r="M24" s="60">
        <f t="shared" si="5"/>
        <v>-1410.32177</v>
      </c>
      <c r="N24" s="60">
        <f t="shared" si="5"/>
        <v>0</v>
      </c>
      <c r="O24" s="60">
        <f t="shared" si="5"/>
        <v>-18</v>
      </c>
      <c r="P24" s="60">
        <f t="shared" si="5"/>
        <v>-7917</v>
      </c>
      <c r="Q24" s="60"/>
      <c r="R24" s="60">
        <f>+R8</f>
        <v>2544.4572499999999</v>
      </c>
      <c r="S24" s="60">
        <f>+S8</f>
        <v>-210.82782999999998</v>
      </c>
      <c r="T24" s="60"/>
      <c r="U24" s="60">
        <f>+U8</f>
        <v>-90966</v>
      </c>
      <c r="V24" s="60">
        <f>+V8</f>
        <v>522.19819999999936</v>
      </c>
      <c r="W24" s="60">
        <f>+W8</f>
        <v>3408</v>
      </c>
      <c r="X24" s="27"/>
      <c r="Y24" s="60">
        <f>+Y8</f>
        <v>43968</v>
      </c>
      <c r="Z24" s="60">
        <f>+Z8</f>
        <v>-42187.91434256002</v>
      </c>
    </row>
    <row r="25" spans="1:26" ht="15" x14ac:dyDescent="0.25">
      <c r="A25" s="27" t="s">
        <v>0</v>
      </c>
      <c r="B25" s="61">
        <f t="shared" ref="B25:I25" si="6">IF(B3=0,0,B24/B3)</f>
        <v>-0.65792135450388201</v>
      </c>
      <c r="C25" s="61">
        <f t="shared" si="6"/>
        <v>-4.4915268589304926E-2</v>
      </c>
      <c r="D25" s="61">
        <f t="shared" si="6"/>
        <v>0</v>
      </c>
      <c r="E25" s="61">
        <f t="shared" si="6"/>
        <v>-6.5233278724138435E-2</v>
      </c>
      <c r="F25" s="61">
        <f t="shared" si="6"/>
        <v>5.5651018776146824E-2</v>
      </c>
      <c r="G25" s="61">
        <f t="shared" si="6"/>
        <v>0</v>
      </c>
      <c r="H25" s="61">
        <f t="shared" si="6"/>
        <v>-0.65898936170212763</v>
      </c>
      <c r="I25" s="61">
        <f t="shared" si="6"/>
        <v>2.1625576351094436E-3</v>
      </c>
      <c r="J25" s="61"/>
      <c r="K25" s="61">
        <f t="shared" ref="K25:Y25" si="7">IF(K3=0,0,K24/K3)</f>
        <v>0</v>
      </c>
      <c r="L25" s="61">
        <f t="shared" si="7"/>
        <v>-6.1177229922063567</v>
      </c>
      <c r="M25" s="61">
        <f t="shared" si="7"/>
        <v>-0.29820940649636257</v>
      </c>
      <c r="N25" s="61">
        <f t="shared" si="7"/>
        <v>0</v>
      </c>
      <c r="O25" s="61">
        <f t="shared" si="7"/>
        <v>-5.4603367207644476E-4</v>
      </c>
      <c r="P25" s="61">
        <f t="shared" si="7"/>
        <v>-0.14131948163221592</v>
      </c>
      <c r="Q25" s="61">
        <f t="shared" si="7"/>
        <v>0</v>
      </c>
      <c r="R25" s="61">
        <f t="shared" si="7"/>
        <v>4.4663590726086694E-2</v>
      </c>
      <c r="S25" s="61">
        <f t="shared" si="7"/>
        <v>-2.7771225353840901E-2</v>
      </c>
      <c r="T25" s="61">
        <f t="shared" si="7"/>
        <v>0</v>
      </c>
      <c r="U25" s="61">
        <f t="shared" si="7"/>
        <v>-2.9183765066937609E-2</v>
      </c>
      <c r="V25" s="61">
        <f t="shared" si="7"/>
        <v>1.7544514704595934E-2</v>
      </c>
      <c r="W25" s="61">
        <f t="shared" si="7"/>
        <v>9.7524960723882458E-3</v>
      </c>
      <c r="X25" s="27">
        <f t="shared" si="7"/>
        <v>0</v>
      </c>
      <c r="Y25" s="61">
        <f t="shared" si="7"/>
        <v>0.13780825696124768</v>
      </c>
      <c r="Z25" s="61">
        <f>Z24/Z3</f>
        <v>-5.8404805619288536E-3</v>
      </c>
    </row>
    <row r="26" spans="1:26" s="25" customFormat="1" ht="15" x14ac:dyDescent="0.25">
      <c r="B26" s="26"/>
      <c r="C26" s="33"/>
      <c r="D26" s="33"/>
      <c r="E26" s="35"/>
      <c r="F26" s="33"/>
      <c r="G26" s="26"/>
      <c r="H26" s="26"/>
      <c r="I26" s="33"/>
      <c r="J26" s="33"/>
      <c r="K26" s="35"/>
      <c r="L26" s="33"/>
      <c r="M26" s="29"/>
      <c r="N26" s="33"/>
      <c r="O26" s="26"/>
      <c r="P26" s="26"/>
      <c r="Q26" s="33"/>
      <c r="R26" s="33"/>
      <c r="S26" s="29"/>
      <c r="T26" s="33"/>
      <c r="U26" s="33"/>
      <c r="V26" s="34"/>
      <c r="W26" s="26"/>
      <c r="X26" s="33"/>
      <c r="Y26" s="33"/>
      <c r="Z26" s="32"/>
    </row>
    <row r="27" spans="1:26" ht="15" x14ac:dyDescent="0.2">
      <c r="A27" s="70" t="s">
        <v>78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1">
        <v>1000</v>
      </c>
      <c r="Y27" s="71"/>
      <c r="Z27" s="71">
        <v>1000</v>
      </c>
    </row>
    <row r="28" spans="1:26" ht="17.25" x14ac:dyDescent="0.25">
      <c r="A28" s="16" t="s">
        <v>43</v>
      </c>
      <c r="B28" s="16" t="s">
        <v>42</v>
      </c>
      <c r="C28" s="16" t="s">
        <v>41</v>
      </c>
      <c r="D28" s="16" t="s">
        <v>40</v>
      </c>
      <c r="E28" s="16" t="s">
        <v>39</v>
      </c>
      <c r="F28" s="16" t="s">
        <v>38</v>
      </c>
      <c r="G28" s="16" t="s">
        <v>37</v>
      </c>
      <c r="H28" s="16" t="s">
        <v>36</v>
      </c>
      <c r="I28" s="16" t="s">
        <v>35</v>
      </c>
      <c r="J28" s="16" t="s">
        <v>71</v>
      </c>
      <c r="K28" s="16" t="s">
        <v>34</v>
      </c>
      <c r="L28" s="16" t="s">
        <v>64</v>
      </c>
      <c r="M28" s="16" t="s">
        <v>33</v>
      </c>
      <c r="N28" s="16" t="s">
        <v>64</v>
      </c>
      <c r="O28" s="16" t="s">
        <v>75</v>
      </c>
      <c r="P28" s="16" t="s">
        <v>31</v>
      </c>
      <c r="Q28" s="16" t="s">
        <v>66</v>
      </c>
      <c r="R28" s="16" t="s">
        <v>29</v>
      </c>
      <c r="S28" s="16" t="s">
        <v>28</v>
      </c>
      <c r="T28" s="16" t="s">
        <v>67</v>
      </c>
      <c r="U28" s="16" t="s">
        <v>26</v>
      </c>
      <c r="V28" s="16" t="s">
        <v>25</v>
      </c>
      <c r="W28" s="16" t="s">
        <v>24</v>
      </c>
      <c r="X28" s="16" t="s">
        <v>23</v>
      </c>
      <c r="Y28" s="16" t="s">
        <v>22</v>
      </c>
      <c r="Z28" s="16" t="s">
        <v>25</v>
      </c>
    </row>
    <row r="29" spans="1:26" ht="15" x14ac:dyDescent="0.25">
      <c r="A29" s="10" t="s">
        <v>21</v>
      </c>
      <c r="B29" s="14">
        <v>178.45294000000001</v>
      </c>
      <c r="C29" s="14">
        <f>341717.96735-C3</f>
        <v>181403.82966999998</v>
      </c>
      <c r="D29" s="14"/>
      <c r="E29" s="14">
        <v>267803</v>
      </c>
      <c r="F29" s="14">
        <v>570439</v>
      </c>
      <c r="G29" s="14"/>
      <c r="H29" s="14">
        <v>549.29999999999995</v>
      </c>
      <c r="I29" s="14">
        <v>1830658</v>
      </c>
      <c r="J29" s="14"/>
      <c r="K29" s="14"/>
      <c r="L29" s="14">
        <f>249633.49/1000</f>
        <v>249.63348999999999</v>
      </c>
      <c r="M29" s="14">
        <f>(10294065.94/1000)-M3</f>
        <v>5564.7658599999986</v>
      </c>
      <c r="N29" s="14"/>
      <c r="O29" s="14">
        <v>33408</v>
      </c>
      <c r="P29" s="14">
        <v>63790</v>
      </c>
      <c r="Q29" s="14"/>
      <c r="R29" s="14"/>
      <c r="S29" s="14">
        <f>(16192397.26/1000)-S3</f>
        <v>8600.804619999999</v>
      </c>
      <c r="T29" s="14"/>
      <c r="U29" s="14">
        <v>3157876</v>
      </c>
      <c r="V29" s="14">
        <f>(60993259.48/1000)-V3</f>
        <v>31229.073419999993</v>
      </c>
      <c r="W29" s="15">
        <v>364471</v>
      </c>
      <c r="X29" s="14"/>
      <c r="Y29" s="14">
        <f>554782-Y3</f>
        <v>235730</v>
      </c>
      <c r="Z29" s="14">
        <f t="shared" ref="Z29:Z46" si="8">SUM(B29:Y29)</f>
        <v>6751950.8600000003</v>
      </c>
    </row>
    <row r="30" spans="1:26" ht="15" x14ac:dyDescent="0.25">
      <c r="A30" s="12" t="s">
        <v>20</v>
      </c>
      <c r="B30" s="14">
        <v>-401.19929999999999</v>
      </c>
      <c r="C30" s="14">
        <f>-(330359.420354099+C4)</f>
        <v>-172766.73136082001</v>
      </c>
      <c r="D30" s="14"/>
      <c r="E30" s="14">
        <v>-285287</v>
      </c>
      <c r="F30" s="14">
        <v>-551843</v>
      </c>
      <c r="G30" s="14"/>
      <c r="H30" s="14">
        <v>-480.94</v>
      </c>
      <c r="I30" s="14">
        <v>-1921241</v>
      </c>
      <c r="J30" s="14"/>
      <c r="K30" s="14"/>
      <c r="L30" s="14">
        <f>-1591022.31/1000</f>
        <v>-1591.0223100000001</v>
      </c>
      <c r="M30" s="14">
        <f>-((12315837.37/1000)+M4)</f>
        <v>-6805.6944199999989</v>
      </c>
      <c r="N30" s="14"/>
      <c r="O30" s="14"/>
      <c r="P30" s="14">
        <v>-53863</v>
      </c>
      <c r="Q30" s="14"/>
      <c r="R30" s="14"/>
      <c r="S30" s="14">
        <f>(-13277968.08/1000)-S4</f>
        <v>-6807.3101700000007</v>
      </c>
      <c r="T30" s="14"/>
      <c r="U30" s="14">
        <v>-2812409</v>
      </c>
      <c r="V30" s="14">
        <f>(-55086918.93/1000)-V4</f>
        <v>-28220.448629999999</v>
      </c>
      <c r="W30" s="14">
        <v>-341965</v>
      </c>
      <c r="X30" s="14"/>
      <c r="Y30" s="14">
        <f>-(501871+Y4)</f>
        <v>-247710</v>
      </c>
      <c r="Z30" s="14">
        <f t="shared" si="8"/>
        <v>-6431391.3461908195</v>
      </c>
    </row>
    <row r="31" spans="1:26" ht="15" x14ac:dyDescent="0.25">
      <c r="A31" s="10" t="s">
        <v>19</v>
      </c>
      <c r="B31" s="14">
        <v>-222.74636000000001</v>
      </c>
      <c r="C31" s="14">
        <f>C29+C30</f>
        <v>8637.0983091799717</v>
      </c>
      <c r="D31" s="14"/>
      <c r="E31" s="14">
        <v>-17484</v>
      </c>
      <c r="F31" s="14">
        <v>18596</v>
      </c>
      <c r="G31" s="14"/>
      <c r="H31" s="14">
        <v>68.36</v>
      </c>
      <c r="I31" s="14">
        <v>-90583</v>
      </c>
      <c r="J31" s="14"/>
      <c r="K31" s="14"/>
      <c r="L31" s="14">
        <f>-1341388.82/1000</f>
        <v>-1341.3888200000001</v>
      </c>
      <c r="M31" s="14">
        <f>M29+M30</f>
        <v>-1240.9285600000003</v>
      </c>
      <c r="N31" s="14"/>
      <c r="O31" s="14">
        <f>O29</f>
        <v>33408</v>
      </c>
      <c r="P31" s="14">
        <v>9927</v>
      </c>
      <c r="Q31" s="14"/>
      <c r="R31" s="14"/>
      <c r="S31" s="14">
        <f>S29+S30</f>
        <v>1793.4944499999983</v>
      </c>
      <c r="T31" s="14"/>
      <c r="U31" s="14">
        <v>345467</v>
      </c>
      <c r="V31" s="14">
        <f>SUM(V29:V30)</f>
        <v>3008.6247899999944</v>
      </c>
      <c r="W31" s="15">
        <v>22506</v>
      </c>
      <c r="X31" s="14"/>
      <c r="Y31" s="14">
        <v>-11980</v>
      </c>
      <c r="Z31" s="14">
        <f t="shared" si="8"/>
        <v>320559.51380917995</v>
      </c>
    </row>
    <row r="32" spans="1:26" ht="15" x14ac:dyDescent="0.25">
      <c r="A32" s="12" t="s">
        <v>18</v>
      </c>
      <c r="B32" s="14">
        <f>-30715.31/1000</f>
        <v>-30.715310000000002</v>
      </c>
      <c r="C32" s="14">
        <f>-(18469.0704978222+C6)</f>
        <v>-8547.0692585411816</v>
      </c>
      <c r="D32" s="14"/>
      <c r="E32" s="14">
        <v>-57866</v>
      </c>
      <c r="F32" s="14">
        <v>-79776</v>
      </c>
      <c r="G32" s="14"/>
      <c r="H32" s="14">
        <v>95.47</v>
      </c>
      <c r="I32" s="14">
        <v>-257615</v>
      </c>
      <c r="J32" s="14"/>
      <c r="K32" s="14"/>
      <c r="L32" s="14">
        <f>-603721.98/1000</f>
        <v>-603.72198000000003</v>
      </c>
      <c r="M32" s="14">
        <f xml:space="preserve"> -((2018055.81+38813.53-521189.71)/1000)-M6</f>
        <v>-906.20073000000002</v>
      </c>
      <c r="N32" s="14"/>
      <c r="O32" s="14">
        <v>-36770</v>
      </c>
      <c r="P32" s="14">
        <v>-11424</v>
      </c>
      <c r="Q32" s="14"/>
      <c r="R32" s="14"/>
      <c r="S32" s="14">
        <f>(-2663406.88/1000)-S6</f>
        <v>-1331.6443199999999</v>
      </c>
      <c r="T32" s="14"/>
      <c r="U32" s="14">
        <v>-839095</v>
      </c>
      <c r="V32" s="14">
        <f>((-5020790.36-908106.28+1280711.9)/1000)-V6</f>
        <v>-2272.6671800000004</v>
      </c>
      <c r="W32" s="14">
        <v>-38775</v>
      </c>
      <c r="X32" s="14"/>
      <c r="Y32" s="14">
        <v>-32252</v>
      </c>
      <c r="Z32" s="14">
        <f t="shared" si="8"/>
        <v>-1367169.5487785412</v>
      </c>
    </row>
    <row r="33" spans="1:26" ht="15" x14ac:dyDescent="0.25">
      <c r="A33" s="10" t="s">
        <v>17</v>
      </c>
      <c r="B33" s="14">
        <v>0</v>
      </c>
      <c r="C33" s="14">
        <v>0</v>
      </c>
      <c r="D33" s="14"/>
      <c r="E33" s="14">
        <v>0</v>
      </c>
      <c r="F33" s="14">
        <v>0</v>
      </c>
      <c r="G33" s="14"/>
      <c r="H33" s="14">
        <v>0</v>
      </c>
      <c r="I33" s="14">
        <v>0</v>
      </c>
      <c r="J33" s="14"/>
      <c r="K33" s="14"/>
      <c r="L33" s="14">
        <v>0</v>
      </c>
      <c r="M33" s="14">
        <v>0</v>
      </c>
      <c r="N33" s="14"/>
      <c r="O33" s="14">
        <v>0</v>
      </c>
      <c r="P33" s="14">
        <v>0</v>
      </c>
      <c r="Q33" s="14"/>
      <c r="R33" s="14"/>
      <c r="S33" s="14">
        <v>0</v>
      </c>
      <c r="T33" s="14"/>
      <c r="U33" s="14">
        <v>101484</v>
      </c>
      <c r="V33" s="14">
        <v>0</v>
      </c>
      <c r="W33" s="14">
        <v>0</v>
      </c>
      <c r="X33" s="14"/>
      <c r="Y33" s="14">
        <v>0</v>
      </c>
      <c r="Z33" s="14">
        <f t="shared" si="8"/>
        <v>101484</v>
      </c>
    </row>
    <row r="34" spans="1:26" ht="15" x14ac:dyDescent="0.25">
      <c r="A34" s="10" t="s">
        <v>16</v>
      </c>
      <c r="B34" s="14">
        <f>B31+B32</f>
        <v>-253.46167000000003</v>
      </c>
      <c r="C34" s="14">
        <f>C31+C32</f>
        <v>90.029050638790068</v>
      </c>
      <c r="D34" s="14"/>
      <c r="E34" s="14">
        <v>-75350</v>
      </c>
      <c r="F34" s="14">
        <v>-61180</v>
      </c>
      <c r="G34" s="14"/>
      <c r="H34" s="14">
        <v>-27.11</v>
      </c>
      <c r="I34" s="14">
        <v>-348198</v>
      </c>
      <c r="J34" s="14"/>
      <c r="K34" s="14"/>
      <c r="L34" s="14">
        <f>-1945110.8/1000</f>
        <v>-1945.1108000000002</v>
      </c>
      <c r="M34" s="14">
        <f>M31+M32</f>
        <v>-2147.1292900000003</v>
      </c>
      <c r="N34" s="14"/>
      <c r="O34" s="14">
        <f>O31+O32</f>
        <v>-3362</v>
      </c>
      <c r="P34" s="14">
        <v>-1497</v>
      </c>
      <c r="Q34" s="14"/>
      <c r="R34" s="14"/>
      <c r="S34" s="14">
        <f>S31+S32</f>
        <v>461.85012999999844</v>
      </c>
      <c r="T34" s="14"/>
      <c r="U34" s="14">
        <v>-392144</v>
      </c>
      <c r="V34" s="14">
        <f>V31+V32</f>
        <v>735.95760999999402</v>
      </c>
      <c r="W34" s="15">
        <v>-16269</v>
      </c>
      <c r="X34" s="14"/>
      <c r="Y34" s="14">
        <v>-44232</v>
      </c>
      <c r="Z34" s="14">
        <f t="shared" si="8"/>
        <v>-945316.97496936121</v>
      </c>
    </row>
    <row r="35" spans="1:26" ht="15" x14ac:dyDescent="0.25">
      <c r="A35" s="10" t="s">
        <v>15</v>
      </c>
      <c r="B35" s="14">
        <f>SUM(B36:B41)</f>
        <v>-8.96495</v>
      </c>
      <c r="C35" s="14">
        <f>-(1918.57457807842+C9)</f>
        <v>-1550.7668180784081</v>
      </c>
      <c r="D35" s="14"/>
      <c r="E35" s="14">
        <v>63</v>
      </c>
      <c r="F35" s="14">
        <v>4054</v>
      </c>
      <c r="G35" s="14"/>
      <c r="H35" s="14">
        <v>-1.75</v>
      </c>
      <c r="I35" s="14">
        <v>-297534</v>
      </c>
      <c r="J35" s="14"/>
      <c r="K35" s="14"/>
      <c r="L35" s="14">
        <f>-37608.3/1000</f>
        <v>-37.6083</v>
      </c>
      <c r="M35" s="14">
        <f>SUM(M36:M42)</f>
        <v>-29.108949999999997</v>
      </c>
      <c r="N35" s="14"/>
      <c r="O35" s="14">
        <v>3935</v>
      </c>
      <c r="P35" s="14">
        <v>-2400</v>
      </c>
      <c r="Q35" s="14"/>
      <c r="R35" s="14"/>
      <c r="S35" s="14">
        <f>S37+S38</f>
        <v>-429.24615999999997</v>
      </c>
      <c r="T35" s="14"/>
      <c r="U35" s="14">
        <v>-979406</v>
      </c>
      <c r="V35" s="14">
        <f>SUM(V36:V41)</f>
        <v>-3258.3358500000004</v>
      </c>
      <c r="W35" s="14">
        <v>-42404</v>
      </c>
      <c r="X35" s="14"/>
      <c r="Y35" s="14">
        <v>-11782</v>
      </c>
      <c r="Z35" s="14">
        <f t="shared" si="8"/>
        <v>-1330789.7810280784</v>
      </c>
    </row>
    <row r="36" spans="1:26" x14ac:dyDescent="0.2">
      <c r="A36" s="3" t="s">
        <v>14</v>
      </c>
      <c r="B36" s="5">
        <v>0</v>
      </c>
      <c r="C36" s="5">
        <v>0</v>
      </c>
      <c r="D36" s="5"/>
      <c r="E36" s="5">
        <v>0</v>
      </c>
      <c r="F36" s="5">
        <v>0</v>
      </c>
      <c r="G36" s="5"/>
      <c r="H36" s="5">
        <v>0</v>
      </c>
      <c r="I36" s="5">
        <v>0</v>
      </c>
      <c r="J36" s="5"/>
      <c r="K36" s="5"/>
      <c r="L36" s="5">
        <v>0</v>
      </c>
      <c r="M36" s="5">
        <v>0</v>
      </c>
      <c r="N36" s="5"/>
      <c r="O36" s="5">
        <v>0</v>
      </c>
      <c r="P36" s="5">
        <v>0</v>
      </c>
      <c r="Q36" s="5"/>
      <c r="R36" s="5"/>
      <c r="S36" s="5">
        <v>0</v>
      </c>
      <c r="T36" s="5"/>
      <c r="U36" s="5">
        <v>-85707</v>
      </c>
      <c r="V36" s="5">
        <v>0</v>
      </c>
      <c r="W36" s="5">
        <v>0</v>
      </c>
      <c r="Y36" s="1">
        <v>0</v>
      </c>
      <c r="Z36" s="1">
        <f t="shared" si="8"/>
        <v>-85707</v>
      </c>
    </row>
    <row r="37" spans="1:26" x14ac:dyDescent="0.2">
      <c r="A37" s="2" t="s">
        <v>13</v>
      </c>
      <c r="B37" s="5">
        <f>-10782.03/1000</f>
        <v>-10.782030000000001</v>
      </c>
      <c r="C37" s="5">
        <v>0</v>
      </c>
      <c r="D37" s="5"/>
      <c r="E37" s="5">
        <v>0</v>
      </c>
      <c r="F37" s="5">
        <v>35723</v>
      </c>
      <c r="G37" s="5"/>
      <c r="H37" s="5"/>
      <c r="I37" s="5">
        <v>88498</v>
      </c>
      <c r="J37" s="5"/>
      <c r="K37" s="5"/>
      <c r="L37" s="5">
        <v>0</v>
      </c>
      <c r="M37" s="5">
        <f>((6379.76)/1000)+M12</f>
        <v>-1.7222400000000002</v>
      </c>
      <c r="N37" s="5"/>
      <c r="O37" s="5">
        <v>3933</v>
      </c>
      <c r="P37" s="5">
        <v>0</v>
      </c>
      <c r="Q37" s="5"/>
      <c r="R37" s="5"/>
      <c r="S37" s="5">
        <f>(7369.96/1000)-S11</f>
        <v>5.0647099999999998</v>
      </c>
      <c r="T37" s="5"/>
      <c r="U37" s="5">
        <v>288325</v>
      </c>
      <c r="V37" s="5">
        <f>(438906.61/1000)-V11</f>
        <v>306.96853999999996</v>
      </c>
      <c r="W37" s="5">
        <v>-1060</v>
      </c>
      <c r="Y37" s="1">
        <v>0</v>
      </c>
      <c r="Z37" s="1">
        <f t="shared" si="8"/>
        <v>415718.52898</v>
      </c>
    </row>
    <row r="38" spans="1:26" x14ac:dyDescent="0.2">
      <c r="A38" s="3" t="s">
        <v>12</v>
      </c>
      <c r="B38" s="5">
        <f>1817.08/1000</f>
        <v>1.81708</v>
      </c>
      <c r="C38" s="5">
        <v>0</v>
      </c>
      <c r="D38" s="5"/>
      <c r="E38" s="5">
        <v>0</v>
      </c>
      <c r="F38" s="5">
        <v>-31669</v>
      </c>
      <c r="G38" s="5"/>
      <c r="H38" s="5"/>
      <c r="I38" s="5">
        <v>-179832</v>
      </c>
      <c r="J38" s="5"/>
      <c r="K38" s="5"/>
      <c r="L38" s="5">
        <v>0</v>
      </c>
      <c r="M38" s="5">
        <f>-((35488.71)/1000)-M12</f>
        <v>-27.386709999999997</v>
      </c>
      <c r="N38" s="5"/>
      <c r="O38" s="5">
        <v>-2</v>
      </c>
      <c r="P38" s="5">
        <v>0</v>
      </c>
      <c r="Q38" s="5"/>
      <c r="R38" s="5"/>
      <c r="S38" s="5">
        <f>(-874789.01/1000)-S12</f>
        <v>-434.31086999999997</v>
      </c>
      <c r="T38" s="5"/>
      <c r="U38" s="5">
        <v>-1182024</v>
      </c>
      <c r="V38" s="5">
        <f>(-9576987.97/1000)-V12</f>
        <v>-3277.7365600000003</v>
      </c>
      <c r="W38" s="5">
        <v>-41344</v>
      </c>
      <c r="Y38" s="1">
        <v>0</v>
      </c>
      <c r="Z38" s="1">
        <f t="shared" si="8"/>
        <v>-1438608.6170600001</v>
      </c>
    </row>
    <row r="39" spans="1:26" x14ac:dyDescent="0.2">
      <c r="A39" s="2" t="s">
        <v>11</v>
      </c>
      <c r="B39" s="5">
        <v>0</v>
      </c>
      <c r="C39" s="5">
        <v>0</v>
      </c>
      <c r="D39" s="5"/>
      <c r="E39" s="5">
        <v>0</v>
      </c>
      <c r="F39" s="5">
        <v>0</v>
      </c>
      <c r="G39" s="5"/>
      <c r="H39" s="5"/>
      <c r="I39" s="5">
        <v>0</v>
      </c>
      <c r="J39" s="5"/>
      <c r="K39" s="5"/>
      <c r="L39" s="5">
        <v>0</v>
      </c>
      <c r="M39" s="5">
        <v>0</v>
      </c>
      <c r="N39" s="5"/>
      <c r="O39" s="5">
        <v>0</v>
      </c>
      <c r="P39" s="5">
        <v>0</v>
      </c>
      <c r="Q39" s="5"/>
      <c r="R39" s="5"/>
      <c r="S39" s="5">
        <v>0</v>
      </c>
      <c r="T39" s="5"/>
      <c r="U39" s="5">
        <v>0</v>
      </c>
      <c r="V39" s="5">
        <v>0</v>
      </c>
      <c r="W39" s="5">
        <v>0</v>
      </c>
      <c r="Y39" s="1">
        <v>0</v>
      </c>
      <c r="Z39" s="1">
        <f t="shared" si="8"/>
        <v>0</v>
      </c>
    </row>
    <row r="40" spans="1:26" x14ac:dyDescent="0.2">
      <c r="A40" s="3" t="s">
        <v>10</v>
      </c>
      <c r="B40" s="5">
        <v>0</v>
      </c>
      <c r="C40" s="5">
        <v>0</v>
      </c>
      <c r="D40" s="5"/>
      <c r="E40" s="5">
        <v>0</v>
      </c>
      <c r="F40" s="5">
        <v>0</v>
      </c>
      <c r="G40" s="5"/>
      <c r="H40" s="5"/>
      <c r="I40" s="5">
        <v>-206200</v>
      </c>
      <c r="J40" s="5"/>
      <c r="K40" s="5"/>
      <c r="L40" s="5">
        <v>0</v>
      </c>
      <c r="M40" s="5">
        <v>0</v>
      </c>
      <c r="N40" s="5"/>
      <c r="O40" s="5">
        <v>0</v>
      </c>
      <c r="P40" s="5">
        <v>0</v>
      </c>
      <c r="Q40" s="5"/>
      <c r="R40" s="5"/>
      <c r="S40" s="5">
        <v>0</v>
      </c>
      <c r="T40" s="5"/>
      <c r="U40" s="5">
        <v>0</v>
      </c>
      <c r="V40" s="5">
        <f>((3821254.42-2994453.8)/1000)-V14</f>
        <v>-287.56782999999984</v>
      </c>
      <c r="W40" s="5">
        <v>0</v>
      </c>
      <c r="Y40" s="1">
        <v>0</v>
      </c>
      <c r="Z40" s="1">
        <f t="shared" si="8"/>
        <v>-206487.56782999999</v>
      </c>
    </row>
    <row r="41" spans="1:26" x14ac:dyDescent="0.2">
      <c r="A41" s="2" t="s">
        <v>9</v>
      </c>
      <c r="B41" s="5">
        <v>0</v>
      </c>
      <c r="C41" s="5">
        <v>0</v>
      </c>
      <c r="D41" s="5"/>
      <c r="E41" s="5">
        <v>0</v>
      </c>
      <c r="F41" s="5">
        <v>0</v>
      </c>
      <c r="G41" s="5"/>
      <c r="H41" s="5">
        <v>0.22</v>
      </c>
      <c r="I41" s="5">
        <v>0</v>
      </c>
      <c r="J41" s="5"/>
      <c r="K41" s="5"/>
      <c r="L41" s="5">
        <v>0</v>
      </c>
      <c r="M41" s="5">
        <v>0</v>
      </c>
      <c r="N41" s="5"/>
      <c r="O41" s="5">
        <v>0</v>
      </c>
      <c r="P41" s="5">
        <v>0</v>
      </c>
      <c r="Q41" s="5"/>
      <c r="R41" s="5"/>
      <c r="S41" s="5">
        <v>0</v>
      </c>
      <c r="T41" s="5"/>
      <c r="U41" s="5">
        <v>0</v>
      </c>
      <c r="V41" s="5">
        <v>0</v>
      </c>
      <c r="W41" s="5">
        <v>0</v>
      </c>
      <c r="Y41" s="1">
        <v>0</v>
      </c>
      <c r="Z41" s="1">
        <f t="shared" si="8"/>
        <v>0.22</v>
      </c>
    </row>
    <row r="42" spans="1:26" ht="15" x14ac:dyDescent="0.25">
      <c r="A42" s="12" t="s">
        <v>8</v>
      </c>
      <c r="B42" s="8">
        <v>0</v>
      </c>
      <c r="C42" s="8">
        <v>0</v>
      </c>
      <c r="D42" s="8"/>
      <c r="E42" s="8">
        <v>0</v>
      </c>
      <c r="F42" s="8">
        <v>0</v>
      </c>
      <c r="G42" s="8"/>
      <c r="H42" s="8"/>
      <c r="I42" s="8">
        <v>0</v>
      </c>
      <c r="J42" s="8"/>
      <c r="K42" s="8"/>
      <c r="L42" s="8">
        <f>-134178.78/1000</f>
        <v>-134.17877999999999</v>
      </c>
      <c r="M42" s="8">
        <v>0</v>
      </c>
      <c r="N42" s="8"/>
      <c r="O42" s="8">
        <v>0</v>
      </c>
      <c r="P42" s="8">
        <v>-16</v>
      </c>
      <c r="Q42" s="8"/>
      <c r="R42" s="8"/>
      <c r="S42" s="8">
        <f>(598667.61/1000)-S16</f>
        <v>257.32039999999995</v>
      </c>
      <c r="T42" s="8"/>
      <c r="U42" s="8">
        <v>0</v>
      </c>
      <c r="V42" s="8"/>
      <c r="W42" s="11">
        <v>0</v>
      </c>
      <c r="Y42" s="1">
        <v>0</v>
      </c>
      <c r="Z42" s="1">
        <f t="shared" si="8"/>
        <v>107.14161999999996</v>
      </c>
    </row>
    <row r="43" spans="1:26" ht="15" x14ac:dyDescent="0.25">
      <c r="A43" s="10" t="s">
        <v>7</v>
      </c>
      <c r="B43" s="8">
        <f>-262426.62/1000</f>
        <v>-262.42662000000001</v>
      </c>
      <c r="C43" s="8">
        <f>C34+C35</f>
        <v>-1460.737767439618</v>
      </c>
      <c r="D43" s="8"/>
      <c r="E43" s="8">
        <f>E34+E35</f>
        <v>-75287</v>
      </c>
      <c r="F43" s="8">
        <v>-57126</v>
      </c>
      <c r="G43" s="8"/>
      <c r="H43" s="8">
        <v>-29.08</v>
      </c>
      <c r="I43" s="8">
        <v>-645732</v>
      </c>
      <c r="J43" s="8"/>
      <c r="K43" s="8"/>
      <c r="L43" s="8">
        <f>-2116897.88/1000</f>
        <v>-2116.89788</v>
      </c>
      <c r="M43" s="8">
        <f>M34+M35</f>
        <v>-2176.2382400000001</v>
      </c>
      <c r="N43" s="8"/>
      <c r="O43" s="8">
        <v>573</v>
      </c>
      <c r="P43" s="8">
        <v>-3913</v>
      </c>
      <c r="Q43" s="8"/>
      <c r="R43" s="8"/>
      <c r="S43" s="8">
        <f>S34+S35+S42</f>
        <v>289.92436999999842</v>
      </c>
      <c r="T43" s="8"/>
      <c r="U43" s="8">
        <v>-1371550</v>
      </c>
      <c r="V43" s="8">
        <f>V34+V35+V42</f>
        <v>-2522.3782400000064</v>
      </c>
      <c r="W43" s="11">
        <v>-58673</v>
      </c>
      <c r="X43" s="11"/>
      <c r="Y43" s="8">
        <v>-56014</v>
      </c>
      <c r="Z43" s="21">
        <f t="shared" si="8"/>
        <v>-2275999.8343774392</v>
      </c>
    </row>
    <row r="44" spans="1:26" ht="15" x14ac:dyDescent="0.25">
      <c r="A44" s="12" t="s">
        <v>6</v>
      </c>
      <c r="B44" s="8">
        <v>0</v>
      </c>
      <c r="C44" s="8">
        <v>0</v>
      </c>
      <c r="D44" s="8"/>
      <c r="E44" s="8">
        <v>0</v>
      </c>
      <c r="F44" s="8">
        <v>0</v>
      </c>
      <c r="G44" s="8"/>
      <c r="H44" s="8">
        <v>0</v>
      </c>
      <c r="I44" s="8">
        <v>8274</v>
      </c>
      <c r="J44" s="8"/>
      <c r="K44" s="8"/>
      <c r="L44" s="8">
        <v>0</v>
      </c>
      <c r="M44" s="8">
        <v>0</v>
      </c>
      <c r="N44" s="8"/>
      <c r="O44" s="8">
        <v>0</v>
      </c>
      <c r="P44" s="8">
        <v>0</v>
      </c>
      <c r="Q44" s="8"/>
      <c r="R44" s="8"/>
      <c r="S44" s="8">
        <v>0</v>
      </c>
      <c r="T44" s="8"/>
      <c r="U44" s="8">
        <v>418056</v>
      </c>
      <c r="V44" s="8">
        <v>0</v>
      </c>
      <c r="W44" s="11">
        <v>19525</v>
      </c>
      <c r="X44" s="11"/>
      <c r="Y44" s="21">
        <v>8576</v>
      </c>
      <c r="Z44" s="21">
        <f t="shared" si="8"/>
        <v>454431</v>
      </c>
    </row>
    <row r="45" spans="1:26" ht="15" x14ac:dyDescent="0.25">
      <c r="A45" s="10" t="s">
        <v>5</v>
      </c>
      <c r="B45" s="8">
        <v>0</v>
      </c>
      <c r="C45" s="8">
        <v>0</v>
      </c>
      <c r="D45" s="8"/>
      <c r="E45" s="8">
        <v>0</v>
      </c>
      <c r="F45" s="8">
        <v>0</v>
      </c>
      <c r="G45" s="8"/>
      <c r="H45" s="8">
        <v>0</v>
      </c>
      <c r="I45" s="8">
        <v>86297</v>
      </c>
      <c r="J45" s="8"/>
      <c r="K45" s="8"/>
      <c r="L45" s="8">
        <v>0</v>
      </c>
      <c r="M45" s="8">
        <v>0</v>
      </c>
      <c r="N45" s="8"/>
      <c r="O45" s="8">
        <v>0</v>
      </c>
      <c r="P45" s="8">
        <v>0</v>
      </c>
      <c r="Q45" s="8"/>
      <c r="R45" s="8"/>
      <c r="S45" s="8"/>
      <c r="T45" s="8"/>
      <c r="U45" s="8">
        <v>0</v>
      </c>
      <c r="V45" s="8">
        <v>0</v>
      </c>
      <c r="W45" s="13">
        <v>0</v>
      </c>
      <c r="X45" s="21"/>
      <c r="Y45" s="21">
        <v>0</v>
      </c>
      <c r="Z45" s="21">
        <f t="shared" si="8"/>
        <v>86297</v>
      </c>
    </row>
    <row r="46" spans="1:26" ht="15" x14ac:dyDescent="0.25">
      <c r="A46" s="12" t="s">
        <v>4</v>
      </c>
      <c r="B46" s="8">
        <v>-262.42662000000001</v>
      </c>
      <c r="C46" s="8">
        <f>C43</f>
        <v>-1460.737767439618</v>
      </c>
      <c r="D46" s="8"/>
      <c r="E46" s="8">
        <f>E43</f>
        <v>-75287</v>
      </c>
      <c r="F46" s="8">
        <v>-57126</v>
      </c>
      <c r="G46" s="8"/>
      <c r="H46" s="8">
        <v>-29.08</v>
      </c>
      <c r="I46" s="8">
        <v>-551161</v>
      </c>
      <c r="J46" s="8"/>
      <c r="K46" s="8"/>
      <c r="L46" s="8">
        <f>-2116897.88/1000</f>
        <v>-2116.89788</v>
      </c>
      <c r="M46" s="8">
        <f>M43</f>
        <v>-2176.2382400000001</v>
      </c>
      <c r="N46" s="8"/>
      <c r="O46" s="8">
        <v>573</v>
      </c>
      <c r="P46" s="8">
        <v>-3913</v>
      </c>
      <c r="Q46" s="8"/>
      <c r="R46" s="8"/>
      <c r="S46" s="8">
        <f>S43</f>
        <v>289.92436999999842</v>
      </c>
      <c r="T46" s="8"/>
      <c r="U46" s="8">
        <v>-953494</v>
      </c>
      <c r="V46" s="8">
        <f>V43+V44+V45</f>
        <v>-2522.3782400000064</v>
      </c>
      <c r="W46" s="11">
        <v>-39148</v>
      </c>
      <c r="X46" s="21"/>
      <c r="Y46" s="21">
        <v>-47438</v>
      </c>
      <c r="Z46" s="21">
        <f t="shared" si="8"/>
        <v>-1735271.8343774395</v>
      </c>
    </row>
    <row r="47" spans="1:26" ht="15" x14ac:dyDescent="0.25">
      <c r="A47" s="10"/>
      <c r="B47" s="6"/>
      <c r="C47" s="9"/>
      <c r="D47" s="6"/>
      <c r="E47" s="5"/>
      <c r="F47" s="5"/>
      <c r="G47" s="6"/>
      <c r="H47" s="6"/>
      <c r="I47" s="5"/>
      <c r="J47" s="6"/>
      <c r="K47" s="8"/>
      <c r="L47" s="6"/>
      <c r="M47" s="5"/>
      <c r="N47" s="6"/>
      <c r="O47" s="5"/>
      <c r="P47" s="6"/>
      <c r="Q47" s="6"/>
      <c r="R47" s="6"/>
      <c r="S47" s="7"/>
      <c r="T47" s="6"/>
      <c r="U47" s="6"/>
      <c r="V47" s="6"/>
      <c r="W47" s="5"/>
    </row>
    <row r="48" spans="1:26" ht="15" x14ac:dyDescent="0.25">
      <c r="A48" s="27" t="s">
        <v>3</v>
      </c>
      <c r="B48" s="58">
        <f t="shared" ref="B48:I48" si="9">IF(B29=0,0,B31/B29)</f>
        <v>-1.248207846841862</v>
      </c>
      <c r="C48" s="58">
        <f t="shared" si="9"/>
        <v>4.7612546685988452E-2</v>
      </c>
      <c r="D48" s="58">
        <f t="shared" si="9"/>
        <v>0</v>
      </c>
      <c r="E48" s="58">
        <f t="shared" si="9"/>
        <v>-6.5286796637827063E-2</v>
      </c>
      <c r="F48" s="58">
        <f t="shared" si="9"/>
        <v>3.2599454104645723E-2</v>
      </c>
      <c r="G48" s="58">
        <f t="shared" si="9"/>
        <v>0</v>
      </c>
      <c r="H48" s="58">
        <f t="shared" si="9"/>
        <v>0.12444929910795559</v>
      </c>
      <c r="I48" s="58">
        <f t="shared" si="9"/>
        <v>-4.94811155333219E-2</v>
      </c>
      <c r="J48" s="58"/>
      <c r="K48" s="58">
        <f t="shared" ref="K48:Y48" si="10">IF(K29=0,0,K31/K29)</f>
        <v>0</v>
      </c>
      <c r="L48" s="58">
        <f t="shared" si="10"/>
        <v>-5.3734329476385563</v>
      </c>
      <c r="M48" s="58">
        <f t="shared" si="10"/>
        <v>-0.22299744341804179</v>
      </c>
      <c r="N48" s="58">
        <f t="shared" si="10"/>
        <v>0</v>
      </c>
      <c r="O48" s="58">
        <f t="shared" si="10"/>
        <v>1</v>
      </c>
      <c r="P48" s="58">
        <f t="shared" si="10"/>
        <v>0.15562000313528765</v>
      </c>
      <c r="Q48" s="58">
        <f t="shared" si="10"/>
        <v>0</v>
      </c>
      <c r="R48" s="58">
        <f t="shared" si="10"/>
        <v>0</v>
      </c>
      <c r="S48" s="58">
        <f t="shared" si="10"/>
        <v>0.20852635645617054</v>
      </c>
      <c r="T48" s="58">
        <f t="shared" si="10"/>
        <v>0</v>
      </c>
      <c r="U48" s="58">
        <f t="shared" si="10"/>
        <v>0.10939853243129243</v>
      </c>
      <c r="V48" s="58">
        <f t="shared" si="10"/>
        <v>9.6340507754968635E-2</v>
      </c>
      <c r="W48" s="58">
        <f t="shared" si="10"/>
        <v>6.1749768843062963E-2</v>
      </c>
      <c r="X48" s="27">
        <f t="shared" si="10"/>
        <v>0</v>
      </c>
      <c r="Y48" s="58">
        <f t="shared" si="10"/>
        <v>-5.0820854367284604E-2</v>
      </c>
      <c r="Z48" s="58">
        <f>+Z31/Z29</f>
        <v>4.7476576837702268E-2</v>
      </c>
    </row>
    <row r="49" spans="1:26" ht="15" x14ac:dyDescent="0.25">
      <c r="A49" s="27" t="s">
        <v>2</v>
      </c>
      <c r="B49" s="59">
        <f t="shared" ref="B49:I49" si="11">IF(B29=0,0,B46/B29)</f>
        <v>-1.4705648447148028</v>
      </c>
      <c r="C49" s="59">
        <f t="shared" si="11"/>
        <v>-8.0524086514430979E-3</v>
      </c>
      <c r="D49" s="59">
        <f t="shared" si="11"/>
        <v>0</v>
      </c>
      <c r="E49" s="59">
        <f t="shared" si="11"/>
        <v>-0.28112829206543616</v>
      </c>
      <c r="F49" s="59">
        <f t="shared" si="11"/>
        <v>-0.10014392424080401</v>
      </c>
      <c r="G49" s="59">
        <f t="shared" si="11"/>
        <v>0</v>
      </c>
      <c r="H49" s="59">
        <f t="shared" si="11"/>
        <v>-5.294010558893137E-2</v>
      </c>
      <c r="I49" s="59">
        <f t="shared" si="11"/>
        <v>-0.30107261979026123</v>
      </c>
      <c r="J49" s="59"/>
      <c r="K49" s="59">
        <f t="shared" ref="K49:Y49" si="12">IF(K29=0,0,K46/K29)</f>
        <v>0</v>
      </c>
      <c r="L49" s="59">
        <f t="shared" si="12"/>
        <v>-8.4800235737600751</v>
      </c>
      <c r="M49" s="59">
        <f t="shared" si="12"/>
        <v>-0.39107453839935696</v>
      </c>
      <c r="N49" s="59">
        <f t="shared" si="12"/>
        <v>0</v>
      </c>
      <c r="O49" s="59">
        <f t="shared" si="12"/>
        <v>1.7151580459770114E-2</v>
      </c>
      <c r="P49" s="59">
        <f t="shared" si="12"/>
        <v>-6.1341903119611227E-2</v>
      </c>
      <c r="Q49" s="59">
        <f t="shared" si="12"/>
        <v>0</v>
      </c>
      <c r="R49" s="59">
        <f t="shared" si="12"/>
        <v>0</v>
      </c>
      <c r="S49" s="59">
        <f t="shared" si="12"/>
        <v>3.3708982218456494E-2</v>
      </c>
      <c r="T49" s="59">
        <f t="shared" si="12"/>
        <v>0</v>
      </c>
      <c r="U49" s="59">
        <f t="shared" si="12"/>
        <v>-0.30194155818657858</v>
      </c>
      <c r="V49" s="59">
        <f t="shared" si="12"/>
        <v>-8.0770191483958767E-2</v>
      </c>
      <c r="W49" s="59">
        <f t="shared" si="12"/>
        <v>-0.10741046612762058</v>
      </c>
      <c r="X49" s="27">
        <f t="shared" si="12"/>
        <v>0</v>
      </c>
      <c r="Y49" s="59">
        <f t="shared" si="12"/>
        <v>-0.20123870529843466</v>
      </c>
      <c r="Z49" s="59">
        <f>Z46/Z29</f>
        <v>-0.25700303073257841</v>
      </c>
    </row>
    <row r="50" spans="1:26" ht="15" x14ac:dyDescent="0.25">
      <c r="A50" s="27" t="s">
        <v>1</v>
      </c>
      <c r="B50" s="60">
        <f>+B34</f>
        <v>-253.46167000000003</v>
      </c>
      <c r="C50" s="60">
        <f>+C34</f>
        <v>90.029050638790068</v>
      </c>
      <c r="D50" s="60"/>
      <c r="E50" s="60">
        <f>+E34</f>
        <v>-75350</v>
      </c>
      <c r="F50" s="60">
        <f>+F34</f>
        <v>-61180</v>
      </c>
      <c r="G50" s="60">
        <f>+G34</f>
        <v>0</v>
      </c>
      <c r="H50" s="60">
        <f>+H34</f>
        <v>-27.11</v>
      </c>
      <c r="I50" s="60">
        <f>+I34</f>
        <v>-348198</v>
      </c>
      <c r="J50" s="60"/>
      <c r="K50" s="60">
        <f t="shared" ref="K50:P50" si="13">+K34</f>
        <v>0</v>
      </c>
      <c r="L50" s="60">
        <f t="shared" si="13"/>
        <v>-1945.1108000000002</v>
      </c>
      <c r="M50" s="60">
        <f t="shared" si="13"/>
        <v>-2147.1292900000003</v>
      </c>
      <c r="N50" s="60">
        <f t="shared" si="13"/>
        <v>0</v>
      </c>
      <c r="O50" s="60">
        <f t="shared" si="13"/>
        <v>-3362</v>
      </c>
      <c r="P50" s="60">
        <f t="shared" si="13"/>
        <v>-1497</v>
      </c>
      <c r="Q50" s="60"/>
      <c r="R50" s="60">
        <f>+R34</f>
        <v>0</v>
      </c>
      <c r="S50" s="60">
        <f>+S34</f>
        <v>461.85012999999844</v>
      </c>
      <c r="T50" s="60"/>
      <c r="U50" s="60">
        <f>+U34</f>
        <v>-392144</v>
      </c>
      <c r="V50" s="60">
        <f>+V34</f>
        <v>735.95760999999402</v>
      </c>
      <c r="W50" s="60">
        <f>+W34</f>
        <v>-16269</v>
      </c>
      <c r="X50" s="27"/>
      <c r="Y50" s="60">
        <f>+Y34</f>
        <v>-44232</v>
      </c>
      <c r="Z50" s="60">
        <f>+Z34</f>
        <v>-945316.97496936121</v>
      </c>
    </row>
    <row r="51" spans="1:26" ht="15" x14ac:dyDescent="0.25">
      <c r="A51" s="27" t="s">
        <v>0</v>
      </c>
      <c r="B51" s="61">
        <f t="shared" ref="B51:I51" si="14">IF(B29=0,0,B50/B29)</f>
        <v>-1.4203277906208776</v>
      </c>
      <c r="C51" s="61">
        <f t="shared" si="14"/>
        <v>4.9629079387445145E-4</v>
      </c>
      <c r="D51" s="61">
        <f t="shared" si="14"/>
        <v>0</v>
      </c>
      <c r="E51" s="61">
        <f t="shared" si="14"/>
        <v>-0.28136353961680788</v>
      </c>
      <c r="F51" s="61">
        <f t="shared" si="14"/>
        <v>-0.10725073145419581</v>
      </c>
      <c r="G51" s="61">
        <f t="shared" si="14"/>
        <v>0</v>
      </c>
      <c r="H51" s="61">
        <f t="shared" si="14"/>
        <v>-4.9353722920080105E-2</v>
      </c>
      <c r="I51" s="61">
        <f t="shared" si="14"/>
        <v>-0.19020374094997536</v>
      </c>
      <c r="J51" s="61"/>
      <c r="K51" s="61">
        <f t="shared" ref="K51:Y51" si="15">IF(K29=0,0,K50/K29)</f>
        <v>0</v>
      </c>
      <c r="L51" s="61">
        <f t="shared" si="15"/>
        <v>-7.7918663877991703</v>
      </c>
      <c r="M51" s="61">
        <f t="shared" si="15"/>
        <v>-0.38584359953645936</v>
      </c>
      <c r="N51" s="61">
        <f t="shared" si="15"/>
        <v>0</v>
      </c>
      <c r="O51" s="61">
        <f t="shared" si="15"/>
        <v>-0.1006345785440613</v>
      </c>
      <c r="P51" s="61">
        <f t="shared" si="15"/>
        <v>-2.3467628154883211E-2</v>
      </c>
      <c r="Q51" s="61">
        <f t="shared" si="15"/>
        <v>0</v>
      </c>
      <c r="R51" s="61">
        <f t="shared" si="15"/>
        <v>0</v>
      </c>
      <c r="S51" s="61">
        <f t="shared" si="15"/>
        <v>5.3698479433660067E-2</v>
      </c>
      <c r="T51" s="61">
        <f t="shared" si="15"/>
        <v>0</v>
      </c>
      <c r="U51" s="61">
        <f t="shared" si="15"/>
        <v>-0.12417967013270946</v>
      </c>
      <c r="V51" s="61">
        <f t="shared" si="15"/>
        <v>2.3566424789557339E-2</v>
      </c>
      <c r="W51" s="61">
        <f t="shared" si="15"/>
        <v>-4.4637296245791845E-2</v>
      </c>
      <c r="X51" s="27">
        <f t="shared" si="15"/>
        <v>0</v>
      </c>
      <c r="Y51" s="61">
        <f t="shared" si="15"/>
        <v>-0.18763839986425149</v>
      </c>
      <c r="Z51" s="61">
        <f>Z50/Z29</f>
        <v>-0.14000649509605009</v>
      </c>
    </row>
    <row r="52" spans="1:26" s="25" customFormat="1" ht="15" x14ac:dyDescent="0.25">
      <c r="C52" s="30"/>
      <c r="D52" s="7"/>
      <c r="E52" s="18"/>
      <c r="F52" s="7"/>
      <c r="I52" s="7"/>
      <c r="J52" s="7"/>
      <c r="K52" s="18"/>
      <c r="L52" s="7"/>
      <c r="M52" s="28"/>
      <c r="N52" s="7"/>
      <c r="P52" s="31"/>
      <c r="Q52" s="7"/>
      <c r="R52" s="7"/>
      <c r="S52" s="28"/>
      <c r="T52" s="7"/>
      <c r="U52" s="7"/>
      <c r="V52" s="28"/>
      <c r="W52" s="31"/>
      <c r="X52" s="7"/>
      <c r="Y52" s="7"/>
    </row>
    <row r="53" spans="1:26" ht="15" x14ac:dyDescent="0.2">
      <c r="A53" s="70" t="s">
        <v>77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1">
        <v>1000</v>
      </c>
      <c r="Y53" s="71"/>
      <c r="Z53" s="71">
        <v>1000</v>
      </c>
    </row>
    <row r="54" spans="1:26" ht="17.25" x14ac:dyDescent="0.25">
      <c r="A54" s="16" t="s">
        <v>43</v>
      </c>
      <c r="B54" s="16" t="s">
        <v>42</v>
      </c>
      <c r="C54" s="16" t="s">
        <v>41</v>
      </c>
      <c r="D54" s="16" t="s">
        <v>40</v>
      </c>
      <c r="E54" s="16" t="s">
        <v>39</v>
      </c>
      <c r="F54" s="16" t="s">
        <v>38</v>
      </c>
      <c r="G54" s="16" t="s">
        <v>37</v>
      </c>
      <c r="H54" s="16" t="s">
        <v>36</v>
      </c>
      <c r="I54" s="16" t="s">
        <v>35</v>
      </c>
      <c r="J54" s="16" t="s">
        <v>71</v>
      </c>
      <c r="K54" s="16" t="s">
        <v>34</v>
      </c>
      <c r="L54" s="16" t="s">
        <v>64</v>
      </c>
      <c r="M54" s="16" t="s">
        <v>76</v>
      </c>
      <c r="N54" s="16" t="s">
        <v>64</v>
      </c>
      <c r="O54" s="16" t="s">
        <v>75</v>
      </c>
      <c r="P54" s="16" t="s">
        <v>31</v>
      </c>
      <c r="Q54" s="16" t="s">
        <v>66</v>
      </c>
      <c r="R54" s="16" t="s">
        <v>74</v>
      </c>
      <c r="S54" s="16" t="s">
        <v>28</v>
      </c>
      <c r="T54" s="16" t="s">
        <v>67</v>
      </c>
      <c r="U54" s="16" t="s">
        <v>26</v>
      </c>
      <c r="V54" s="16" t="s">
        <v>25</v>
      </c>
      <c r="W54" s="16" t="s">
        <v>73</v>
      </c>
      <c r="X54" s="16" t="s">
        <v>23</v>
      </c>
      <c r="Y54" s="16" t="s">
        <v>22</v>
      </c>
      <c r="Z54" s="16" t="s">
        <v>25</v>
      </c>
    </row>
    <row r="55" spans="1:26" ht="15" x14ac:dyDescent="0.25">
      <c r="A55" s="10" t="s">
        <v>21</v>
      </c>
      <c r="B55" s="14"/>
      <c r="C55" s="14">
        <f>542961-C29-C3</f>
        <v>201243.03264999998</v>
      </c>
      <c r="D55" s="14"/>
      <c r="E55" s="14">
        <f>(881640000.11/1000)-E29-E3</f>
        <v>295691.76173000003</v>
      </c>
      <c r="F55" s="14">
        <v>624127</v>
      </c>
      <c r="G55" s="14"/>
      <c r="H55" s="14">
        <v>849.3</v>
      </c>
      <c r="I55" s="14">
        <f>1760050+227288</f>
        <v>1987338</v>
      </c>
      <c r="J55" s="14"/>
      <c r="K55" s="14"/>
      <c r="L55" s="14">
        <f>290586.59/1000</f>
        <v>290.58659</v>
      </c>
      <c r="M55" s="14"/>
      <c r="N55" s="14"/>
      <c r="O55" s="14">
        <f>102798-O29-O3</f>
        <v>36425</v>
      </c>
      <c r="P55" s="14">
        <v>49627.342000000004</v>
      </c>
      <c r="Q55" s="14"/>
      <c r="R55" s="14"/>
      <c r="S55" s="14">
        <f>(25700777.86/1000)-S29-S3</f>
        <v>9508.3806000000004</v>
      </c>
      <c r="T55" s="14"/>
      <c r="U55" s="14">
        <v>3430658</v>
      </c>
      <c r="V55" s="14">
        <f>(103929227.98/1000)-V29-V3</f>
        <v>42935.968500000025</v>
      </c>
      <c r="W55" s="15">
        <f>1124432-W29-W3</f>
        <v>410512</v>
      </c>
      <c r="X55" s="14"/>
      <c r="Y55" s="14">
        <f>813903-Y29-Y3</f>
        <v>259121</v>
      </c>
      <c r="Z55" s="14">
        <f t="shared" ref="Z55:Z72" si="16">SUM(B55:Y55)</f>
        <v>7348327.3720700005</v>
      </c>
    </row>
    <row r="56" spans="1:26" ht="15" x14ac:dyDescent="0.25">
      <c r="A56" s="12" t="s">
        <v>20</v>
      </c>
      <c r="B56" s="14"/>
      <c r="C56" s="14">
        <f>-(533467.748576663+C30+C4)</f>
        <v>-203108.32822256396</v>
      </c>
      <c r="D56" s="14"/>
      <c r="E56" s="14">
        <f>(-859532863.94/1000)-E30-E4</f>
        <v>-295429.79449000006</v>
      </c>
      <c r="F56" s="14">
        <v>-583675</v>
      </c>
      <c r="G56" s="14"/>
      <c r="H56" s="14">
        <v>-744.52</v>
      </c>
      <c r="I56" s="14">
        <v>-1923583</v>
      </c>
      <c r="J56" s="14"/>
      <c r="K56" s="14"/>
      <c r="L56" s="14">
        <f>-2118791.23/1000</f>
        <v>-2118.7912299999998</v>
      </c>
      <c r="M56" s="14"/>
      <c r="N56" s="14"/>
      <c r="O56" s="14"/>
      <c r="P56" s="14">
        <v>-48843.784000000014</v>
      </c>
      <c r="Q56" s="14"/>
      <c r="R56" s="14"/>
      <c r="S56" s="14">
        <f>(-20677855.32/1000)-S30-S4</f>
        <v>-7399.8872399999982</v>
      </c>
      <c r="T56" s="14"/>
      <c r="U56" s="14"/>
      <c r="V56" s="14">
        <f>(-91206244.24/1000)-V30-V4</f>
        <v>-36119.32531</v>
      </c>
      <c r="W56" s="14">
        <f>(-240289-384733-110031-6412-65757-44726-51076-92764)-W30-W4</f>
        <v>-336813</v>
      </c>
      <c r="X56" s="14"/>
      <c r="Y56" s="14">
        <f>-(767676+Y30+Y4)</f>
        <v>-265805</v>
      </c>
      <c r="Z56" s="14">
        <f t="shared" si="16"/>
        <v>-3703640.4304925646</v>
      </c>
    </row>
    <row r="57" spans="1:26" ht="15" x14ac:dyDescent="0.25">
      <c r="A57" s="10" t="s">
        <v>19</v>
      </c>
      <c r="B57" s="14"/>
      <c r="C57" s="14">
        <f>C55+C56</f>
        <v>-1865.2955725639767</v>
      </c>
      <c r="D57" s="14"/>
      <c r="E57" s="14">
        <f>SUM(E55:E56)</f>
        <v>261.96723999996902</v>
      </c>
      <c r="F57" s="14">
        <v>40452</v>
      </c>
      <c r="G57" s="14"/>
      <c r="H57" s="14">
        <v>104.78</v>
      </c>
      <c r="I57" s="14">
        <v>63755</v>
      </c>
      <c r="J57" s="14"/>
      <c r="K57" s="14"/>
      <c r="L57" s="14">
        <f>-1828204.64/1000</f>
        <v>-1828.2046399999999</v>
      </c>
      <c r="M57" s="14"/>
      <c r="N57" s="14"/>
      <c r="O57" s="14">
        <v>36425</v>
      </c>
      <c r="P57" s="14">
        <v>783.5580000000009</v>
      </c>
      <c r="Q57" s="14"/>
      <c r="R57" s="14"/>
      <c r="S57" s="14">
        <f>S55+S56</f>
        <v>2108.4933600000022</v>
      </c>
      <c r="T57" s="14"/>
      <c r="U57" s="14">
        <v>3430658</v>
      </c>
      <c r="V57" s="14">
        <f>V55+V56</f>
        <v>6816.6431900000243</v>
      </c>
      <c r="W57" s="15">
        <f>W55+W56</f>
        <v>73699</v>
      </c>
      <c r="X57" s="14"/>
      <c r="Y57" s="14">
        <f>Y55+Y56</f>
        <v>-6684</v>
      </c>
      <c r="Z57" s="14">
        <f t="shared" si="16"/>
        <v>3644686.9415774364</v>
      </c>
    </row>
    <row r="58" spans="1:26" ht="15" x14ac:dyDescent="0.25">
      <c r="A58" s="12" t="s">
        <v>18</v>
      </c>
      <c r="B58" s="14"/>
      <c r="C58" s="14">
        <f>-(31311.2148832037+C32+C6)</f>
        <v>-12842.1443853815</v>
      </c>
      <c r="D58" s="14"/>
      <c r="E58" s="14">
        <f>((-71975398.56-52660090.66-13437062.5)/1000)-E32-E6</f>
        <v>-20123.725779999993</v>
      </c>
      <c r="F58" s="14">
        <v>-115335</v>
      </c>
      <c r="G58" s="14"/>
      <c r="H58" s="14">
        <v>143.82</v>
      </c>
      <c r="I58" s="14">
        <v>-264471</v>
      </c>
      <c r="J58" s="14"/>
      <c r="K58" s="14"/>
      <c r="L58" s="14">
        <f>-847454.81/1000</f>
        <v>-847.45481000000007</v>
      </c>
      <c r="M58" s="14"/>
      <c r="N58" s="14"/>
      <c r="O58" s="14">
        <f>-(101461+O32+O6)</f>
        <v>-31708</v>
      </c>
      <c r="P58" s="14">
        <v>-13273.444000000003</v>
      </c>
      <c r="Q58" s="14"/>
      <c r="R58" s="14"/>
      <c r="S58" s="14">
        <f>(-4095539.83/1000)-S32-S6</f>
        <v>-1432.1329500000002</v>
      </c>
      <c r="T58" s="14"/>
      <c r="U58" s="14">
        <v>-3514916</v>
      </c>
      <c r="V58" s="14">
        <f>((-7714293.76-1813385.41+3171515.81)/1000)-V32-V6</f>
        <v>-1707.978619999999</v>
      </c>
      <c r="W58" s="14">
        <f>(-58659-189756)-W32-W6</f>
        <v>-180609</v>
      </c>
      <c r="X58" s="14"/>
      <c r="Y58" s="14">
        <v>-12126</v>
      </c>
      <c r="Z58" s="14">
        <f t="shared" si="16"/>
        <v>-4169248.0605453816</v>
      </c>
    </row>
    <row r="59" spans="1:26" ht="15" x14ac:dyDescent="0.25">
      <c r="A59" s="10" t="s">
        <v>17</v>
      </c>
      <c r="B59" s="14"/>
      <c r="C59" s="14">
        <v>0</v>
      </c>
      <c r="D59" s="14"/>
      <c r="E59" s="14">
        <v>0</v>
      </c>
      <c r="F59" s="14">
        <v>0</v>
      </c>
      <c r="G59" s="14"/>
      <c r="H59" s="14">
        <v>0</v>
      </c>
      <c r="I59" s="14">
        <v>0</v>
      </c>
      <c r="J59" s="14"/>
      <c r="K59" s="14"/>
      <c r="L59" s="14">
        <v>0</v>
      </c>
      <c r="M59" s="14"/>
      <c r="N59" s="14"/>
      <c r="O59" s="14"/>
      <c r="P59" s="14">
        <v>0</v>
      </c>
      <c r="Q59" s="14"/>
      <c r="R59" s="14"/>
      <c r="S59" s="14"/>
      <c r="T59" s="14"/>
      <c r="U59" s="14">
        <v>-37839</v>
      </c>
      <c r="V59" s="14">
        <v>0</v>
      </c>
      <c r="W59" s="14"/>
      <c r="X59" s="14"/>
      <c r="Y59" s="14">
        <v>0</v>
      </c>
      <c r="Z59" s="14">
        <f t="shared" si="16"/>
        <v>-37839</v>
      </c>
    </row>
    <row r="60" spans="1:26" ht="15" x14ac:dyDescent="0.25">
      <c r="A60" s="10" t="s">
        <v>16</v>
      </c>
      <c r="B60" s="14"/>
      <c r="C60" s="14">
        <f>C57+C58</f>
        <v>-14707.439957945477</v>
      </c>
      <c r="D60" s="14"/>
      <c r="E60" s="14">
        <f>E57+E58</f>
        <v>-19861.758540000024</v>
      </c>
      <c r="F60" s="14">
        <v>-74883</v>
      </c>
      <c r="G60" s="14"/>
      <c r="H60" s="14">
        <v>-39.049999999999997</v>
      </c>
      <c r="I60" s="14">
        <v>-200716</v>
      </c>
      <c r="J60" s="14"/>
      <c r="K60" s="14"/>
      <c r="L60" s="14">
        <f>-2675659.45/1000</f>
        <v>-2675.6594500000001</v>
      </c>
      <c r="M60" s="14"/>
      <c r="N60" s="14"/>
      <c r="O60" s="14">
        <f>O57+O58</f>
        <v>4717</v>
      </c>
      <c r="P60" s="14">
        <v>-12489.885999999999</v>
      </c>
      <c r="Q60" s="14"/>
      <c r="R60" s="14"/>
      <c r="S60" s="14">
        <f>S57+S58</f>
        <v>676.36041000000205</v>
      </c>
      <c r="T60" s="14"/>
      <c r="U60" s="14">
        <f>-122097</f>
        <v>-122097</v>
      </c>
      <c r="V60" s="14">
        <f>V57+V58</f>
        <v>5108.6645700000254</v>
      </c>
      <c r="W60" s="15">
        <f>W57+W58</f>
        <v>-106910</v>
      </c>
      <c r="X60" s="14"/>
      <c r="Y60" s="14">
        <f>Y57+Y58</f>
        <v>-18810</v>
      </c>
      <c r="Z60" s="14">
        <f t="shared" si="16"/>
        <v>-562687.76896794536</v>
      </c>
    </row>
    <row r="61" spans="1:26" ht="15" x14ac:dyDescent="0.25">
      <c r="A61" s="10" t="s">
        <v>15</v>
      </c>
      <c r="B61" s="14"/>
      <c r="C61" s="14">
        <f>-(1500.50021284001+C35+C9)</f>
        <v>418.07436523841017</v>
      </c>
      <c r="D61" s="14"/>
      <c r="E61" s="14">
        <f>593562.12/1000</f>
        <v>593.56212000000005</v>
      </c>
      <c r="F61" s="14">
        <f>SUM(F62:F66)</f>
        <v>-23045</v>
      </c>
      <c r="G61" s="14"/>
      <c r="H61" s="14">
        <v>2.54</v>
      </c>
      <c r="I61" s="14">
        <f>SUM(I62:I68)</f>
        <v>-54299</v>
      </c>
      <c r="J61" s="14"/>
      <c r="K61" s="14"/>
      <c r="L61" s="14">
        <f>-55388.05/1000</f>
        <v>-55.38805</v>
      </c>
      <c r="M61" s="14"/>
      <c r="N61" s="14"/>
      <c r="O61" s="14"/>
      <c r="P61" s="14">
        <v>-5381.491</v>
      </c>
      <c r="Q61" s="14"/>
      <c r="R61" s="14"/>
      <c r="S61" s="14">
        <f>(S63+S64)</f>
        <v>-1371.0849400000002</v>
      </c>
      <c r="T61" s="14"/>
      <c r="U61" s="14">
        <f>SUM(U62:U67)</f>
        <v>-39260</v>
      </c>
      <c r="V61" s="14">
        <f>SUM(V62:V68)</f>
        <v>-2919.1220000000017</v>
      </c>
      <c r="W61" s="14">
        <f>SUM(W62:W68)</f>
        <v>-30104</v>
      </c>
      <c r="X61" s="14"/>
      <c r="Y61" s="14">
        <f>-(33870+ Y35+Y9)</f>
        <v>-11927</v>
      </c>
      <c r="Z61" s="14">
        <f t="shared" si="16"/>
        <v>-167347.90950476157</v>
      </c>
    </row>
    <row r="62" spans="1:26" x14ac:dyDescent="0.2">
      <c r="A62" s="3" t="s">
        <v>14</v>
      </c>
      <c r="B62" s="5"/>
      <c r="C62" s="5">
        <v>0</v>
      </c>
      <c r="D62" s="5"/>
      <c r="E62" s="5">
        <v>0</v>
      </c>
      <c r="F62" s="5">
        <v>4620</v>
      </c>
      <c r="G62" s="5"/>
      <c r="H62" s="5">
        <v>0</v>
      </c>
      <c r="I62" s="5"/>
      <c r="J62" s="5"/>
      <c r="K62" s="5"/>
      <c r="L62" s="5">
        <v>0</v>
      </c>
      <c r="M62" s="5"/>
      <c r="N62" s="5"/>
      <c r="O62" s="5"/>
      <c r="P62" s="5">
        <v>0</v>
      </c>
      <c r="Q62" s="5"/>
      <c r="R62" s="5"/>
      <c r="S62" s="5">
        <v>0</v>
      </c>
      <c r="T62" s="5"/>
      <c r="U62" s="5">
        <v>2390</v>
      </c>
      <c r="V62" s="5">
        <v>0</v>
      </c>
      <c r="W62" s="5"/>
      <c r="Y62" s="1">
        <v>0</v>
      </c>
      <c r="Z62" s="1">
        <f t="shared" si="16"/>
        <v>7010</v>
      </c>
    </row>
    <row r="63" spans="1:26" x14ac:dyDescent="0.2">
      <c r="A63" s="2" t="s">
        <v>13</v>
      </c>
      <c r="B63" s="5"/>
      <c r="C63" s="5">
        <v>0</v>
      </c>
      <c r="D63" s="5"/>
      <c r="E63" s="5">
        <v>0</v>
      </c>
      <c r="F63" s="5">
        <v>1934</v>
      </c>
      <c r="G63" s="5"/>
      <c r="H63" s="5">
        <v>0</v>
      </c>
      <c r="I63" s="5">
        <v>83729</v>
      </c>
      <c r="J63" s="5"/>
      <c r="K63" s="5"/>
      <c r="L63" s="5">
        <v>0</v>
      </c>
      <c r="M63" s="5"/>
      <c r="N63" s="5"/>
      <c r="O63" s="5">
        <v>2</v>
      </c>
      <c r="P63" s="5">
        <v>0</v>
      </c>
      <c r="Q63" s="5"/>
      <c r="R63" s="5"/>
      <c r="S63" s="5">
        <v>0</v>
      </c>
      <c r="T63" s="5"/>
      <c r="U63" s="5">
        <v>342242</v>
      </c>
      <c r="V63" s="5">
        <f>861.71459-V37-V11</f>
        <v>422.80798000000004</v>
      </c>
      <c r="W63" s="5">
        <f>(3782)-W37-W11</f>
        <v>673</v>
      </c>
      <c r="Y63" s="1">
        <v>0</v>
      </c>
      <c r="Z63" s="1">
        <f t="shared" si="16"/>
        <v>429002.80797999998</v>
      </c>
    </row>
    <row r="64" spans="1:26" x14ac:dyDescent="0.2">
      <c r="A64" s="3" t="s">
        <v>12</v>
      </c>
      <c r="B64" s="5"/>
      <c r="C64" s="5">
        <v>0</v>
      </c>
      <c r="D64" s="5"/>
      <c r="E64" s="5">
        <v>0</v>
      </c>
      <c r="F64" s="5">
        <v>-29439</v>
      </c>
      <c r="G64" s="5"/>
      <c r="H64" s="5">
        <v>0</v>
      </c>
      <c r="I64" s="5">
        <v>-131743</v>
      </c>
      <c r="J64" s="5"/>
      <c r="K64" s="5"/>
      <c r="L64" s="5">
        <v>0</v>
      </c>
      <c r="M64" s="5"/>
      <c r="N64" s="5"/>
      <c r="O64" s="5">
        <v>-5593</v>
      </c>
      <c r="P64" s="5">
        <v>0</v>
      </c>
      <c r="Q64" s="5"/>
      <c r="R64" s="5"/>
      <c r="S64" s="5">
        <f>(-2245873.95/1000)-S38-S12</f>
        <v>-1371.0849400000002</v>
      </c>
      <c r="T64" s="5"/>
      <c r="U64" s="5">
        <v>-383892</v>
      </c>
      <c r="V64" s="5">
        <f>(-12680.7414)-V38-V12</f>
        <v>-3103.7534300000016</v>
      </c>
      <c r="W64" s="5">
        <f>(-73952)-W38-W12</f>
        <v>-5078</v>
      </c>
      <c r="Y64" s="1">
        <v>0</v>
      </c>
      <c r="Z64" s="1">
        <f t="shared" si="16"/>
        <v>-560219.83837000001</v>
      </c>
    </row>
    <row r="65" spans="1:26" x14ac:dyDescent="0.2">
      <c r="A65" s="2" t="s">
        <v>11</v>
      </c>
      <c r="B65" s="5"/>
      <c r="C65" s="5">
        <v>0</v>
      </c>
      <c r="D65" s="5"/>
      <c r="E65" s="5">
        <v>0</v>
      </c>
      <c r="F65" s="5">
        <v>0</v>
      </c>
      <c r="G65" s="5"/>
      <c r="H65" s="5">
        <v>0</v>
      </c>
      <c r="I65" s="5"/>
      <c r="J65" s="5"/>
      <c r="K65" s="5"/>
      <c r="L65" s="5">
        <v>0</v>
      </c>
      <c r="M65" s="5"/>
      <c r="N65" s="5"/>
      <c r="O65" s="5"/>
      <c r="P65" s="5">
        <v>0</v>
      </c>
      <c r="Q65" s="5"/>
      <c r="R65" s="5"/>
      <c r="S65" s="5">
        <v>0</v>
      </c>
      <c r="T65" s="5"/>
      <c r="U65" s="5"/>
      <c r="V65" s="5"/>
      <c r="W65" s="5">
        <f>(739)</f>
        <v>739</v>
      </c>
      <c r="Y65" s="1">
        <v>0</v>
      </c>
      <c r="Z65" s="1">
        <f t="shared" si="16"/>
        <v>739</v>
      </c>
    </row>
    <row r="66" spans="1:26" x14ac:dyDescent="0.2">
      <c r="A66" s="3" t="s">
        <v>10</v>
      </c>
      <c r="B66" s="5"/>
      <c r="C66" s="5">
        <v>0</v>
      </c>
      <c r="D66" s="5"/>
      <c r="E66" s="5">
        <v>0</v>
      </c>
      <c r="F66" s="5">
        <v>-160</v>
      </c>
      <c r="G66" s="5"/>
      <c r="H66" s="5">
        <v>0</v>
      </c>
      <c r="I66" s="5">
        <v>-6285</v>
      </c>
      <c r="J66" s="5"/>
      <c r="K66" s="5"/>
      <c r="L66" s="5">
        <v>0</v>
      </c>
      <c r="M66" s="5"/>
      <c r="N66" s="5"/>
      <c r="O66" s="5"/>
      <c r="P66" s="5">
        <v>0</v>
      </c>
      <c r="Q66" s="5"/>
      <c r="R66" s="5"/>
      <c r="S66" s="5">
        <v>0</v>
      </c>
      <c r="T66" s="5"/>
      <c r="U66" s="5"/>
      <c r="V66" s="5">
        <f>((-3491405.39+4080029.46)/1000)-V40-V14</f>
        <v>-238.17655000000025</v>
      </c>
      <c r="W66" s="5">
        <f>(-26438)</f>
        <v>-26438</v>
      </c>
      <c r="Y66" s="1">
        <v>0</v>
      </c>
      <c r="Z66" s="1">
        <f t="shared" si="16"/>
        <v>-33121.176550000004</v>
      </c>
    </row>
    <row r="67" spans="1:26" x14ac:dyDescent="0.2">
      <c r="A67" s="2" t="s">
        <v>9</v>
      </c>
      <c r="B67" s="5"/>
      <c r="C67" s="5">
        <v>0</v>
      </c>
      <c r="D67" s="5"/>
      <c r="E67" s="5">
        <v>0</v>
      </c>
      <c r="F67" s="5">
        <v>0</v>
      </c>
      <c r="G67" s="5"/>
      <c r="H67" s="5">
        <v>0.56000000000000005</v>
      </c>
      <c r="I67" s="5"/>
      <c r="J67" s="5"/>
      <c r="K67" s="5"/>
      <c r="L67" s="5">
        <v>0</v>
      </c>
      <c r="M67" s="5"/>
      <c r="N67" s="5"/>
      <c r="O67" s="5"/>
      <c r="P67" s="5">
        <v>0</v>
      </c>
      <c r="Q67" s="5"/>
      <c r="R67" s="5"/>
      <c r="S67" s="5">
        <v>0</v>
      </c>
      <c r="T67" s="5"/>
      <c r="U67" s="5"/>
      <c r="V67" s="5">
        <v>0</v>
      </c>
      <c r="W67" s="5"/>
      <c r="Y67" s="1">
        <v>0</v>
      </c>
      <c r="Z67" s="1">
        <f t="shared" si="16"/>
        <v>0.56000000000000005</v>
      </c>
    </row>
    <row r="68" spans="1:26" ht="15" x14ac:dyDescent="0.25">
      <c r="A68" s="12" t="s">
        <v>8</v>
      </c>
      <c r="B68" s="8"/>
      <c r="C68" s="8">
        <v>0</v>
      </c>
      <c r="D68" s="8"/>
      <c r="E68" s="8">
        <v>0</v>
      </c>
      <c r="F68" s="8"/>
      <c r="G68" s="8"/>
      <c r="H68" s="8"/>
      <c r="I68" s="8"/>
      <c r="J68" s="8"/>
      <c r="K68" s="8"/>
      <c r="L68" s="8">
        <f>-294731.79/1000</f>
        <v>-294.73178999999999</v>
      </c>
      <c r="M68" s="8"/>
      <c r="N68" s="8"/>
      <c r="O68" s="8">
        <v>1337</v>
      </c>
      <c r="P68" s="8">
        <v>57.100999999999999</v>
      </c>
      <c r="Q68" s="8"/>
      <c r="R68" s="8"/>
      <c r="S68" s="8">
        <f>((2172420.24)/1000)-S42-S16</f>
        <v>1573.7526300000004</v>
      </c>
      <c r="T68" s="8"/>
      <c r="U68" s="8"/>
      <c r="V68" s="8">
        <v>0</v>
      </c>
      <c r="W68" s="11"/>
      <c r="Y68" s="1">
        <v>0</v>
      </c>
      <c r="Z68" s="1">
        <f t="shared" si="16"/>
        <v>2673.1218400000002</v>
      </c>
    </row>
    <row r="69" spans="1:26" ht="15" x14ac:dyDescent="0.25">
      <c r="A69" s="10" t="s">
        <v>7</v>
      </c>
      <c r="B69" s="8"/>
      <c r="C69" s="8">
        <f>C60+C61</f>
        <v>-14289.365592707067</v>
      </c>
      <c r="D69" s="8"/>
      <c r="E69" s="8">
        <f>E60+E61</f>
        <v>-19268.196420000026</v>
      </c>
      <c r="F69" s="8">
        <v>-97928</v>
      </c>
      <c r="G69" s="8"/>
      <c r="H69" s="8">
        <v>-42.15</v>
      </c>
      <c r="I69" s="8">
        <v>-255015</v>
      </c>
      <c r="J69" s="8"/>
      <c r="K69" s="8"/>
      <c r="L69" s="8">
        <f>-3025779.29/1000</f>
        <v>-3025.7792899999999</v>
      </c>
      <c r="M69" s="8"/>
      <c r="N69" s="8"/>
      <c r="O69" s="8">
        <v>-4256</v>
      </c>
      <c r="P69" s="8">
        <v>-17814.275000000001</v>
      </c>
      <c r="Q69" s="8"/>
      <c r="R69" s="8"/>
      <c r="S69" s="8">
        <f>S60+S61+S68</f>
        <v>879.02810000000227</v>
      </c>
      <c r="T69" s="8"/>
      <c r="U69" s="8">
        <v>-161357</v>
      </c>
      <c r="V69" s="8">
        <f>V60+V61</f>
        <v>2189.5425700000237</v>
      </c>
      <c r="W69" s="11">
        <f>W60+W61</f>
        <v>-137014</v>
      </c>
      <c r="X69" s="11"/>
      <c r="Y69" s="8">
        <f>Y60+Y61</f>
        <v>-30737</v>
      </c>
      <c r="Z69" s="21">
        <f t="shared" si="16"/>
        <v>-737678.19563270709</v>
      </c>
    </row>
    <row r="70" spans="1:26" ht="15" x14ac:dyDescent="0.25">
      <c r="A70" s="12" t="s">
        <v>6</v>
      </c>
      <c r="B70" s="8"/>
      <c r="C70" s="8">
        <v>0</v>
      </c>
      <c r="D70" s="8"/>
      <c r="E70" s="8"/>
      <c r="F70" s="8">
        <v>0</v>
      </c>
      <c r="G70" s="8"/>
      <c r="H70" s="8">
        <v>0</v>
      </c>
      <c r="I70" s="8">
        <v>-320</v>
      </c>
      <c r="J70" s="8"/>
      <c r="K70" s="8"/>
      <c r="L70" s="8">
        <v>0</v>
      </c>
      <c r="M70" s="8"/>
      <c r="N70" s="8"/>
      <c r="O70" s="8">
        <v>0</v>
      </c>
      <c r="P70" s="8">
        <v>0</v>
      </c>
      <c r="Q70" s="8"/>
      <c r="R70" s="8"/>
      <c r="S70" s="8">
        <v>0</v>
      </c>
      <c r="T70" s="8"/>
      <c r="U70" s="8">
        <v>25438</v>
      </c>
      <c r="V70" s="8">
        <v>0</v>
      </c>
      <c r="W70" s="11"/>
      <c r="X70" s="11"/>
      <c r="Y70" s="21">
        <v>0</v>
      </c>
      <c r="Z70" s="21">
        <f t="shared" si="16"/>
        <v>25118</v>
      </c>
    </row>
    <row r="71" spans="1:26" ht="15" x14ac:dyDescent="0.25">
      <c r="A71" s="10" t="s">
        <v>5</v>
      </c>
      <c r="B71" s="8"/>
      <c r="C71" s="8">
        <v>0</v>
      </c>
      <c r="D71" s="8"/>
      <c r="E71" s="8">
        <v>0</v>
      </c>
      <c r="F71" s="8">
        <v>0</v>
      </c>
      <c r="G71" s="8"/>
      <c r="H71" s="8">
        <v>0</v>
      </c>
      <c r="I71" s="8">
        <v>-30362</v>
      </c>
      <c r="J71" s="8"/>
      <c r="K71" s="8"/>
      <c r="L71" s="8">
        <v>0</v>
      </c>
      <c r="M71" s="8"/>
      <c r="N71" s="8"/>
      <c r="O71" s="8">
        <v>0</v>
      </c>
      <c r="P71" s="8">
        <v>0</v>
      </c>
      <c r="Q71" s="8"/>
      <c r="R71" s="8"/>
      <c r="S71" s="8"/>
      <c r="T71" s="8"/>
      <c r="U71" s="8"/>
      <c r="V71" s="8">
        <v>0</v>
      </c>
      <c r="W71" s="13"/>
      <c r="X71" s="21"/>
      <c r="Y71" s="21">
        <v>0</v>
      </c>
      <c r="Z71" s="21">
        <f t="shared" si="16"/>
        <v>-30362</v>
      </c>
    </row>
    <row r="72" spans="1:26" ht="15" x14ac:dyDescent="0.25">
      <c r="A72" s="12" t="s">
        <v>4</v>
      </c>
      <c r="B72" s="8"/>
      <c r="C72" s="8">
        <f>C69</f>
        <v>-14289.365592707067</v>
      </c>
      <c r="D72" s="8"/>
      <c r="E72" s="8">
        <f>E69</f>
        <v>-19268.196420000026</v>
      </c>
      <c r="F72" s="8">
        <v>-97928</v>
      </c>
      <c r="G72" s="8"/>
      <c r="H72" s="8">
        <v>-42.15</v>
      </c>
      <c r="I72" s="8">
        <v>-285697</v>
      </c>
      <c r="J72" s="8"/>
      <c r="K72" s="8"/>
      <c r="L72" s="8">
        <f>-3025779.29/1000</f>
        <v>-3025.7792899999999</v>
      </c>
      <c r="M72" s="8"/>
      <c r="N72" s="8"/>
      <c r="O72" s="8">
        <v>-4256</v>
      </c>
      <c r="P72" s="8">
        <v>-17814.275000000001</v>
      </c>
      <c r="Q72" s="8"/>
      <c r="R72" s="8"/>
      <c r="S72" s="8">
        <f>S69</f>
        <v>879.02810000000227</v>
      </c>
      <c r="T72" s="8"/>
      <c r="U72" s="8">
        <v>-135919</v>
      </c>
      <c r="V72" s="8">
        <f>V69</f>
        <v>2189.5425700000237</v>
      </c>
      <c r="W72" s="11">
        <f>W69</f>
        <v>-137014</v>
      </c>
      <c r="X72" s="21"/>
      <c r="Y72" s="21">
        <f>Y69</f>
        <v>-30737</v>
      </c>
      <c r="Z72" s="21">
        <f t="shared" si="16"/>
        <v>-742922.19563270709</v>
      </c>
    </row>
    <row r="73" spans="1:26" ht="15" x14ac:dyDescent="0.25">
      <c r="A73" s="6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21"/>
      <c r="Y73" s="21"/>
      <c r="Z73" s="21"/>
    </row>
    <row r="74" spans="1:26" ht="15" x14ac:dyDescent="0.25">
      <c r="A74" s="27" t="s">
        <v>3</v>
      </c>
      <c r="B74" s="58">
        <f t="shared" ref="B74:I74" si="17">IF(B55=0,0,B57/B55)</f>
        <v>0</v>
      </c>
      <c r="C74" s="58">
        <f t="shared" si="17"/>
        <v>-9.2688703206340647E-3</v>
      </c>
      <c r="D74" s="58">
        <f t="shared" si="17"/>
        <v>0</v>
      </c>
      <c r="E74" s="58">
        <f t="shared" si="17"/>
        <v>8.8594703642496037E-4</v>
      </c>
      <c r="F74" s="58">
        <f t="shared" si="17"/>
        <v>6.4813731820607026E-2</v>
      </c>
      <c r="G74" s="58">
        <f t="shared" si="17"/>
        <v>0</v>
      </c>
      <c r="H74" s="58">
        <f t="shared" si="17"/>
        <v>0.12337218886141529</v>
      </c>
      <c r="I74" s="58">
        <f t="shared" si="17"/>
        <v>3.2080602293117731E-2</v>
      </c>
      <c r="J74" s="58"/>
      <c r="K74" s="58">
        <f t="shared" ref="K74:Y74" si="18">IF(K55=0,0,K57/K55)</f>
        <v>0</v>
      </c>
      <c r="L74" s="58">
        <f t="shared" si="18"/>
        <v>-6.2914281075393053</v>
      </c>
      <c r="M74" s="58">
        <f t="shared" si="18"/>
        <v>0</v>
      </c>
      <c r="N74" s="58">
        <f t="shared" si="18"/>
        <v>0</v>
      </c>
      <c r="O74" s="58">
        <f t="shared" si="18"/>
        <v>1</v>
      </c>
      <c r="P74" s="58">
        <f t="shared" si="18"/>
        <v>1.578883672633527E-2</v>
      </c>
      <c r="Q74" s="58">
        <f t="shared" si="18"/>
        <v>0</v>
      </c>
      <c r="R74" s="58">
        <f t="shared" si="18"/>
        <v>0</v>
      </c>
      <c r="S74" s="58">
        <f t="shared" si="18"/>
        <v>0.22175104770206633</v>
      </c>
      <c r="T74" s="58">
        <f t="shared" si="18"/>
        <v>0</v>
      </c>
      <c r="U74" s="58">
        <f t="shared" si="18"/>
        <v>1</v>
      </c>
      <c r="V74" s="58">
        <f t="shared" si="18"/>
        <v>0.1587630005364854</v>
      </c>
      <c r="W74" s="58">
        <f t="shared" si="18"/>
        <v>0.17952946564290448</v>
      </c>
      <c r="X74" s="27">
        <f t="shared" si="18"/>
        <v>0</v>
      </c>
      <c r="Y74" s="58">
        <f t="shared" si="18"/>
        <v>-2.5794898908232063E-2</v>
      </c>
      <c r="Z74" s="58">
        <f>+Z57/Z55</f>
        <v>0.49598864571962309</v>
      </c>
    </row>
    <row r="75" spans="1:26" ht="15" x14ac:dyDescent="0.25">
      <c r="A75" s="27" t="s">
        <v>2</v>
      </c>
      <c r="B75" s="59">
        <f t="shared" ref="B75:I75" si="19">IF(B55=0,0,B72/B55)</f>
        <v>0</v>
      </c>
      <c r="C75" s="59">
        <f t="shared" si="19"/>
        <v>-7.100551708321251E-2</v>
      </c>
      <c r="D75" s="59">
        <f t="shared" si="19"/>
        <v>0</v>
      </c>
      <c r="E75" s="59">
        <f t="shared" si="19"/>
        <v>-6.5163115493200877E-2</v>
      </c>
      <c r="F75" s="59">
        <f t="shared" si="19"/>
        <v>-0.15690396345615557</v>
      </c>
      <c r="G75" s="59">
        <f t="shared" si="19"/>
        <v>0</v>
      </c>
      <c r="H75" s="59">
        <f t="shared" si="19"/>
        <v>-4.9629106322854118E-2</v>
      </c>
      <c r="I75" s="59">
        <f t="shared" si="19"/>
        <v>-0.14375863592403507</v>
      </c>
      <c r="J75" s="59"/>
      <c r="K75" s="59">
        <f t="shared" ref="K75:Y75" si="20">IF(K55=0,0,K72/K55)</f>
        <v>0</v>
      </c>
      <c r="L75" s="59">
        <f t="shared" si="20"/>
        <v>-10.41265975143588</v>
      </c>
      <c r="M75" s="59">
        <f t="shared" si="20"/>
        <v>0</v>
      </c>
      <c r="N75" s="59">
        <f t="shared" si="20"/>
        <v>0</v>
      </c>
      <c r="O75" s="59">
        <f t="shared" si="20"/>
        <v>-0.11684282772820864</v>
      </c>
      <c r="P75" s="59">
        <f t="shared" si="20"/>
        <v>-0.35896089296904116</v>
      </c>
      <c r="Q75" s="59">
        <f t="shared" si="20"/>
        <v>0</v>
      </c>
      <c r="R75" s="59">
        <f t="shared" si="20"/>
        <v>0</v>
      </c>
      <c r="S75" s="59">
        <f t="shared" si="20"/>
        <v>9.2447719225711503E-2</v>
      </c>
      <c r="T75" s="59">
        <f t="shared" si="20"/>
        <v>0</v>
      </c>
      <c r="U75" s="59">
        <f t="shared" si="20"/>
        <v>-3.9618930246034433E-2</v>
      </c>
      <c r="V75" s="59">
        <f t="shared" si="20"/>
        <v>5.0995532335552707E-2</v>
      </c>
      <c r="W75" s="59">
        <f t="shared" si="20"/>
        <v>-0.33376369022099234</v>
      </c>
      <c r="X75" s="27">
        <f t="shared" si="20"/>
        <v>0</v>
      </c>
      <c r="Y75" s="59">
        <f t="shared" si="20"/>
        <v>-0.11862025848927721</v>
      </c>
      <c r="Z75" s="59">
        <f>Z72/Z55</f>
        <v>-0.10110085710885092</v>
      </c>
    </row>
    <row r="76" spans="1:26" ht="15" x14ac:dyDescent="0.25">
      <c r="A76" s="27" t="s">
        <v>1</v>
      </c>
      <c r="B76" s="60">
        <f>+B60</f>
        <v>0</v>
      </c>
      <c r="C76" s="60">
        <f>+C60</f>
        <v>-14707.439957945477</v>
      </c>
      <c r="D76" s="60">
        <f>+D60</f>
        <v>0</v>
      </c>
      <c r="E76" s="60">
        <f>+E60</f>
        <v>-19861.758540000024</v>
      </c>
      <c r="F76" s="60">
        <f>+F60</f>
        <v>-74883</v>
      </c>
      <c r="G76" s="60"/>
      <c r="H76" s="60">
        <f>+H60</f>
        <v>-39.049999999999997</v>
      </c>
      <c r="I76" s="60">
        <f>+I60</f>
        <v>-200716</v>
      </c>
      <c r="J76" s="60"/>
      <c r="K76" s="60">
        <f t="shared" ref="K76:P76" si="21">+K60</f>
        <v>0</v>
      </c>
      <c r="L76" s="60">
        <f t="shared" si="21"/>
        <v>-2675.6594500000001</v>
      </c>
      <c r="M76" s="60">
        <f t="shared" si="21"/>
        <v>0</v>
      </c>
      <c r="N76" s="60">
        <f t="shared" si="21"/>
        <v>0</v>
      </c>
      <c r="O76" s="60">
        <f t="shared" si="21"/>
        <v>4717</v>
      </c>
      <c r="P76" s="60">
        <f t="shared" si="21"/>
        <v>-12489.885999999999</v>
      </c>
      <c r="Q76" s="60"/>
      <c r="R76" s="60">
        <f>+R60</f>
        <v>0</v>
      </c>
      <c r="S76" s="60">
        <f>+S60</f>
        <v>676.36041000000205</v>
      </c>
      <c r="T76" s="60"/>
      <c r="U76" s="60">
        <f>+U60</f>
        <v>-122097</v>
      </c>
      <c r="V76" s="60">
        <f>+V60</f>
        <v>5108.6645700000254</v>
      </c>
      <c r="W76" s="60">
        <f>+W60</f>
        <v>-106910</v>
      </c>
      <c r="X76" s="27"/>
      <c r="Y76" s="60">
        <f>+Y60</f>
        <v>-18810</v>
      </c>
      <c r="Z76" s="60">
        <f>+Z60</f>
        <v>-562687.76896794536</v>
      </c>
    </row>
    <row r="77" spans="1:26" ht="15" x14ac:dyDescent="0.25">
      <c r="A77" s="27" t="s">
        <v>0</v>
      </c>
      <c r="B77" s="61">
        <f t="shared" ref="B77" si="22">IF(B55=0,0,B76/B55)</f>
        <v>0</v>
      </c>
      <c r="C77" s="61">
        <f t="shared" ref="C77" si="23">IF(C55=0,0,C76/C55)</f>
        <v>-7.3082977155907405E-2</v>
      </c>
      <c r="D77" s="61">
        <f t="shared" ref="D77" si="24">IF(D55=0,0,D76/D55)</f>
        <v>0</v>
      </c>
      <c r="E77" s="61">
        <f t="shared" ref="E77" si="25">IF(E55=0,0,E76/E55)</f>
        <v>-6.7170483289067939E-2</v>
      </c>
      <c r="F77" s="61">
        <f t="shared" ref="F77" si="26">IF(F55=0,0,F76/F55)</f>
        <v>-0.11998038860680599</v>
      </c>
      <c r="G77" s="61">
        <f t="shared" ref="G77" si="27">IF(G55=0,0,G76/G55)</f>
        <v>0</v>
      </c>
      <c r="H77" s="61">
        <f t="shared" ref="H77" si="28">IF(H55=0,0,H76/H55)</f>
        <v>-4.5979041563640646E-2</v>
      </c>
      <c r="I77" s="61">
        <f t="shared" ref="I77" si="29">IF(I55=0,0,I76/I55)</f>
        <v>-0.10099741463203542</v>
      </c>
      <c r="J77" s="61"/>
      <c r="K77" s="61">
        <f t="shared" ref="K77" si="30">IF(K55=0,0,K76/K55)</f>
        <v>0</v>
      </c>
      <c r="L77" s="61">
        <f t="shared" ref="L77" si="31">IF(L55=0,0,L76/L55)</f>
        <v>-9.2077870833612803</v>
      </c>
      <c r="M77" s="61">
        <f t="shared" ref="M77" si="32">IF(M55=0,0,M76/M55)</f>
        <v>0</v>
      </c>
      <c r="N77" s="61">
        <f t="shared" ref="N77" si="33">IF(N55=0,0,N76/N55)</f>
        <v>0</v>
      </c>
      <c r="O77" s="61">
        <f t="shared" ref="O77" si="34">IF(O55=0,0,O76/O55)</f>
        <v>0.12949897048730269</v>
      </c>
      <c r="P77" s="61">
        <f t="shared" ref="P77" si="35">IF(P55=0,0,P76/P55)</f>
        <v>-0.25167348273457801</v>
      </c>
      <c r="Q77" s="61">
        <f t="shared" ref="Q77" si="36">IF(Q55=0,0,Q76/Q55)</f>
        <v>0</v>
      </c>
      <c r="R77" s="61">
        <f t="shared" ref="R77" si="37">IF(R55=0,0,R76/R55)</f>
        <v>0</v>
      </c>
      <c r="S77" s="61">
        <f t="shared" ref="S77" si="38">IF(S55=0,0,S76/S55)</f>
        <v>7.1133081273587431E-2</v>
      </c>
      <c r="T77" s="61">
        <f t="shared" ref="T77" si="39">IF(T55=0,0,T76/T55)</f>
        <v>0</v>
      </c>
      <c r="U77" s="61">
        <f t="shared" ref="U77" si="40">IF(U55=0,0,U76/U55)</f>
        <v>-3.5589965540138366E-2</v>
      </c>
      <c r="V77" s="61">
        <f t="shared" ref="V77" si="41">IF(V55=0,0,V76/V55)</f>
        <v>0.11898333142293092</v>
      </c>
      <c r="W77" s="61">
        <f t="shared" ref="W77" si="42">IF(W55=0,0,W76/W55)</f>
        <v>-0.26043087656390068</v>
      </c>
      <c r="X77" s="27">
        <f t="shared" ref="X77" si="43">IF(X55=0,0,X76/X55)</f>
        <v>0</v>
      </c>
      <c r="Y77" s="61">
        <f t="shared" ref="Y77" si="44">IF(Y55=0,0,Y76/Y55)</f>
        <v>-7.2591569189683583E-2</v>
      </c>
      <c r="Z77" s="61">
        <f>Z76/Z55</f>
        <v>-7.6573584773406464E-2</v>
      </c>
    </row>
    <row r="78" spans="1:26" ht="15" x14ac:dyDescent="0.2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21"/>
      <c r="Y78" s="21"/>
      <c r="Z78" s="21"/>
    </row>
    <row r="79" spans="1:26" s="25" customFormat="1" ht="15" x14ac:dyDescent="0.25">
      <c r="B79" s="18"/>
      <c r="C79" s="18"/>
      <c r="D79" s="7"/>
      <c r="E79" s="18"/>
      <c r="F79" s="7"/>
      <c r="G79" s="18"/>
      <c r="H79" s="18"/>
      <c r="I79" s="7"/>
      <c r="J79" s="7"/>
      <c r="K79" s="18"/>
      <c r="L79" s="7"/>
      <c r="M79" s="7"/>
      <c r="N79" s="7"/>
      <c r="O79" s="18"/>
      <c r="P79" s="18"/>
      <c r="Q79" s="7"/>
      <c r="R79" s="7"/>
      <c r="S79" s="28"/>
      <c r="T79" s="7"/>
      <c r="U79" s="7"/>
      <c r="V79" s="7"/>
      <c r="W79" s="18"/>
      <c r="X79" s="7"/>
      <c r="Y79" s="7"/>
      <c r="Z79" s="17"/>
    </row>
    <row r="80" spans="1:26" ht="15" x14ac:dyDescent="0.2">
      <c r="A80" s="70" t="s">
        <v>72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1">
        <v>1000</v>
      </c>
      <c r="Y80" s="71"/>
      <c r="Z80" s="71">
        <v>1000</v>
      </c>
    </row>
    <row r="81" spans="1:26" ht="15" x14ac:dyDescent="0.25">
      <c r="A81" s="16" t="s">
        <v>43</v>
      </c>
      <c r="B81" s="16" t="s">
        <v>42</v>
      </c>
      <c r="C81" s="16" t="s">
        <v>41</v>
      </c>
      <c r="D81" s="16" t="s">
        <v>40</v>
      </c>
      <c r="E81" s="16" t="s">
        <v>39</v>
      </c>
      <c r="F81" s="16" t="s">
        <v>38</v>
      </c>
      <c r="G81" s="16" t="s">
        <v>37</v>
      </c>
      <c r="H81" s="16" t="s">
        <v>36</v>
      </c>
      <c r="I81" s="16" t="s">
        <v>35</v>
      </c>
      <c r="J81" s="16" t="s">
        <v>71</v>
      </c>
      <c r="K81" s="16" t="s">
        <v>70</v>
      </c>
      <c r="L81" s="16" t="s">
        <v>64</v>
      </c>
      <c r="M81" s="16" t="s">
        <v>33</v>
      </c>
      <c r="N81" s="16"/>
      <c r="O81" s="16" t="s">
        <v>32</v>
      </c>
      <c r="P81" s="16" t="s">
        <v>31</v>
      </c>
      <c r="Q81" s="16" t="s">
        <v>30</v>
      </c>
      <c r="R81" s="16" t="s">
        <v>29</v>
      </c>
      <c r="S81" s="16" t="s">
        <v>28</v>
      </c>
      <c r="T81" s="16" t="s">
        <v>27</v>
      </c>
      <c r="U81" s="16" t="s">
        <v>26</v>
      </c>
      <c r="V81" s="16" t="s">
        <v>25</v>
      </c>
      <c r="W81" s="16" t="s">
        <v>24</v>
      </c>
      <c r="X81" s="16" t="s">
        <v>23</v>
      </c>
      <c r="Y81" s="16" t="s">
        <v>22</v>
      </c>
      <c r="Z81" s="16" t="s">
        <v>25</v>
      </c>
    </row>
    <row r="82" spans="1:26" ht="15" x14ac:dyDescent="0.25">
      <c r="A82" s="10" t="s">
        <v>21</v>
      </c>
      <c r="B82" s="14">
        <f>178459.3/1000</f>
        <v>178.45929999999998</v>
      </c>
      <c r="C82" s="14">
        <v>853987</v>
      </c>
      <c r="D82" s="14"/>
      <c r="E82" s="14">
        <v>1319911</v>
      </c>
      <c r="F82" s="14">
        <v>2550175</v>
      </c>
      <c r="G82" s="14"/>
      <c r="H82" s="14">
        <f>1162751.8/1000</f>
        <v>1162.7518</v>
      </c>
      <c r="I82" s="14">
        <v>7178050</v>
      </c>
      <c r="J82" s="14">
        <f>839027.52/1000</f>
        <v>839.02751999999998</v>
      </c>
      <c r="K82" s="14"/>
      <c r="L82" s="14">
        <v>0</v>
      </c>
      <c r="M82" s="14"/>
      <c r="N82" s="14"/>
      <c r="O82" s="14">
        <v>150566</v>
      </c>
      <c r="P82" s="14">
        <f>203941291/1000</f>
        <v>203941.291</v>
      </c>
      <c r="Q82" s="14"/>
      <c r="R82" s="14">
        <v>213245</v>
      </c>
      <c r="S82" s="14">
        <f>36304955.53/1000</f>
        <v>36304.955529999999</v>
      </c>
      <c r="T82" s="14">
        <v>0</v>
      </c>
      <c r="U82" s="14">
        <v>13307920</v>
      </c>
      <c r="V82" s="14">
        <f>144817151.89/1000</f>
        <v>144817.15188999998</v>
      </c>
      <c r="W82" s="15">
        <v>1572181</v>
      </c>
      <c r="X82" s="14"/>
      <c r="Y82" s="14">
        <v>930226</v>
      </c>
      <c r="Z82" s="14">
        <f>SUM(B82:Y82)</f>
        <v>28463504.63704</v>
      </c>
    </row>
    <row r="83" spans="1:26" ht="15" x14ac:dyDescent="0.25">
      <c r="A83" s="12" t="s">
        <v>20</v>
      </c>
      <c r="B83" s="14">
        <f>-467295.55/1000</f>
        <v>-467.29554999999999</v>
      </c>
      <c r="C83" s="14">
        <v>-805957</v>
      </c>
      <c r="D83" s="14"/>
      <c r="E83" s="14">
        <v>-1185949</v>
      </c>
      <c r="F83" s="14">
        <v>-2172560</v>
      </c>
      <c r="G83" s="14"/>
      <c r="H83" s="14">
        <f>-1061650.44/1000</f>
        <v>-1061.6504399999999</v>
      </c>
      <c r="I83" s="14">
        <v>-6787237</v>
      </c>
      <c r="J83" s="14">
        <f>-3601657.79/1000</f>
        <v>-3601.6577900000002</v>
      </c>
      <c r="K83" s="14"/>
      <c r="L83" s="14">
        <f>-1873319.45/1000</f>
        <v>-1873.31945</v>
      </c>
      <c r="M83" s="14"/>
      <c r="N83" s="14"/>
      <c r="O83" s="14">
        <v>-140608</v>
      </c>
      <c r="P83" s="14">
        <f>-191115880/1000</f>
        <v>-191115.88</v>
      </c>
      <c r="Q83" s="14"/>
      <c r="R83" s="14">
        <v>-202638</v>
      </c>
      <c r="S83" s="14">
        <f>-27566564.66/1000</f>
        <v>-27566.56466</v>
      </c>
      <c r="T83" s="14">
        <f>-31817.14/1000</f>
        <v>-31.817139999999998</v>
      </c>
      <c r="U83" s="14">
        <v>-11255603</v>
      </c>
      <c r="V83" s="14">
        <f>-128365391.81/1000</f>
        <v>-128365.39181</v>
      </c>
      <c r="W83" s="14">
        <v>-1425721</v>
      </c>
      <c r="X83" s="14"/>
      <c r="Y83" s="14">
        <v>-1055615</v>
      </c>
      <c r="Z83" s="14">
        <f>SUM(B83:Y83)</f>
        <v>-25385971.576839998</v>
      </c>
    </row>
    <row r="84" spans="1:26" ht="15" x14ac:dyDescent="0.25">
      <c r="A84" s="10" t="s">
        <v>19</v>
      </c>
      <c r="B84" s="14">
        <f>B82+B83</f>
        <v>-288.83625000000001</v>
      </c>
      <c r="C84" s="14">
        <f>SUM(C82:C83)</f>
        <v>48030</v>
      </c>
      <c r="D84" s="14"/>
      <c r="E84" s="14">
        <f>E82+E83</f>
        <v>133962</v>
      </c>
      <c r="F84" s="14">
        <f>F82+F83</f>
        <v>377615</v>
      </c>
      <c r="G84" s="14"/>
      <c r="H84" s="14">
        <f t="shared" ref="H84:M84" si="45">H82+H83</f>
        <v>101.10136000000011</v>
      </c>
      <c r="I84" s="14">
        <f t="shared" si="45"/>
        <v>390813</v>
      </c>
      <c r="J84" s="14">
        <f t="shared" si="45"/>
        <v>-2762.6302700000001</v>
      </c>
      <c r="K84" s="14">
        <f t="shared" si="45"/>
        <v>0</v>
      </c>
      <c r="L84" s="14">
        <f t="shared" si="45"/>
        <v>-1873.31945</v>
      </c>
      <c r="M84" s="14">
        <f t="shared" si="45"/>
        <v>0</v>
      </c>
      <c r="N84" s="14"/>
      <c r="O84" s="14">
        <f t="shared" ref="O84:Z84" si="46">O82+O83</f>
        <v>9958</v>
      </c>
      <c r="P84" s="14">
        <f t="shared" si="46"/>
        <v>12825.410999999993</v>
      </c>
      <c r="Q84" s="14">
        <f t="shared" si="46"/>
        <v>0</v>
      </c>
      <c r="R84" s="14">
        <f t="shared" si="46"/>
        <v>10607</v>
      </c>
      <c r="S84" s="14">
        <f t="shared" si="46"/>
        <v>8738.3908699999993</v>
      </c>
      <c r="T84" s="14">
        <f t="shared" si="46"/>
        <v>-31.817139999999998</v>
      </c>
      <c r="U84" s="14">
        <f t="shared" si="46"/>
        <v>2052317</v>
      </c>
      <c r="V84" s="14">
        <f t="shared" si="46"/>
        <v>16451.760079999978</v>
      </c>
      <c r="W84" s="15">
        <f t="shared" si="46"/>
        <v>146460</v>
      </c>
      <c r="X84" s="14">
        <f t="shared" si="46"/>
        <v>0</v>
      </c>
      <c r="Y84" s="14">
        <f t="shared" si="46"/>
        <v>-125389</v>
      </c>
      <c r="Z84" s="14">
        <f t="shared" si="46"/>
        <v>3077533.060200002</v>
      </c>
    </row>
    <row r="85" spans="1:26" ht="15" x14ac:dyDescent="0.25">
      <c r="A85" s="12" t="s">
        <v>18</v>
      </c>
      <c r="B85" s="14">
        <f>-67254.04/1000</f>
        <v>-67.254039999999989</v>
      </c>
      <c r="C85" s="14">
        <f>(-22887-19072-2212-4)</f>
        <v>-44175</v>
      </c>
      <c r="D85" s="14"/>
      <c r="E85" s="14">
        <f>-107776-76143-597</f>
        <v>-184516</v>
      </c>
      <c r="F85" s="14">
        <f>-134027-291975</f>
        <v>-426002</v>
      </c>
      <c r="G85" s="14"/>
      <c r="H85" s="14">
        <f>-148626.99/1000</f>
        <v>-148.62698999999998</v>
      </c>
      <c r="I85" s="14">
        <v>-1077617</v>
      </c>
      <c r="J85" s="14">
        <f>-1431706.77/1000</f>
        <v>-1431.70677</v>
      </c>
      <c r="K85" s="14"/>
      <c r="L85" s="14">
        <f>(-1066548.62-1279.14-31431.29+1219763.75)/1000</f>
        <v>120.50469999999996</v>
      </c>
      <c r="M85" s="14"/>
      <c r="N85" s="14"/>
      <c r="O85" s="14"/>
      <c r="P85" s="14">
        <f>-(632591+47609607)/1000</f>
        <v>-48242.197999999997</v>
      </c>
      <c r="Q85" s="14"/>
      <c r="R85" s="14">
        <f>-255-12971+586</f>
        <v>-12640</v>
      </c>
      <c r="S85" s="14">
        <f>-6861646.72/1000</f>
        <v>-6861.6467199999997</v>
      </c>
      <c r="T85" s="14">
        <f>-375590/1000</f>
        <v>-375.59</v>
      </c>
      <c r="U85" s="14">
        <v>-2771492</v>
      </c>
      <c r="V85" s="14">
        <f>-10710770.08/1000</f>
        <v>-10710.77008</v>
      </c>
      <c r="W85" s="14">
        <f>-86946-168338</f>
        <v>-255284</v>
      </c>
      <c r="X85" s="14"/>
      <c r="Y85" s="14">
        <f>-42989-79795</f>
        <v>-122784</v>
      </c>
      <c r="Z85" s="14">
        <f>SUM(B85:Y85)</f>
        <v>-4962227.2879000008</v>
      </c>
    </row>
    <row r="86" spans="1:26" ht="15" x14ac:dyDescent="0.25">
      <c r="A86" s="10" t="s">
        <v>17</v>
      </c>
      <c r="B86" s="14">
        <v>0</v>
      </c>
      <c r="C86" s="14">
        <v>0</v>
      </c>
      <c r="D86" s="14"/>
      <c r="E86" s="14">
        <v>0</v>
      </c>
      <c r="F86" s="14">
        <v>0</v>
      </c>
      <c r="G86" s="14"/>
      <c r="H86" s="14">
        <v>0</v>
      </c>
      <c r="I86" s="14">
        <v>-284739</v>
      </c>
      <c r="J86" s="14">
        <v>0</v>
      </c>
      <c r="K86" s="14"/>
      <c r="L86" s="14">
        <f>-166402.59/1000</f>
        <v>-166.40259</v>
      </c>
      <c r="M86" s="14"/>
      <c r="N86" s="14"/>
      <c r="O86" s="14"/>
      <c r="P86" s="14">
        <v>0</v>
      </c>
      <c r="Q86" s="14"/>
      <c r="R86" s="14">
        <v>0</v>
      </c>
      <c r="S86" s="14">
        <v>0</v>
      </c>
      <c r="T86" s="14">
        <v>0</v>
      </c>
      <c r="U86" s="14">
        <v>-209209</v>
      </c>
      <c r="V86" s="14">
        <f>-4419.95/1000</f>
        <v>-4.41995</v>
      </c>
      <c r="W86" s="14">
        <v>0</v>
      </c>
      <c r="X86" s="14"/>
      <c r="Y86" s="14"/>
      <c r="Z86" s="14">
        <f>SUM(B86:Y86)</f>
        <v>-494118.82254000002</v>
      </c>
    </row>
    <row r="87" spans="1:26" ht="15" x14ac:dyDescent="0.25">
      <c r="A87" s="10" t="s">
        <v>16</v>
      </c>
      <c r="B87" s="14">
        <f>B84+B85+B86</f>
        <v>-356.09028999999998</v>
      </c>
      <c r="C87" s="14">
        <f>C84+C85</f>
        <v>3855</v>
      </c>
      <c r="D87" s="14"/>
      <c r="E87" s="14">
        <v>-50554</v>
      </c>
      <c r="F87" s="14">
        <f>F84+F85+F86</f>
        <v>-48387</v>
      </c>
      <c r="G87" s="14"/>
      <c r="H87" s="14">
        <f t="shared" ref="H87:M87" si="47">H84+H85+H86</f>
        <v>-47.525629999999865</v>
      </c>
      <c r="I87" s="14">
        <f t="shared" si="47"/>
        <v>-971543</v>
      </c>
      <c r="J87" s="14">
        <f t="shared" si="47"/>
        <v>-4194.3370400000003</v>
      </c>
      <c r="K87" s="14">
        <f t="shared" si="47"/>
        <v>0</v>
      </c>
      <c r="L87" s="14">
        <f t="shared" si="47"/>
        <v>-1919.2173399999999</v>
      </c>
      <c r="M87" s="14">
        <f t="shared" si="47"/>
        <v>0</v>
      </c>
      <c r="N87" s="14"/>
      <c r="O87" s="14">
        <f t="shared" ref="O87:Z87" si="48">O84+O85+O86</f>
        <v>9958</v>
      </c>
      <c r="P87" s="14">
        <f t="shared" si="48"/>
        <v>-35416.787000000004</v>
      </c>
      <c r="Q87" s="14">
        <f t="shared" si="48"/>
        <v>0</v>
      </c>
      <c r="R87" s="14">
        <f t="shared" si="48"/>
        <v>-2033</v>
      </c>
      <c r="S87" s="14">
        <f t="shared" si="48"/>
        <v>1876.7441499999995</v>
      </c>
      <c r="T87" s="14">
        <f t="shared" si="48"/>
        <v>-407.40713999999997</v>
      </c>
      <c r="U87" s="14">
        <f t="shared" si="48"/>
        <v>-928384</v>
      </c>
      <c r="V87" s="14">
        <f t="shared" si="48"/>
        <v>5736.5700499999775</v>
      </c>
      <c r="W87" s="15">
        <f t="shared" si="48"/>
        <v>-108824</v>
      </c>
      <c r="X87" s="14">
        <f t="shared" si="48"/>
        <v>0</v>
      </c>
      <c r="Y87" s="14">
        <f t="shared" si="48"/>
        <v>-248173</v>
      </c>
      <c r="Z87" s="14">
        <f t="shared" si="48"/>
        <v>-2378813.0502399988</v>
      </c>
    </row>
    <row r="88" spans="1:26" ht="15" x14ac:dyDescent="0.25">
      <c r="A88" s="10" t="s">
        <v>15</v>
      </c>
      <c r="B88" s="14">
        <f>B89+B90+B91+B92+B93+B94</f>
        <v>-11.439960000000001</v>
      </c>
      <c r="C88" s="14">
        <v>-2383</v>
      </c>
      <c r="D88" s="14"/>
      <c r="E88" s="14">
        <f>SUM(E89:E95)</f>
        <v>-51437</v>
      </c>
      <c r="F88" s="14">
        <f>F89+F90+F91+F92+F93+F94</f>
        <v>-95346</v>
      </c>
      <c r="G88" s="14"/>
      <c r="H88" s="14">
        <f t="shared" ref="H88:M88" si="49">SUM(H89:H94)</f>
        <v>-4.5405299999999995</v>
      </c>
      <c r="I88" s="14">
        <f t="shared" si="49"/>
        <v>-439153</v>
      </c>
      <c r="J88" s="14">
        <f t="shared" si="49"/>
        <v>0</v>
      </c>
      <c r="K88" s="14">
        <f t="shared" si="49"/>
        <v>0</v>
      </c>
      <c r="L88" s="14">
        <f t="shared" si="49"/>
        <v>-916.19511</v>
      </c>
      <c r="M88" s="14">
        <f t="shared" si="49"/>
        <v>0</v>
      </c>
      <c r="N88" s="14"/>
      <c r="O88" s="14">
        <f t="shared" ref="O88:Z88" si="50">SUM(O89:O94)</f>
        <v>-13000</v>
      </c>
      <c r="P88" s="14">
        <f t="shared" si="50"/>
        <v>-14272.976000000001</v>
      </c>
      <c r="Q88" s="14">
        <f t="shared" si="50"/>
        <v>0</v>
      </c>
      <c r="R88" s="14">
        <f t="shared" si="50"/>
        <v>-11274</v>
      </c>
      <c r="S88" s="14">
        <f t="shared" si="50"/>
        <v>-2110.3371699999998</v>
      </c>
      <c r="T88" s="14">
        <f t="shared" si="50"/>
        <v>-3.9280900000000001</v>
      </c>
      <c r="U88" s="14">
        <f t="shared" ref="U88" si="51">SUM(U89:U94)</f>
        <v>-917795</v>
      </c>
      <c r="V88" s="14">
        <f t="shared" si="50"/>
        <v>-14268.333730000002</v>
      </c>
      <c r="W88" s="14">
        <f t="shared" si="50"/>
        <v>-128196</v>
      </c>
      <c r="X88" s="14">
        <f t="shared" si="50"/>
        <v>0</v>
      </c>
      <c r="Y88" s="14">
        <f t="shared" si="50"/>
        <v>-37738</v>
      </c>
      <c r="Z88" s="14">
        <f t="shared" si="50"/>
        <v>-1727909.7505900001</v>
      </c>
    </row>
    <row r="89" spans="1:26" x14ac:dyDescent="0.2">
      <c r="A89" s="3" t="s">
        <v>14</v>
      </c>
      <c r="B89" s="5">
        <v>0</v>
      </c>
      <c r="C89" s="5">
        <v>0</v>
      </c>
      <c r="D89" s="5"/>
      <c r="E89" s="5">
        <v>0</v>
      </c>
      <c r="F89" s="5">
        <v>0</v>
      </c>
      <c r="G89" s="5"/>
      <c r="H89" s="5">
        <v>0</v>
      </c>
      <c r="I89" s="5">
        <v>0</v>
      </c>
      <c r="J89" s="5">
        <v>0</v>
      </c>
      <c r="K89" s="5"/>
      <c r="L89" s="5">
        <v>0</v>
      </c>
      <c r="M89" s="5"/>
      <c r="N89" s="5"/>
      <c r="O89" s="5"/>
      <c r="P89" s="5">
        <v>0</v>
      </c>
      <c r="Q89" s="5"/>
      <c r="R89" s="5">
        <v>0</v>
      </c>
      <c r="S89" s="5">
        <v>0</v>
      </c>
      <c r="T89" s="5"/>
      <c r="U89" s="5">
        <v>-31018</v>
      </c>
      <c r="V89" s="5"/>
      <c r="W89" s="5">
        <v>0</v>
      </c>
      <c r="Z89" s="1">
        <f t="shared" ref="Z89:Z95" si="52">SUM(B89:Y89)</f>
        <v>-31018</v>
      </c>
    </row>
    <row r="90" spans="1:26" x14ac:dyDescent="0.2">
      <c r="A90" s="2" t="s">
        <v>13</v>
      </c>
      <c r="B90" s="5">
        <f>2061.47/1000</f>
        <v>2.0614699999999999</v>
      </c>
      <c r="C90" s="5">
        <v>2850</v>
      </c>
      <c r="D90" s="5"/>
      <c r="E90" s="5">
        <v>0</v>
      </c>
      <c r="F90" s="5">
        <v>71491</v>
      </c>
      <c r="G90" s="5"/>
      <c r="H90" s="5">
        <v>0</v>
      </c>
      <c r="I90" s="5">
        <v>334900</v>
      </c>
      <c r="J90" s="5">
        <v>0</v>
      </c>
      <c r="K90" s="5"/>
      <c r="L90" s="5">
        <f>7.91/1000</f>
        <v>7.9100000000000004E-3</v>
      </c>
      <c r="M90" s="5"/>
      <c r="N90" s="5"/>
      <c r="O90" s="5">
        <v>35</v>
      </c>
      <c r="P90" s="5">
        <v>0</v>
      </c>
      <c r="Q90" s="5"/>
      <c r="R90" s="5">
        <v>1007</v>
      </c>
      <c r="S90" s="5">
        <f>15557.87/1000</f>
        <v>15.557870000000001</v>
      </c>
      <c r="T90" s="5"/>
      <c r="U90" s="5">
        <v>1722081</v>
      </c>
      <c r="V90" s="5">
        <f>928050.43/1000</f>
        <v>928.05043000000001</v>
      </c>
      <c r="W90" s="5">
        <v>4429</v>
      </c>
      <c r="Y90" s="1">
        <v>8022</v>
      </c>
      <c r="Z90" s="1">
        <f t="shared" si="52"/>
        <v>2145760.6776799997</v>
      </c>
    </row>
    <row r="91" spans="1:26" x14ac:dyDescent="0.2">
      <c r="A91" s="3" t="s">
        <v>12</v>
      </c>
      <c r="B91" s="5">
        <f>-13501.43/1000</f>
        <v>-13.501430000000001</v>
      </c>
      <c r="C91" s="5">
        <v>-2158</v>
      </c>
      <c r="D91" s="5"/>
      <c r="E91" s="5">
        <v>-51437</v>
      </c>
      <c r="F91" s="5">
        <v>-166837</v>
      </c>
      <c r="G91" s="5"/>
      <c r="H91" s="5">
        <f>-4540.53/1000</f>
        <v>-4.5405299999999995</v>
      </c>
      <c r="I91" s="5">
        <v>-588826</v>
      </c>
      <c r="J91" s="5">
        <v>0</v>
      </c>
      <c r="K91" s="5"/>
      <c r="L91" s="5">
        <f>-916203.02/1000</f>
        <v>-916.20302000000004</v>
      </c>
      <c r="M91" s="5"/>
      <c r="N91" s="5"/>
      <c r="O91" s="5">
        <v>-13035</v>
      </c>
      <c r="P91" s="5">
        <f>-14272976/1000</f>
        <v>-14272.976000000001</v>
      </c>
      <c r="Q91" s="5"/>
      <c r="R91" s="5">
        <v>-12281</v>
      </c>
      <c r="S91" s="5">
        <f>-2038184.41/1000</f>
        <v>-2038.1844099999998</v>
      </c>
      <c r="T91" s="5">
        <f>-3928.09/1000</f>
        <v>-3.9280900000000001</v>
      </c>
      <c r="U91" s="5">
        <v>-2608858</v>
      </c>
      <c r="V91" s="5">
        <f>-16125788.56/1000</f>
        <v>-16125.788560000001</v>
      </c>
      <c r="W91" s="5">
        <v>-99523</v>
      </c>
      <c r="Y91" s="1">
        <v>-42725</v>
      </c>
      <c r="Z91" s="1">
        <f t="shared" si="52"/>
        <v>-3619055.1220399998</v>
      </c>
    </row>
    <row r="92" spans="1:26" x14ac:dyDescent="0.2">
      <c r="A92" s="2" t="s">
        <v>11</v>
      </c>
      <c r="B92" s="5">
        <v>0</v>
      </c>
      <c r="C92" s="5">
        <v>0</v>
      </c>
      <c r="D92" s="5"/>
      <c r="E92" s="5"/>
      <c r="F92" s="5">
        <v>0</v>
      </c>
      <c r="G92" s="5"/>
      <c r="H92" s="5">
        <v>0</v>
      </c>
      <c r="I92" s="5">
        <v>0</v>
      </c>
      <c r="J92" s="5">
        <v>0</v>
      </c>
      <c r="K92" s="5"/>
      <c r="L92" s="5">
        <v>0</v>
      </c>
      <c r="M92" s="5"/>
      <c r="N92" s="5"/>
      <c r="O92" s="5"/>
      <c r="P92" s="5">
        <v>0</v>
      </c>
      <c r="Q92" s="5"/>
      <c r="R92" s="5">
        <v>0</v>
      </c>
      <c r="S92" s="5">
        <v>0</v>
      </c>
      <c r="T92" s="5"/>
      <c r="U92" s="5"/>
      <c r="V92" s="5"/>
      <c r="W92" s="5">
        <v>0</v>
      </c>
      <c r="Z92" s="1">
        <f t="shared" si="52"/>
        <v>0</v>
      </c>
    </row>
    <row r="93" spans="1:26" x14ac:dyDescent="0.2">
      <c r="A93" s="3" t="s">
        <v>10</v>
      </c>
      <c r="B93" s="5">
        <v>0</v>
      </c>
      <c r="C93" s="5">
        <v>-3075</v>
      </c>
      <c r="D93" s="5"/>
      <c r="E93" s="5"/>
      <c r="F93" s="5">
        <v>0</v>
      </c>
      <c r="G93" s="5"/>
      <c r="H93" s="5">
        <v>0</v>
      </c>
      <c r="I93" s="5">
        <v>-185227</v>
      </c>
      <c r="J93" s="5">
        <v>0</v>
      </c>
      <c r="K93" s="5"/>
      <c r="L93" s="5">
        <v>0</v>
      </c>
      <c r="M93" s="5"/>
      <c r="N93" s="5"/>
      <c r="O93" s="5"/>
      <c r="P93" s="5">
        <v>0</v>
      </c>
      <c r="Q93" s="5"/>
      <c r="R93" s="5">
        <v>0</v>
      </c>
      <c r="S93" s="5">
        <f>-87710.63/1000</f>
        <v>-87.710630000000009</v>
      </c>
      <c r="T93" s="5"/>
      <c r="U93" s="5"/>
      <c r="V93" s="5">
        <f>(4971920.06-4042515.66)/1000</f>
        <v>929.40439999999944</v>
      </c>
      <c r="W93" s="5">
        <v>-29841</v>
      </c>
      <c r="Y93" s="1">
        <v>-3035</v>
      </c>
      <c r="Z93" s="1">
        <f t="shared" si="52"/>
        <v>-220336.30622999999</v>
      </c>
    </row>
    <row r="94" spans="1:26" x14ac:dyDescent="0.2">
      <c r="A94" s="2" t="s">
        <v>9</v>
      </c>
      <c r="B94" s="5"/>
      <c r="C94" s="5">
        <v>0</v>
      </c>
      <c r="D94" s="5"/>
      <c r="E94" s="5"/>
      <c r="F94" s="5">
        <v>0</v>
      </c>
      <c r="G94" s="5"/>
      <c r="H94" s="5">
        <v>0</v>
      </c>
      <c r="I94" s="5">
        <v>0</v>
      </c>
      <c r="J94" s="5">
        <v>0</v>
      </c>
      <c r="K94" s="5"/>
      <c r="L94" s="5">
        <v>0</v>
      </c>
      <c r="M94" s="5"/>
      <c r="N94" s="5"/>
      <c r="O94" s="5"/>
      <c r="P94" s="5">
        <v>0</v>
      </c>
      <c r="Q94" s="5"/>
      <c r="R94" s="5">
        <v>0</v>
      </c>
      <c r="S94" s="5">
        <v>0</v>
      </c>
      <c r="T94" s="5"/>
      <c r="U94" s="5"/>
      <c r="V94" s="5"/>
      <c r="W94" s="5">
        <v>-3261</v>
      </c>
      <c r="Z94" s="1">
        <f t="shared" si="52"/>
        <v>-3261</v>
      </c>
    </row>
    <row r="95" spans="1:26" ht="15" x14ac:dyDescent="0.25">
      <c r="A95" s="12" t="s">
        <v>8</v>
      </c>
      <c r="B95" s="8">
        <f>(43414.53-304731.85)/1000</f>
        <v>-261.31732</v>
      </c>
      <c r="C95" s="8">
        <v>0</v>
      </c>
      <c r="D95" s="8"/>
      <c r="E95" s="8">
        <v>0</v>
      </c>
      <c r="F95" s="8">
        <v>0</v>
      </c>
      <c r="G95" s="8"/>
      <c r="H95" s="8">
        <v>0</v>
      </c>
      <c r="I95" s="8"/>
      <c r="J95" s="8">
        <v>0</v>
      </c>
      <c r="K95" s="8"/>
      <c r="L95" s="8">
        <v>0</v>
      </c>
      <c r="M95" s="8"/>
      <c r="N95" s="8"/>
      <c r="O95" s="8"/>
      <c r="P95" s="8">
        <f>471406/1000</f>
        <v>471.40600000000001</v>
      </c>
      <c r="Q95" s="8"/>
      <c r="R95" s="8">
        <v>0</v>
      </c>
      <c r="S95" s="8">
        <v>0</v>
      </c>
      <c r="T95" s="8"/>
      <c r="U95" s="8"/>
      <c r="V95" s="8">
        <f>(-2151102.99+6137174.01)/1000</f>
        <v>3986.0710199999994</v>
      </c>
      <c r="W95" s="11">
        <v>0</v>
      </c>
      <c r="Z95" s="1">
        <f t="shared" si="52"/>
        <v>4196.1596999999992</v>
      </c>
    </row>
    <row r="96" spans="1:26" ht="15" x14ac:dyDescent="0.25">
      <c r="A96" s="10" t="s">
        <v>7</v>
      </c>
      <c r="B96" s="8">
        <f>B87+B88+B95</f>
        <v>-628.84756999999991</v>
      </c>
      <c r="C96" s="8">
        <f>C87+C88</f>
        <v>1472</v>
      </c>
      <c r="D96" s="8"/>
      <c r="E96" s="8">
        <f>E87+E88</f>
        <v>-101991</v>
      </c>
      <c r="F96" s="8">
        <f>F87+F88</f>
        <v>-143733</v>
      </c>
      <c r="G96" s="8"/>
      <c r="H96" s="8">
        <f t="shared" ref="H96:M96" si="53">H87+H88+H95</f>
        <v>-52.066159999999861</v>
      </c>
      <c r="I96" s="8">
        <f t="shared" si="53"/>
        <v>-1410696</v>
      </c>
      <c r="J96" s="8">
        <f t="shared" si="53"/>
        <v>-4194.3370400000003</v>
      </c>
      <c r="K96" s="8">
        <f t="shared" si="53"/>
        <v>0</v>
      </c>
      <c r="L96" s="8">
        <f t="shared" si="53"/>
        <v>-2835.4124499999998</v>
      </c>
      <c r="M96" s="8">
        <f t="shared" si="53"/>
        <v>0</v>
      </c>
      <c r="N96" s="8"/>
      <c r="O96" s="8">
        <f t="shared" ref="O96:Z96" si="54">O87+O88+O95</f>
        <v>-3042</v>
      </c>
      <c r="P96" s="8">
        <f t="shared" si="54"/>
        <v>-49218.357000000004</v>
      </c>
      <c r="Q96" s="8">
        <f t="shared" si="54"/>
        <v>0</v>
      </c>
      <c r="R96" s="8">
        <f t="shared" si="54"/>
        <v>-13307</v>
      </c>
      <c r="S96" s="8">
        <f t="shared" si="54"/>
        <v>-233.59302000000025</v>
      </c>
      <c r="T96" s="8">
        <f t="shared" si="54"/>
        <v>-411.33522999999997</v>
      </c>
      <c r="U96" s="8">
        <f t="shared" si="54"/>
        <v>-1846179</v>
      </c>
      <c r="V96" s="8">
        <f t="shared" si="54"/>
        <v>-4545.6926600000261</v>
      </c>
      <c r="W96" s="11">
        <f t="shared" si="54"/>
        <v>-237020</v>
      </c>
      <c r="X96" s="11">
        <f t="shared" si="54"/>
        <v>0</v>
      </c>
      <c r="Y96" s="8">
        <f t="shared" si="54"/>
        <v>-285911</v>
      </c>
      <c r="Z96" s="21">
        <f t="shared" si="54"/>
        <v>-4102526.641129999</v>
      </c>
    </row>
    <row r="97" spans="1:26" ht="15" x14ac:dyDescent="0.25">
      <c r="A97" s="12" t="s">
        <v>6</v>
      </c>
      <c r="B97" s="8">
        <v>0</v>
      </c>
      <c r="C97" s="8">
        <v>-837</v>
      </c>
      <c r="D97" s="8"/>
      <c r="E97" s="8">
        <v>0</v>
      </c>
      <c r="F97" s="8">
        <v>0</v>
      </c>
      <c r="G97" s="8"/>
      <c r="H97" s="8">
        <v>0</v>
      </c>
      <c r="I97" s="8">
        <f>78953-1290</f>
        <v>77663</v>
      </c>
      <c r="J97" s="8">
        <v>0</v>
      </c>
      <c r="K97" s="8"/>
      <c r="L97" s="8">
        <v>0</v>
      </c>
      <c r="M97" s="8"/>
      <c r="N97" s="8"/>
      <c r="O97" s="8"/>
      <c r="P97" s="8">
        <f>38566486/1000</f>
        <v>38566.485999999997</v>
      </c>
      <c r="Q97" s="8"/>
      <c r="R97" s="8">
        <v>-31</v>
      </c>
      <c r="S97" s="8">
        <f>248203.89/1000</f>
        <v>248.20389</v>
      </c>
      <c r="T97" s="8">
        <v>0</v>
      </c>
      <c r="U97" s="8">
        <v>432475</v>
      </c>
      <c r="V97" s="8">
        <v>0</v>
      </c>
      <c r="W97" s="11">
        <v>0</v>
      </c>
      <c r="X97" s="11"/>
      <c r="Y97" s="21"/>
      <c r="Z97" s="21">
        <f>SUM(B97:Y97)</f>
        <v>548084.68989000004</v>
      </c>
    </row>
    <row r="98" spans="1:26" ht="15" x14ac:dyDescent="0.25">
      <c r="A98" s="10" t="s">
        <v>5</v>
      </c>
      <c r="B98" s="8"/>
      <c r="C98" s="8">
        <v>0</v>
      </c>
      <c r="D98" s="8"/>
      <c r="E98" s="8">
        <v>0</v>
      </c>
      <c r="F98" s="8">
        <v>0</v>
      </c>
      <c r="G98" s="8"/>
      <c r="H98" s="8">
        <v>0</v>
      </c>
      <c r="I98" s="8">
        <v>0</v>
      </c>
      <c r="J98" s="8">
        <f>1248/1000</f>
        <v>1.248</v>
      </c>
      <c r="K98" s="8"/>
      <c r="L98" s="8">
        <v>0</v>
      </c>
      <c r="M98" s="8"/>
      <c r="N98" s="8"/>
      <c r="O98" s="8"/>
      <c r="P98" s="8">
        <v>0</v>
      </c>
      <c r="Q98" s="8"/>
      <c r="R98" s="8">
        <v>0</v>
      </c>
      <c r="S98" s="8">
        <v>0</v>
      </c>
      <c r="T98" s="8">
        <v>0</v>
      </c>
      <c r="U98" s="8"/>
      <c r="V98" s="8">
        <v>0</v>
      </c>
      <c r="W98" s="13">
        <v>0</v>
      </c>
      <c r="X98" s="21"/>
      <c r="Y98" s="21"/>
      <c r="Z98" s="21">
        <f>SUM(B98:Y98)</f>
        <v>1.248</v>
      </c>
    </row>
    <row r="99" spans="1:26" ht="15" x14ac:dyDescent="0.25">
      <c r="A99" s="12" t="s">
        <v>4</v>
      </c>
      <c r="B99" s="8">
        <f>B96+B97+B98</f>
        <v>-628.84756999999991</v>
      </c>
      <c r="C99" s="8">
        <f>C96+C97+C98</f>
        <v>635</v>
      </c>
      <c r="D99" s="8"/>
      <c r="E99" s="8">
        <v>-101991</v>
      </c>
      <c r="F99" s="8">
        <f>F96+F97+F98</f>
        <v>-143733</v>
      </c>
      <c r="G99" s="8"/>
      <c r="H99" s="8">
        <f t="shared" ref="H99:M99" si="55">H96+H97+H98</f>
        <v>-52.066159999999861</v>
      </c>
      <c r="I99" s="8">
        <f t="shared" si="55"/>
        <v>-1333033</v>
      </c>
      <c r="J99" s="8">
        <f t="shared" si="55"/>
        <v>-4193.0890400000008</v>
      </c>
      <c r="K99" s="8">
        <f t="shared" si="55"/>
        <v>0</v>
      </c>
      <c r="L99" s="8">
        <f t="shared" si="55"/>
        <v>-2835.4124499999998</v>
      </c>
      <c r="M99" s="8">
        <f t="shared" si="55"/>
        <v>0</v>
      </c>
      <c r="N99" s="8"/>
      <c r="O99" s="8">
        <f t="shared" ref="O99:Z99" si="56">O96+O97+O98</f>
        <v>-3042</v>
      </c>
      <c r="P99" s="8">
        <f t="shared" si="56"/>
        <v>-10651.871000000006</v>
      </c>
      <c r="Q99" s="8">
        <f t="shared" si="56"/>
        <v>0</v>
      </c>
      <c r="R99" s="8">
        <f t="shared" si="56"/>
        <v>-13338</v>
      </c>
      <c r="S99" s="8">
        <f t="shared" si="56"/>
        <v>14.61086999999975</v>
      </c>
      <c r="T99" s="8">
        <f t="shared" si="56"/>
        <v>-411.33522999999997</v>
      </c>
      <c r="U99" s="8">
        <f t="shared" si="56"/>
        <v>-1413704</v>
      </c>
      <c r="V99" s="8">
        <f t="shared" si="56"/>
        <v>-4545.6926600000261</v>
      </c>
      <c r="W99" s="11">
        <f t="shared" si="56"/>
        <v>-237020</v>
      </c>
      <c r="X99" s="21">
        <f t="shared" si="56"/>
        <v>0</v>
      </c>
      <c r="Y99" s="21">
        <f t="shared" si="56"/>
        <v>-285911</v>
      </c>
      <c r="Z99" s="21">
        <f t="shared" si="56"/>
        <v>-3554440.7032399988</v>
      </c>
    </row>
    <row r="100" spans="1:26" ht="15" x14ac:dyDescent="0.25">
      <c r="A100" s="10"/>
      <c r="B100" s="6"/>
      <c r="C100" s="9"/>
      <c r="D100" s="6"/>
      <c r="E100" s="5"/>
      <c r="F100" s="5"/>
      <c r="G100" s="6"/>
      <c r="H100" s="6"/>
      <c r="I100" s="5"/>
      <c r="J100" s="6"/>
      <c r="K100" s="8"/>
      <c r="L100" s="6"/>
      <c r="M100" s="5"/>
      <c r="N100" s="6"/>
      <c r="O100" s="5"/>
      <c r="P100" s="6"/>
      <c r="Q100" s="6"/>
      <c r="R100" s="6"/>
      <c r="S100" s="7"/>
      <c r="T100" s="6"/>
      <c r="U100" s="6"/>
      <c r="V100" s="6"/>
      <c r="W100" s="5"/>
    </row>
    <row r="101" spans="1:26" ht="15" x14ac:dyDescent="0.25">
      <c r="A101" s="27" t="s">
        <v>69</v>
      </c>
      <c r="B101" s="58">
        <v>-0.23680967017164026</v>
      </c>
      <c r="C101" s="58">
        <v>4.7083073820328022E-3</v>
      </c>
      <c r="D101" s="58" t="str">
        <f>IFERROR(D99/'[1]Balanço Patrimonial'!D127,"")</f>
        <v/>
      </c>
      <c r="E101" s="58">
        <v>-0.16029540964592021</v>
      </c>
      <c r="F101" s="58">
        <v>-7.7040501564844155E-2</v>
      </c>
      <c r="G101" s="58" t="s">
        <v>90</v>
      </c>
      <c r="H101" s="58">
        <v>-1.6516679272864536E-2</v>
      </c>
      <c r="I101" s="58">
        <v>-0.17228413642291154</v>
      </c>
      <c r="J101" s="58">
        <v>-0.39447409689999158</v>
      </c>
      <c r="K101" s="58" t="s">
        <v>90</v>
      </c>
      <c r="L101" s="58">
        <v>-0.6355637592448159</v>
      </c>
      <c r="M101" s="58">
        <f>IFERROR(M99/'[1]Balanço Patrimonial'!M127,"")</f>
        <v>0</v>
      </c>
      <c r="N101" s="58"/>
      <c r="O101" s="58">
        <v>-0.12817055700682564</v>
      </c>
      <c r="P101" s="58">
        <v>-3.3883321997509284E-2</v>
      </c>
      <c r="Q101" s="58" t="str">
        <f>IFERROR(Q99/'[1]Balanço Patrimonial'!P127,"")</f>
        <v/>
      </c>
      <c r="R101" s="58">
        <v>-0.12938184481903894</v>
      </c>
      <c r="S101" s="58">
        <v>-0.18327665150289577</v>
      </c>
      <c r="T101" s="58" t="str">
        <f>IFERROR(T99/'[1]Balanço Patrimonial'!S127,"")</f>
        <v/>
      </c>
      <c r="U101" s="58">
        <v>-0.10813624868712012</v>
      </c>
      <c r="V101" s="58">
        <v>-3.3622194073290118E-2</v>
      </c>
      <c r="W101" s="58">
        <v>-0.20956267871005163</v>
      </c>
      <c r="X101" s="58" t="s">
        <v>90</v>
      </c>
      <c r="Y101" s="58">
        <v>-2.8048639315635606</v>
      </c>
      <c r="Z101" s="58">
        <v>-0.14047700497602311</v>
      </c>
    </row>
    <row r="102" spans="1:26" ht="15" x14ac:dyDescent="0.25">
      <c r="A102" s="27" t="s">
        <v>68</v>
      </c>
      <c r="B102" s="58">
        <v>-0.30520695611104581</v>
      </c>
      <c r="C102" s="58">
        <v>9.1802804684111602E-2</v>
      </c>
      <c r="D102" s="58" t="str">
        <f>IFERROR(D99/'[1]Balanço Patrimonial'!D137,"")</f>
        <v/>
      </c>
      <c r="E102" s="58">
        <v>-7.0611326502353915</v>
      </c>
      <c r="F102" s="58">
        <v>0.63479017427327256</v>
      </c>
      <c r="G102" s="58" t="s">
        <v>90</v>
      </c>
      <c r="H102" s="58">
        <v>1.4574585936532932E-2</v>
      </c>
      <c r="I102" s="58">
        <v>-1.7766832424132972</v>
      </c>
      <c r="J102" s="58">
        <v>0.54963196642495071</v>
      </c>
      <c r="K102" s="58" t="s">
        <v>90</v>
      </c>
      <c r="L102" s="58">
        <v>0.47035513828459147</v>
      </c>
      <c r="M102" s="58">
        <f>IFERROR(M99/'[1]Balanço Patrimonial'!M137,"")</f>
        <v>0</v>
      </c>
      <c r="N102" s="58"/>
      <c r="O102" s="58">
        <v>1.8925913943707538E-2</v>
      </c>
      <c r="P102" s="58">
        <v>-0.17230118197260075</v>
      </c>
      <c r="Q102" s="58" t="str">
        <f>IFERROR(Q99/'[1]Balanço Patrimonial'!P137,"")</f>
        <v/>
      </c>
      <c r="R102" s="58">
        <v>-1.4270669601259005</v>
      </c>
      <c r="S102" s="58">
        <v>0.11330932108699179</v>
      </c>
      <c r="T102" s="58" t="str">
        <f>IFERROR(T99/'[1]Balanço Patrimonial'!S137,"")</f>
        <v/>
      </c>
      <c r="U102" s="58">
        <v>1.2001646963940829</v>
      </c>
      <c r="V102" s="58">
        <v>-0.44897119990143797</v>
      </c>
      <c r="W102" s="58">
        <v>0.77606134623822087</v>
      </c>
      <c r="X102" s="58" t="s">
        <v>90</v>
      </c>
      <c r="Y102" s="58">
        <v>0.85220898138267753</v>
      </c>
      <c r="Z102" s="58">
        <v>2.5982835999041018</v>
      </c>
    </row>
    <row r="103" spans="1:26" ht="15" x14ac:dyDescent="0.25">
      <c r="A103" s="27" t="s">
        <v>3</v>
      </c>
      <c r="B103" s="58">
        <v>-1.6184992880729669</v>
      </c>
      <c r="C103" s="58">
        <v>5.6242073942577582E-2</v>
      </c>
      <c r="D103" s="58">
        <f t="shared" ref="D103:M103" si="57">IF(D82=0,0,D84/D82)</f>
        <v>0</v>
      </c>
      <c r="E103" s="58">
        <v>0.10149320673893922</v>
      </c>
      <c r="F103" s="58">
        <v>0.14807415177389788</v>
      </c>
      <c r="G103" s="58">
        <v>0</v>
      </c>
      <c r="H103" s="58">
        <v>8.6950078254017849E-2</v>
      </c>
      <c r="I103" s="58">
        <v>5.4445566692904061E-2</v>
      </c>
      <c r="J103" s="58">
        <v>-3.2926575161682421</v>
      </c>
      <c r="K103" s="58">
        <v>0</v>
      </c>
      <c r="L103" s="58">
        <v>0</v>
      </c>
      <c r="M103" s="58">
        <f t="shared" si="57"/>
        <v>0</v>
      </c>
      <c r="N103" s="58"/>
      <c r="O103" s="58">
        <v>6.6137109307546196E-2</v>
      </c>
      <c r="P103" s="58">
        <v>6.2887760183885436E-2</v>
      </c>
      <c r="Q103" s="58">
        <f t="shared" ref="Q103:T103" si="58">IF(Q82=0,0,Q84/Q82)</f>
        <v>0</v>
      </c>
      <c r="R103" s="58">
        <v>4.9740908344861542E-2</v>
      </c>
      <c r="S103" s="58">
        <v>0</v>
      </c>
      <c r="T103" s="58">
        <f t="shared" si="58"/>
        <v>0</v>
      </c>
      <c r="U103" s="58">
        <v>0.15421771396281311</v>
      </c>
      <c r="V103" s="58">
        <v>0.11360367101057466</v>
      </c>
      <c r="W103" s="58">
        <v>9.3157212814555065E-2</v>
      </c>
      <c r="X103" s="27">
        <v>0</v>
      </c>
      <c r="Y103" s="58">
        <v>-0.13479412529858337</v>
      </c>
      <c r="Z103" s="58">
        <v>0.10812207068117538</v>
      </c>
    </row>
    <row r="104" spans="1:26" ht="15" x14ac:dyDescent="0.25">
      <c r="A104" s="27" t="s">
        <v>2</v>
      </c>
      <c r="B104" s="59">
        <v>-3.5237590307706013</v>
      </c>
      <c r="C104" s="59">
        <v>7.4357103796662014E-4</v>
      </c>
      <c r="D104" s="59">
        <f t="shared" ref="D104:M104" si="59">IF(D82=0,0,D99/D82)</f>
        <v>0</v>
      </c>
      <c r="E104" s="59">
        <v>-7.7271119037571473E-2</v>
      </c>
      <c r="F104" s="59">
        <v>-5.6362014371562734E-2</v>
      </c>
      <c r="G104" s="59">
        <v>0</v>
      </c>
      <c r="H104" s="59">
        <v>-4.4778395526887046E-2</v>
      </c>
      <c r="I104" s="59">
        <v>-0.18570962865959417</v>
      </c>
      <c r="J104" s="59">
        <v>-4.9975584114332756</v>
      </c>
      <c r="K104" s="59">
        <v>0</v>
      </c>
      <c r="L104" s="59">
        <v>0</v>
      </c>
      <c r="M104" s="59">
        <f t="shared" si="59"/>
        <v>0</v>
      </c>
      <c r="N104" s="59"/>
      <c r="O104" s="59">
        <v>-2.0203764462096357E-2</v>
      </c>
      <c r="P104" s="59">
        <v>-5.2230085176816925E-2</v>
      </c>
      <c r="Q104" s="59">
        <f t="shared" ref="Q104:T104" si="60">IF(Q82=0,0,Q99/Q82)</f>
        <v>0</v>
      </c>
      <c r="R104" s="59">
        <v>-6.2547773687542496E-2</v>
      </c>
      <c r="S104" s="59">
        <v>0</v>
      </c>
      <c r="T104" s="59">
        <f t="shared" si="60"/>
        <v>0</v>
      </c>
      <c r="U104" s="59">
        <v>-0.10623027490396696</v>
      </c>
      <c r="V104" s="59">
        <v>-3.1389186989762355E-2</v>
      </c>
      <c r="W104" s="59">
        <v>-0.15075872307323393</v>
      </c>
      <c r="X104" s="27">
        <v>0</v>
      </c>
      <c r="Y104" s="59">
        <v>-0.30735649186326763</v>
      </c>
      <c r="Z104" s="59">
        <v>-0.12487712769616395</v>
      </c>
    </row>
    <row r="105" spans="1:26" ht="15" x14ac:dyDescent="0.25">
      <c r="A105" s="27" t="s">
        <v>1</v>
      </c>
      <c r="B105" s="60">
        <v>-356.09028999999998</v>
      </c>
      <c r="C105" s="60">
        <v>3855</v>
      </c>
      <c r="D105" s="60">
        <f>+D87</f>
        <v>0</v>
      </c>
      <c r="E105" s="60">
        <v>-50554</v>
      </c>
      <c r="F105" s="60">
        <v>-48387</v>
      </c>
      <c r="G105" s="60"/>
      <c r="H105" s="60">
        <v>-47.525629999999865</v>
      </c>
      <c r="I105" s="60">
        <v>-971543</v>
      </c>
      <c r="J105" s="60">
        <v>-4194.3370400000003</v>
      </c>
      <c r="K105" s="60">
        <v>0</v>
      </c>
      <c r="L105" s="60">
        <v>-1919.2173399999999</v>
      </c>
      <c r="M105" s="60">
        <f t="shared" ref="M105" si="61">+M87</f>
        <v>0</v>
      </c>
      <c r="N105" s="60"/>
      <c r="O105" s="60">
        <v>9958</v>
      </c>
      <c r="P105" s="60">
        <v>-35416.787000000004</v>
      </c>
      <c r="Q105" s="60"/>
      <c r="R105" s="60">
        <v>-2033</v>
      </c>
      <c r="S105" s="60"/>
      <c r="T105" s="60"/>
      <c r="U105" s="60">
        <v>-928384</v>
      </c>
      <c r="V105" s="60">
        <v>5736.5700499999775</v>
      </c>
      <c r="W105" s="60">
        <v>-108824</v>
      </c>
      <c r="X105" s="27"/>
      <c r="Y105" s="60">
        <v>-248173</v>
      </c>
      <c r="Z105" s="60">
        <v>-2378813.0502399988</v>
      </c>
    </row>
    <row r="106" spans="1:26" ht="15" x14ac:dyDescent="0.25">
      <c r="A106" s="27" t="s">
        <v>0</v>
      </c>
      <c r="B106" s="61">
        <v>-1.9953585495404276</v>
      </c>
      <c r="C106" s="61">
        <v>4.514120238364284E-3</v>
      </c>
      <c r="D106" s="61">
        <f t="shared" ref="D106:M106" si="62">IF(D82=0,0,D105/D82)</f>
        <v>0</v>
      </c>
      <c r="E106" s="61">
        <v>-3.8301067268929498E-2</v>
      </c>
      <c r="F106" s="61">
        <v>-1.8973991980942486E-2</v>
      </c>
      <c r="G106" s="61">
        <v>0</v>
      </c>
      <c r="H106" s="61">
        <v>-4.0873409097281009E-2</v>
      </c>
      <c r="I106" s="61">
        <v>-0.13534915471472056</v>
      </c>
      <c r="J106" s="61">
        <v>-4.9990458477452568</v>
      </c>
      <c r="K106" s="61">
        <v>0</v>
      </c>
      <c r="L106" s="61">
        <v>0</v>
      </c>
      <c r="M106" s="61">
        <f t="shared" si="62"/>
        <v>0</v>
      </c>
      <c r="N106" s="61"/>
      <c r="O106" s="61">
        <v>6.6137109307546196E-2</v>
      </c>
      <c r="P106" s="61">
        <v>-0.17366167893876872</v>
      </c>
      <c r="Q106" s="61">
        <f t="shared" ref="Q106:T106" si="63">IF(Q82=0,0,Q105/Q82)</f>
        <v>0</v>
      </c>
      <c r="R106" s="61">
        <v>-9.5336350207507799E-3</v>
      </c>
      <c r="S106" s="61">
        <v>0</v>
      </c>
      <c r="T106" s="61">
        <f t="shared" si="63"/>
        <v>0</v>
      </c>
      <c r="U106" s="61">
        <v>-6.9761765925854674E-2</v>
      </c>
      <c r="V106" s="61">
        <v>3.9612504286490553E-2</v>
      </c>
      <c r="W106" s="61">
        <v>-6.92184932905308E-2</v>
      </c>
      <c r="X106" s="27">
        <v>0</v>
      </c>
      <c r="Y106" s="61">
        <v>-0.26678785585438375</v>
      </c>
      <c r="Z106" s="61">
        <v>-8.3574144525562485E-2</v>
      </c>
    </row>
    <row r="107" spans="1:26" s="4" customFormat="1" ht="15" x14ac:dyDescent="0.25">
      <c r="A107" s="68" t="s">
        <v>89</v>
      </c>
      <c r="B107" s="58"/>
      <c r="C107" s="58">
        <v>-9.0129498145680245</v>
      </c>
      <c r="D107" s="58" t="str">
        <f>IFERROR((D99/'[1]Balanço Patrimonial'!D137/(('[1]Demonstração do Resultado'!D144+D91)/'[1]Balanço Patrimonial'!D156)),"")</f>
        <v/>
      </c>
      <c r="E107" s="58">
        <v>26.544373375153498</v>
      </c>
      <c r="F107" s="58">
        <v>-4.3610107456045881</v>
      </c>
      <c r="G107" s="58" t="s">
        <v>90</v>
      </c>
      <c r="H107" s="58">
        <v>-0.8168424678921703</v>
      </c>
      <c r="I107" s="58">
        <v>7.5117272130493555</v>
      </c>
      <c r="J107" s="58" t="s">
        <v>90</v>
      </c>
      <c r="K107" s="58" t="s">
        <v>90</v>
      </c>
      <c r="L107" s="58">
        <v>-0.56506399702491306</v>
      </c>
      <c r="M107" s="58" t="str">
        <f>IFERROR((M99/'[1]Balanço Patrimonial'!M137/(('[1]Demonstração do Resultado'!M144+M91)/'[1]Balanço Patrimonial'!M156)),"")</f>
        <v/>
      </c>
      <c r="N107" s="58"/>
      <c r="O107" s="58">
        <v>-2.796448875615927E-2</v>
      </c>
      <c r="P107" s="58">
        <v>1.9746231730329027</v>
      </c>
      <c r="Q107" s="58" t="str">
        <f>IFERROR((Q99/'[1]Balanço Patrimonial'!P137/(('[1]Demonstração do Resultado'!Q144+Q91)/'[1]Balanço Patrimonial'!P156)),"")</f>
        <v/>
      </c>
      <c r="R107" s="58" t="s">
        <v>90</v>
      </c>
      <c r="S107" s="58">
        <v>-0.61009251703163281</v>
      </c>
      <c r="T107" s="58" t="str">
        <f>IFERROR((T99/'[1]Balanço Patrimonial'!S137/(('[1]Demonstração do Resultado'!T144+T91)/'[1]Balanço Patrimonial'!S156)),"")</f>
        <v/>
      </c>
      <c r="U107" s="58">
        <v>-3.9292968526981711</v>
      </c>
      <c r="V107" s="58">
        <v>2.5742047152442153</v>
      </c>
      <c r="W107" s="58">
        <v>-2.5834306323260656</v>
      </c>
      <c r="X107" s="58" t="s">
        <v>90</v>
      </c>
      <c r="Y107" s="58" t="s">
        <v>90</v>
      </c>
      <c r="Z107" s="58">
        <v>3.2921388993363731E-9</v>
      </c>
    </row>
  </sheetData>
  <mergeCells count="12">
    <mergeCell ref="A53:Q53"/>
    <mergeCell ref="R53:W53"/>
    <mergeCell ref="A80:Q80"/>
    <mergeCell ref="R80:W80"/>
    <mergeCell ref="X1:Z1"/>
    <mergeCell ref="X27:Z27"/>
    <mergeCell ref="X53:Z53"/>
    <mergeCell ref="X80:Z80"/>
    <mergeCell ref="A1:Q1"/>
    <mergeCell ref="R1:W1"/>
    <mergeCell ref="A27:Q27"/>
    <mergeCell ref="R27:W27"/>
  </mergeCells>
  <conditionalFormatting sqref="B17 B20 B9">
    <cfRule type="cellIs" dxfId="7" priority="7" operator="notEqual">
      <formula>#REF!</formula>
    </cfRule>
    <cfRule type="cellIs" dxfId="6" priority="8" operator="equal">
      <formula>#REF!</formula>
    </cfRule>
  </conditionalFormatting>
  <conditionalFormatting sqref="B43 B46 B35">
    <cfRule type="cellIs" dxfId="5" priority="5" operator="notEqual">
      <formula>#REF!</formula>
    </cfRule>
    <cfRule type="cellIs" dxfId="4" priority="6" operator="equal">
      <formula>#REF!</formula>
    </cfRule>
  </conditionalFormatting>
  <conditionalFormatting sqref="B69 B72:B73 B61 B78">
    <cfRule type="cellIs" dxfId="3" priority="3" operator="notEqual">
      <formula>#REF!</formula>
    </cfRule>
    <cfRule type="cellIs" dxfId="2" priority="4" operator="equal">
      <formula>#REF!</formula>
    </cfRule>
  </conditionalFormatting>
  <conditionalFormatting sqref="B96 B99 B88">
    <cfRule type="cellIs" dxfId="1" priority="1" operator="notEqual">
      <formula>#REF!</formula>
    </cfRule>
    <cfRule type="cellIs" dxfId="0" priority="2" operator="equal">
      <formula>#REF!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topLeftCell="A91" workbookViewId="0">
      <selection activeCell="S69" sqref="B69:S69"/>
    </sheetView>
  </sheetViews>
  <sheetFormatPr defaultColWidth="19.7109375" defaultRowHeight="12.75" x14ac:dyDescent="0.2"/>
  <cols>
    <col min="1" max="1" width="92.85546875" style="37" bestFit="1" customWidth="1"/>
    <col min="2" max="2" width="8.140625" style="36" bestFit="1" customWidth="1"/>
    <col min="3" max="3" width="9.85546875" style="36" bestFit="1" customWidth="1"/>
    <col min="4" max="4" width="10.5703125" style="36" bestFit="1" customWidth="1"/>
    <col min="5" max="5" width="9.85546875" style="36" bestFit="1" customWidth="1"/>
    <col min="6" max="6" width="10.85546875" style="36" bestFit="1" customWidth="1"/>
    <col min="7" max="7" width="8.85546875" style="36" bestFit="1" customWidth="1"/>
    <col min="8" max="8" width="11.7109375" style="36" bestFit="1" customWidth="1"/>
    <col min="9" max="9" width="8.140625" style="36" bestFit="1" customWidth="1"/>
    <col min="10" max="10" width="8.85546875" style="36" bestFit="1" customWidth="1"/>
    <col min="11" max="11" width="11.42578125" style="36" bestFit="1" customWidth="1"/>
    <col min="12" max="12" width="12.28515625" style="36" bestFit="1" customWidth="1"/>
    <col min="13" max="13" width="9.140625" style="36" bestFit="1" customWidth="1"/>
    <col min="14" max="14" width="8.140625" style="36" bestFit="1" customWidth="1"/>
    <col min="15" max="15" width="9.5703125" style="36" bestFit="1" customWidth="1"/>
    <col min="16" max="16" width="12.42578125" style="36" bestFit="1" customWidth="1"/>
    <col min="17" max="17" width="9.140625" style="36" bestFit="1" customWidth="1"/>
    <col min="18" max="19" width="10.85546875" style="36" bestFit="1" customWidth="1"/>
    <col min="20" max="20" width="11.7109375" style="36" bestFit="1" customWidth="1"/>
    <col min="21" max="16384" width="19.7109375" style="1"/>
  </cols>
  <sheetData>
    <row r="1" spans="1:20" ht="15" x14ac:dyDescent="0.2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0"/>
      <c r="O1" s="69"/>
      <c r="P1" s="20"/>
      <c r="Q1" s="20"/>
      <c r="R1" s="20"/>
      <c r="S1" s="20"/>
      <c r="T1" s="20">
        <v>1000</v>
      </c>
    </row>
    <row r="2" spans="1:20" s="57" customFormat="1" ht="17.25" x14ac:dyDescent="0.25">
      <c r="A2" s="51" t="s">
        <v>43</v>
      </c>
      <c r="B2" s="24" t="s">
        <v>42</v>
      </c>
      <c r="C2" s="24" t="s">
        <v>41</v>
      </c>
      <c r="D2" s="24" t="s">
        <v>40</v>
      </c>
      <c r="E2" s="24" t="s">
        <v>39</v>
      </c>
      <c r="F2" s="24" t="s">
        <v>38</v>
      </c>
      <c r="G2" s="24" t="s">
        <v>36</v>
      </c>
      <c r="H2" s="24" t="s">
        <v>35</v>
      </c>
      <c r="I2" s="24" t="s">
        <v>33</v>
      </c>
      <c r="J2" s="24" t="s">
        <v>64</v>
      </c>
      <c r="K2" s="24" t="s">
        <v>32</v>
      </c>
      <c r="L2" s="24" t="s">
        <v>31</v>
      </c>
      <c r="M2" s="24" t="s">
        <v>29</v>
      </c>
      <c r="N2" s="24" t="s">
        <v>28</v>
      </c>
      <c r="O2" s="24" t="s">
        <v>91</v>
      </c>
      <c r="P2" s="24" t="s">
        <v>26</v>
      </c>
      <c r="Q2" s="24" t="s">
        <v>25</v>
      </c>
      <c r="R2" s="24" t="s">
        <v>24</v>
      </c>
      <c r="S2" s="24" t="s">
        <v>22</v>
      </c>
      <c r="T2" s="24" t="s">
        <v>25</v>
      </c>
    </row>
    <row r="3" spans="1:20" s="13" customFormat="1" ht="15" x14ac:dyDescent="0.25">
      <c r="A3" s="48" t="s">
        <v>63</v>
      </c>
      <c r="B3" s="13">
        <f>1828813.53/1000</f>
        <v>1828.8135300000001</v>
      </c>
      <c r="C3" s="13">
        <f>C4+C5</f>
        <v>134868</v>
      </c>
      <c r="E3" s="13">
        <f>E4+E5</f>
        <v>636269</v>
      </c>
      <c r="F3" s="13">
        <f>F4+F5</f>
        <v>1865681</v>
      </c>
      <c r="G3" s="13">
        <f>G4+G5</f>
        <v>3152.33826</v>
      </c>
      <c r="H3" s="13">
        <f t="shared" ref="H3" si="0">H4+H5</f>
        <v>7737410</v>
      </c>
      <c r="J3" s="13">
        <f t="shared" ref="J3:S3" si="1">J4+J5</f>
        <v>4461.2557099999995</v>
      </c>
      <c r="K3" s="13">
        <f t="shared" si="1"/>
        <v>23734</v>
      </c>
      <c r="L3" s="13">
        <f t="shared" si="1"/>
        <v>314369.14599999995</v>
      </c>
      <c r="M3" s="13">
        <f t="shared" si="1"/>
        <v>103090.198</v>
      </c>
      <c r="N3" s="13">
        <f t="shared" si="1"/>
        <v>23399.69083</v>
      </c>
      <c r="O3" s="13">
        <v>2244.3406</v>
      </c>
      <c r="P3" s="13">
        <v>13073359</v>
      </c>
      <c r="Q3" s="13">
        <f t="shared" si="1"/>
        <v>135199.16785</v>
      </c>
      <c r="R3" s="13">
        <f t="shared" si="1"/>
        <v>1131022</v>
      </c>
      <c r="S3" s="13">
        <f t="shared" si="1"/>
        <v>101934</v>
      </c>
      <c r="T3" s="13">
        <f>SUM(B3:S3)</f>
        <v>25292021.950780001</v>
      </c>
    </row>
    <row r="4" spans="1:20" s="5" customFormat="1" x14ac:dyDescent="0.2">
      <c r="A4" s="47" t="s">
        <v>62</v>
      </c>
      <c r="B4" s="5">
        <f>1790192.5/1000</f>
        <v>1790.1925000000001</v>
      </c>
      <c r="C4" s="5">
        <v>123693</v>
      </c>
      <c r="E4" s="5">
        <v>321579</v>
      </c>
      <c r="F4" s="5">
        <v>738234</v>
      </c>
      <c r="G4" s="5">
        <f>1331018.48/1000</f>
        <v>1331.01848</v>
      </c>
      <c r="H4" s="5">
        <f>1556314</f>
        <v>1556314</v>
      </c>
      <c r="J4" s="5">
        <f>2157291.97/1000</f>
        <v>2157.2919700000002</v>
      </c>
      <c r="K4" s="5">
        <f>192</f>
        <v>192</v>
      </c>
      <c r="L4" s="5">
        <f>40877877/1000</f>
        <v>40877.877</v>
      </c>
      <c r="M4" s="5">
        <f>38164504/1000</f>
        <v>38164.504000000001</v>
      </c>
      <c r="N4" s="5">
        <f>5244650.78/1000</f>
        <v>5244.6507799999999</v>
      </c>
      <c r="O4" s="5">
        <v>910.32533999999998</v>
      </c>
      <c r="P4" s="5">
        <v>2813088</v>
      </c>
      <c r="Q4" s="5">
        <f>67551942.89/1000</f>
        <v>67551.942890000006</v>
      </c>
      <c r="R4" s="5">
        <f>238448</f>
        <v>238448</v>
      </c>
      <c r="S4" s="5">
        <v>91561</v>
      </c>
      <c r="T4" s="5">
        <f t="shared" ref="T4:T17" si="2">SUM(B4:S4)</f>
        <v>6041136.8029599991</v>
      </c>
    </row>
    <row r="5" spans="1:20" s="5" customFormat="1" x14ac:dyDescent="0.2">
      <c r="A5" s="47" t="s">
        <v>61</v>
      </c>
      <c r="B5" s="5">
        <f>38621.03/1000</f>
        <v>38.621029999999998</v>
      </c>
      <c r="C5" s="5">
        <v>11175</v>
      </c>
      <c r="E5" s="5">
        <v>314690</v>
      </c>
      <c r="F5" s="5">
        <v>1127447</v>
      </c>
      <c r="G5" s="5">
        <f>SUM(G6:G9)</f>
        <v>1821.31978</v>
      </c>
      <c r="H5" s="5">
        <f t="shared" ref="H5" si="3">SUM(H6:H9)</f>
        <v>6181096</v>
      </c>
      <c r="J5" s="5">
        <f t="shared" ref="J5:S5" si="4">SUM(J6:J9)</f>
        <v>2303.9637399999997</v>
      </c>
      <c r="K5" s="5">
        <f t="shared" si="4"/>
        <v>23542</v>
      </c>
      <c r="L5" s="5">
        <f t="shared" si="4"/>
        <v>273491.26899999997</v>
      </c>
      <c r="M5" s="5">
        <f t="shared" si="4"/>
        <v>64925.694000000003</v>
      </c>
      <c r="N5" s="5">
        <f t="shared" si="4"/>
        <v>18155.04005</v>
      </c>
      <c r="O5" s="5">
        <v>1334.0152600000001</v>
      </c>
      <c r="P5" s="5">
        <v>10260271</v>
      </c>
      <c r="Q5" s="5">
        <f t="shared" si="4"/>
        <v>67647.224959999992</v>
      </c>
      <c r="R5" s="5">
        <f t="shared" si="4"/>
        <v>892574</v>
      </c>
      <c r="S5" s="5">
        <f t="shared" si="4"/>
        <v>10373</v>
      </c>
      <c r="T5" s="5">
        <f t="shared" si="2"/>
        <v>19250885.14782</v>
      </c>
    </row>
    <row r="6" spans="1:20" s="5" customFormat="1" x14ac:dyDescent="0.2">
      <c r="A6" s="47" t="s">
        <v>60</v>
      </c>
      <c r="B6" s="5">
        <v>0</v>
      </c>
      <c r="C6" s="5">
        <v>5882</v>
      </c>
      <c r="E6" s="5">
        <v>0</v>
      </c>
      <c r="F6" s="5">
        <f>171097+126367+29563</f>
        <v>327027</v>
      </c>
      <c r="G6" s="5">
        <v>0</v>
      </c>
      <c r="H6" s="5">
        <f>635314+224262+523487</f>
        <v>1383063</v>
      </c>
      <c r="J6" s="5">
        <f>(733992.89+718601.7)/1000</f>
        <v>1452.5945899999999</v>
      </c>
      <c r="K6" s="5">
        <f>3619+889</f>
        <v>4508</v>
      </c>
      <c r="L6" s="5">
        <f>76041851/1000</f>
        <v>76041.850999999995</v>
      </c>
      <c r="M6" s="5">
        <f>(660000+26733686+12775754)/1000</f>
        <v>40169.440000000002</v>
      </c>
      <c r="N6" s="5">
        <f>658917.58/1000</f>
        <v>658.91757999999993</v>
      </c>
      <c r="O6" s="5">
        <v>146.28366</v>
      </c>
      <c r="P6" s="5">
        <v>749497</v>
      </c>
      <c r="Q6" s="5">
        <f>(3610434.05)/1000</f>
        <v>3610.4340499999998</v>
      </c>
      <c r="R6" s="5">
        <f>5421+100756+20020+100</f>
        <v>126297</v>
      </c>
      <c r="S6" s="5">
        <v>759</v>
      </c>
      <c r="T6" s="5">
        <f t="shared" si="2"/>
        <v>2719112.5208799997</v>
      </c>
    </row>
    <row r="7" spans="1:20" s="5" customFormat="1" x14ac:dyDescent="0.2">
      <c r="A7" s="47" t="s">
        <v>59</v>
      </c>
      <c r="B7" s="5">
        <f>38621.03/1000</f>
        <v>38.621029999999998</v>
      </c>
      <c r="C7" s="5">
        <f>831+4462</f>
        <v>5293</v>
      </c>
      <c r="E7" s="5">
        <f>182239+2963</f>
        <v>185202</v>
      </c>
      <c r="F7" s="5">
        <f>10122+764271+26027</f>
        <v>800420</v>
      </c>
      <c r="G7" s="5">
        <f>1821319.78/1000</f>
        <v>1821.31978</v>
      </c>
      <c r="H7" s="5">
        <f>73566+2984290+1221177</f>
        <v>4279033</v>
      </c>
      <c r="J7" s="5">
        <f>(254869.79+841640.81+33675.49)/1000</f>
        <v>1130.1860900000001</v>
      </c>
      <c r="K7" s="5">
        <v>3174</v>
      </c>
      <c r="L7" s="5">
        <f>197449418/1000</f>
        <v>197449.41800000001</v>
      </c>
      <c r="M7" s="5">
        <f>(24514703+241551)/1000</f>
        <v>24756.254000000001</v>
      </c>
      <c r="N7" s="5">
        <f>17496122.47/1000</f>
        <v>17496.122469999998</v>
      </c>
      <c r="O7" s="5">
        <v>1403.8420599999999</v>
      </c>
      <c r="P7" s="5">
        <v>9503103</v>
      </c>
      <c r="Q7" s="5">
        <f>(8545136.36+55491654.55)/1000</f>
        <v>64036.790909999996</v>
      </c>
      <c r="R7" s="5">
        <f>708461+57816</f>
        <v>766277</v>
      </c>
      <c r="S7" s="5">
        <f>8926+688</f>
        <v>9614</v>
      </c>
      <c r="T7" s="5">
        <f t="shared" si="2"/>
        <v>15860248.554339999</v>
      </c>
    </row>
    <row r="8" spans="1:20" s="5" customFormat="1" x14ac:dyDescent="0.2">
      <c r="A8" s="47" t="s">
        <v>51</v>
      </c>
      <c r="B8" s="5">
        <v>0</v>
      </c>
      <c r="C8" s="5">
        <v>0</v>
      </c>
      <c r="E8" s="5">
        <f>99101+26606+3781</f>
        <v>129488</v>
      </c>
      <c r="G8" s="5">
        <v>0</v>
      </c>
      <c r="H8" s="5">
        <f>514687+4313</f>
        <v>519000</v>
      </c>
      <c r="J8" s="5">
        <f>-278816.94/1000</f>
        <v>-278.81693999999999</v>
      </c>
      <c r="K8" s="5">
        <v>15860</v>
      </c>
      <c r="L8" s="5">
        <v>0</v>
      </c>
      <c r="M8" s="5">
        <v>0</v>
      </c>
      <c r="N8" s="5">
        <v>0</v>
      </c>
      <c r="O8" s="5">
        <v>-216.11045999999999</v>
      </c>
      <c r="Q8" s="5">
        <v>0</v>
      </c>
      <c r="T8" s="5">
        <f t="shared" si="2"/>
        <v>663853.07259999996</v>
      </c>
    </row>
    <row r="9" spans="1:20" ht="15" x14ac:dyDescent="0.25">
      <c r="A9" s="56"/>
      <c r="B9" s="49"/>
      <c r="C9" s="49"/>
      <c r="D9" s="49"/>
      <c r="E9" s="49"/>
      <c r="F9" s="65"/>
      <c r="G9" s="67"/>
      <c r="H9" s="65"/>
      <c r="I9" s="49"/>
      <c r="J9" s="65"/>
      <c r="K9" s="67"/>
      <c r="L9" s="67"/>
      <c r="M9" s="66"/>
      <c r="N9" s="66"/>
      <c r="O9" s="66"/>
      <c r="P9" s="66"/>
      <c r="Q9" s="66"/>
      <c r="R9" s="65"/>
      <c r="S9" s="65"/>
      <c r="T9" s="65"/>
    </row>
    <row r="10" spans="1:20" s="13" customFormat="1" ht="15" x14ac:dyDescent="0.25">
      <c r="A10" s="48" t="s">
        <v>58</v>
      </c>
      <c r="B10" s="13">
        <f>1828813.53/1000</f>
        <v>1828.8135300000001</v>
      </c>
      <c r="C10" s="13">
        <f>C11+C12+C13</f>
        <v>134868</v>
      </c>
      <c r="E10" s="13">
        <f>E11+E12+E13</f>
        <v>636269</v>
      </c>
      <c r="F10" s="13">
        <f>F11+F12+F13</f>
        <v>1865681</v>
      </c>
      <c r="G10" s="13">
        <f>G11+G12+G13</f>
        <v>3152.3381899999999</v>
      </c>
      <c r="H10" s="13">
        <f t="shared" ref="H10" si="5">H11+H12+H13</f>
        <v>7737410</v>
      </c>
      <c r="J10" s="13">
        <f t="shared" ref="J10:Q10" si="6">J11+J12+J13</f>
        <v>4461.2557099999995</v>
      </c>
      <c r="K10" s="13">
        <f t="shared" si="6"/>
        <v>23734</v>
      </c>
      <c r="L10" s="13">
        <f t="shared" si="6"/>
        <v>314369.14600000001</v>
      </c>
      <c r="M10" s="13">
        <f t="shared" si="6"/>
        <v>103090.19899999999</v>
      </c>
      <c r="N10" s="13">
        <f t="shared" si="6"/>
        <v>23399.69083</v>
      </c>
      <c r="O10" s="13">
        <v>2244.3405999999986</v>
      </c>
      <c r="P10" s="13">
        <v>13073359</v>
      </c>
      <c r="Q10" s="13">
        <f t="shared" si="6"/>
        <v>135199.16785</v>
      </c>
      <c r="R10" s="13">
        <f>R11+R12+R13</f>
        <v>1131022</v>
      </c>
      <c r="S10" s="13">
        <f t="shared" ref="S10" si="7">S11+S12+S13</f>
        <v>101934</v>
      </c>
      <c r="T10" s="13">
        <f t="shared" si="2"/>
        <v>25292021.951709997</v>
      </c>
    </row>
    <row r="11" spans="1:20" s="5" customFormat="1" x14ac:dyDescent="0.2">
      <c r="A11" s="47" t="s">
        <v>57</v>
      </c>
      <c r="B11" s="5">
        <f>174110.24/1000</f>
        <v>174.11024</v>
      </c>
      <c r="C11" s="5">
        <v>122398</v>
      </c>
      <c r="E11" s="5">
        <v>426120</v>
      </c>
      <c r="F11" s="5">
        <v>1139039</v>
      </c>
      <c r="G11" s="5">
        <f>5205314.7/1000</f>
        <v>5205.3146999999999</v>
      </c>
      <c r="H11" s="5">
        <v>3749897</v>
      </c>
      <c r="J11" s="5">
        <f>206335.86/1000</f>
        <v>206.33586</v>
      </c>
      <c r="K11" s="5">
        <v>107351</v>
      </c>
      <c r="L11" s="5">
        <f>118534424/1000</f>
        <v>118534.424</v>
      </c>
      <c r="M11" s="5">
        <f>33492512/1000</f>
        <v>33492.512000000002</v>
      </c>
      <c r="N11" s="5">
        <f>12941118.05/1000</f>
        <v>12941.118050000001</v>
      </c>
      <c r="O11" s="5">
        <v>2619.82861</v>
      </c>
      <c r="P11" s="5">
        <v>6008602</v>
      </c>
      <c r="Q11" s="5">
        <f>61080240.7/1000</f>
        <v>61080.240700000002</v>
      </c>
      <c r="R11" s="5">
        <v>654098</v>
      </c>
      <c r="S11" s="5">
        <f>272720</f>
        <v>272720</v>
      </c>
      <c r="T11" s="5">
        <f t="shared" si="2"/>
        <v>12714478.884159999</v>
      </c>
    </row>
    <row r="12" spans="1:20" s="5" customFormat="1" x14ac:dyDescent="0.2">
      <c r="A12" s="47" t="s">
        <v>56</v>
      </c>
      <c r="B12" s="5">
        <v>0</v>
      </c>
      <c r="C12" s="5">
        <f>4141+1412</f>
        <v>5553</v>
      </c>
      <c r="E12" s="5">
        <v>195705</v>
      </c>
      <c r="F12" s="5">
        <v>953068</v>
      </c>
      <c r="G12" s="5">
        <f>1519417.26/1000</f>
        <v>1519.4172599999999</v>
      </c>
      <c r="H12" s="5">
        <f>3237220</f>
        <v>3237220</v>
      </c>
      <c r="J12" s="5">
        <f>10283157.28/1000</f>
        <v>10283.157279999999</v>
      </c>
      <c r="K12" s="5">
        <v>77115</v>
      </c>
      <c r="L12" s="5">
        <f>134013492/1000</f>
        <v>134013.492</v>
      </c>
      <c r="M12" s="5">
        <f>60251244/1000</f>
        <v>60251.243999999999</v>
      </c>
      <c r="N12" s="5">
        <f>6204569.43/1000</f>
        <v>6204.5694299999996</v>
      </c>
      <c r="O12" s="5">
        <v>3254.7096299999998</v>
      </c>
      <c r="P12" s="5">
        <v>8242682</v>
      </c>
      <c r="Q12" s="5">
        <f>63994240.62/1000</f>
        <v>63994.240619999997</v>
      </c>
      <c r="R12" s="5">
        <v>782338</v>
      </c>
      <c r="S12" s="5">
        <v>164708</v>
      </c>
      <c r="T12" s="5">
        <f t="shared" si="2"/>
        <v>13937909.830220001</v>
      </c>
    </row>
    <row r="13" spans="1:20" s="13" customFormat="1" ht="15" x14ac:dyDescent="0.25">
      <c r="A13" s="48" t="s">
        <v>55</v>
      </c>
      <c r="B13" s="13">
        <f>1654703.29/1000</f>
        <v>1654.7032899999999</v>
      </c>
      <c r="C13" s="13">
        <f>SUM(C14:C17)</f>
        <v>6917</v>
      </c>
      <c r="E13" s="13">
        <v>14444</v>
      </c>
      <c r="F13" s="13">
        <f>SUM(F14:F17)</f>
        <v>-226426</v>
      </c>
      <c r="G13" s="13">
        <f>SUM(G14:G17)</f>
        <v>-3572.3937700000001</v>
      </c>
      <c r="H13" s="13">
        <f t="shared" ref="H13" si="8">SUM(H14:H17)</f>
        <v>750293</v>
      </c>
      <c r="J13" s="13">
        <f t="shared" ref="J13:S13" si="9">SUM(J14:J17)</f>
        <v>-6028.2374299999992</v>
      </c>
      <c r="K13" s="13">
        <f t="shared" si="9"/>
        <v>-160732</v>
      </c>
      <c r="L13" s="13">
        <f t="shared" si="9"/>
        <v>61821.23000000001</v>
      </c>
      <c r="M13" s="13">
        <f t="shared" si="9"/>
        <v>9346.4429999999993</v>
      </c>
      <c r="N13" s="13">
        <f t="shared" si="9"/>
        <v>4254.00335</v>
      </c>
      <c r="O13" s="13">
        <v>-3630.1976400000012</v>
      </c>
      <c r="P13" s="13">
        <v>-1177925</v>
      </c>
      <c r="Q13" s="13">
        <f t="shared" si="9"/>
        <v>10124.686529999999</v>
      </c>
      <c r="R13" s="13">
        <f t="shared" si="9"/>
        <v>-305414</v>
      </c>
      <c r="S13" s="13">
        <f t="shared" si="9"/>
        <v>-335494</v>
      </c>
      <c r="T13" s="13">
        <f t="shared" si="2"/>
        <v>-1360366.7626700001</v>
      </c>
    </row>
    <row r="14" spans="1:20" s="5" customFormat="1" x14ac:dyDescent="0.2">
      <c r="A14" s="47" t="s">
        <v>54</v>
      </c>
      <c r="B14" s="5">
        <f>1558803/1000</f>
        <v>1558.8030000000001</v>
      </c>
      <c r="C14" s="5">
        <v>4061</v>
      </c>
      <c r="E14" s="5">
        <v>726070</v>
      </c>
      <c r="F14" s="5">
        <v>260810</v>
      </c>
      <c r="G14" s="5">
        <f>545740/1000</f>
        <v>545.74</v>
      </c>
      <c r="H14" s="5">
        <v>2294192</v>
      </c>
      <c r="J14" s="5">
        <f>7200000/1000</f>
        <v>7200</v>
      </c>
      <c r="K14" s="5">
        <v>49508</v>
      </c>
      <c r="L14" s="5">
        <f>20298000/1000</f>
        <v>20298</v>
      </c>
      <c r="M14" s="5">
        <f>25453177/1000</f>
        <v>25453.177</v>
      </c>
      <c r="N14" s="5">
        <f>1500000/1000</f>
        <v>1500</v>
      </c>
      <c r="O14" s="5">
        <v>2200</v>
      </c>
      <c r="P14" s="5">
        <f>897122</f>
        <v>897122</v>
      </c>
      <c r="Q14" s="5">
        <f>6000000/1000</f>
        <v>6000</v>
      </c>
      <c r="R14" s="5">
        <v>84166</v>
      </c>
      <c r="S14" s="5">
        <v>220432</v>
      </c>
      <c r="T14" s="5">
        <f t="shared" si="2"/>
        <v>4601116.7200000007</v>
      </c>
    </row>
    <row r="15" spans="1:20" s="5" customFormat="1" x14ac:dyDescent="0.2">
      <c r="A15" s="47" t="s">
        <v>53</v>
      </c>
      <c r="B15" s="5">
        <f>87843.42/1000</f>
        <v>87.843419999999995</v>
      </c>
      <c r="C15" s="5">
        <v>0</v>
      </c>
      <c r="E15" s="5">
        <v>-842941</v>
      </c>
      <c r="F15" s="5">
        <v>-469450</v>
      </c>
      <c r="G15" s="5">
        <f>-4066067.61/1000</f>
        <v>-4066.0676100000001</v>
      </c>
      <c r="H15" s="5">
        <v>-2589476</v>
      </c>
      <c r="J15" s="5">
        <f>-13228237.43/1000</f>
        <v>-13228.237429999999</v>
      </c>
      <c r="K15" s="5">
        <v>-210240</v>
      </c>
      <c r="L15" s="5">
        <f>-92091461/1000</f>
        <v>-92091.460999999996</v>
      </c>
      <c r="M15" s="5">
        <f>-42921938/1000</f>
        <v>-42921.938000000002</v>
      </c>
      <c r="N15" s="5">
        <v>0</v>
      </c>
      <c r="O15" s="5">
        <v>-9305.276460000001</v>
      </c>
      <c r="P15" s="5">
        <v>-2349536</v>
      </c>
      <c r="Q15" s="5">
        <f>-4634566.92/1000</f>
        <v>-4634.5669200000002</v>
      </c>
      <c r="R15" s="5">
        <v>-473520</v>
      </c>
      <c r="S15" s="5">
        <v>-704326</v>
      </c>
      <c r="T15" s="5">
        <f t="shared" si="2"/>
        <v>-7805648.7040000008</v>
      </c>
    </row>
    <row r="16" spans="1:20" s="5" customFormat="1" x14ac:dyDescent="0.2">
      <c r="A16" s="47" t="s">
        <v>52</v>
      </c>
      <c r="B16" s="5">
        <v>0</v>
      </c>
      <c r="C16" s="5">
        <v>0</v>
      </c>
      <c r="E16" s="5">
        <v>0</v>
      </c>
      <c r="F16" s="5">
        <v>0</v>
      </c>
      <c r="G16" s="5">
        <f>-52066.16/1000</f>
        <v>-52.066160000000004</v>
      </c>
      <c r="H16" s="5">
        <v>0</v>
      </c>
      <c r="J16" s="5">
        <v>0</v>
      </c>
      <c r="L16" s="5">
        <f>-44475925/1000</f>
        <v>-44475.925000000003</v>
      </c>
      <c r="M16" s="5">
        <v>0</v>
      </c>
      <c r="N16" s="5">
        <f>15794.89/1000</f>
        <v>15.794889999999999</v>
      </c>
      <c r="O16" s="5">
        <v>0</v>
      </c>
      <c r="Q16" s="5">
        <f>-4545692.66/1000</f>
        <v>-4545.6926599999997</v>
      </c>
      <c r="R16" s="5">
        <v>0</v>
      </c>
      <c r="T16" s="5">
        <f t="shared" si="2"/>
        <v>-49057.888930000008</v>
      </c>
    </row>
    <row r="17" spans="1:20" s="5" customFormat="1" x14ac:dyDescent="0.2">
      <c r="A17" s="47" t="s">
        <v>51</v>
      </c>
      <c r="B17" s="5">
        <f>(0.82+8056.05)/1000</f>
        <v>8.05687</v>
      </c>
      <c r="C17" s="5">
        <f>2896-40</f>
        <v>2856</v>
      </c>
      <c r="E17" s="5">
        <v>131315</v>
      </c>
      <c r="F17" s="5">
        <f>10832-28618</f>
        <v>-17786</v>
      </c>
      <c r="G17" s="5">
        <v>0</v>
      </c>
      <c r="H17" s="5">
        <f>1114159-68582</f>
        <v>1045577</v>
      </c>
      <c r="J17" s="5">
        <v>0</v>
      </c>
      <c r="L17" s="5">
        <f>(1000000+177090616)/1000</f>
        <v>178090.61600000001</v>
      </c>
      <c r="M17" s="5">
        <f>(16546823+10268381)/1000</f>
        <v>26815.204000000002</v>
      </c>
      <c r="N17" s="5">
        <f>2738208.46/1000</f>
        <v>2738.2084599999998</v>
      </c>
      <c r="O17" s="5">
        <v>3475.0788199999997</v>
      </c>
      <c r="P17" s="5">
        <v>274489</v>
      </c>
      <c r="Q17" s="5">
        <f>(501031.91+12803914.2)/1000</f>
        <v>13304.946109999999</v>
      </c>
      <c r="R17" s="5">
        <v>83940</v>
      </c>
      <c r="S17" s="5">
        <v>148400</v>
      </c>
      <c r="T17" s="5">
        <f t="shared" si="2"/>
        <v>1893223.1102599998</v>
      </c>
    </row>
    <row r="18" spans="1:20" ht="15" x14ac:dyDescent="0.25">
      <c r="A18" s="55"/>
      <c r="B18" s="40"/>
      <c r="C18" s="40"/>
      <c r="D18" s="44"/>
      <c r="E18" s="18"/>
      <c r="F18" s="66"/>
      <c r="G18" s="18"/>
      <c r="H18" s="66"/>
      <c r="I18" s="44"/>
      <c r="J18" s="66"/>
      <c r="K18" s="67"/>
      <c r="L18" s="18"/>
      <c r="M18" s="66"/>
      <c r="N18" s="66"/>
      <c r="O18" s="66"/>
      <c r="P18" s="66"/>
      <c r="Q18" s="66"/>
      <c r="R18" s="18"/>
      <c r="S18" s="66"/>
      <c r="T18" s="38"/>
    </row>
    <row r="19" spans="1:20" s="22" customFormat="1" ht="15" x14ac:dyDescent="0.25">
      <c r="A19" s="45" t="s">
        <v>50</v>
      </c>
      <c r="B19" s="22">
        <f>IFERROR(+B4/B11,"")</f>
        <v>10.281948379371599</v>
      </c>
      <c r="C19" s="22">
        <f t="shared" ref="C19" si="10">IFERROR(+C4/C11,"")</f>
        <v>1.0105802382391869</v>
      </c>
      <c r="E19" s="22">
        <f t="shared" ref="E19" si="11">IFERROR(+E4/E11,"")</f>
        <v>0.75466769923965082</v>
      </c>
      <c r="F19" s="22">
        <f t="shared" ref="F19:G19" si="12">IFERROR(+F4/F11,"")</f>
        <v>0.64812003803206031</v>
      </c>
      <c r="G19" s="22">
        <f t="shared" si="12"/>
        <v>0.25570374832476506</v>
      </c>
      <c r="H19" s="22">
        <f>IFERROR(+H4/H11,"")</f>
        <v>0.41502846611520261</v>
      </c>
      <c r="J19" s="22">
        <f t="shared" ref="J19:N19" si="13">IFERROR(+J4/J11,"")</f>
        <v>10.45524500685436</v>
      </c>
      <c r="K19" s="22">
        <f t="shared" si="13"/>
        <v>1.7885254911458673E-3</v>
      </c>
      <c r="L19" s="22">
        <f t="shared" si="13"/>
        <v>0.3448608060051821</v>
      </c>
      <c r="M19" s="22">
        <f t="shared" si="13"/>
        <v>1.1394936277099788</v>
      </c>
      <c r="N19" s="22">
        <f t="shared" si="13"/>
        <v>0.40527029888271515</v>
      </c>
      <c r="P19" s="22">
        <f>IFERROR(+P4/P11,"")</f>
        <v>0.46817679054129396</v>
      </c>
      <c r="Q19" s="22">
        <f t="shared" ref="Q19:S19" si="14">IFERROR(+Q4/Q11,"")</f>
        <v>1.1059541042378376</v>
      </c>
      <c r="R19" s="22">
        <f t="shared" si="14"/>
        <v>0.36454476240563338</v>
      </c>
      <c r="S19" s="22">
        <f t="shared" si="14"/>
        <v>0.33573261953652095</v>
      </c>
      <c r="T19" s="22">
        <v>0.52661926615444565</v>
      </c>
    </row>
    <row r="20" spans="1:20" s="22" customFormat="1" ht="15" x14ac:dyDescent="0.25">
      <c r="A20" s="45" t="s">
        <v>49</v>
      </c>
      <c r="B20" s="22">
        <f>IFERROR(+(B4+B6)/(B11+B12),"")</f>
        <v>10.281948379371599</v>
      </c>
      <c r="C20" s="22">
        <f t="shared" ref="C20" si="15">IFERROR(+(C4+C6)/(C11+C12),"")</f>
        <v>1.0126923587936008</v>
      </c>
      <c r="E20" s="22">
        <f t="shared" ref="E20" si="16">IFERROR(+(E4+E6)/(E11+E12),"")</f>
        <v>0.5171535399831142</v>
      </c>
      <c r="F20" s="22">
        <f t="shared" ref="F20:H20" si="17">IFERROR(+(F4+F6)/(F11+F12),"")</f>
        <v>0.50918093577431744</v>
      </c>
      <c r="G20" s="22">
        <f t="shared" si="17"/>
        <v>0.19792885246834432</v>
      </c>
      <c r="H20" s="22">
        <f t="shared" si="17"/>
        <v>0.42068524113736755</v>
      </c>
      <c r="J20" s="22">
        <f t="shared" ref="J20:S20" si="18">IFERROR(+(J4+J6)/(J11+J12),"")</f>
        <v>0.34414308792807891</v>
      </c>
      <c r="K20" s="22">
        <f t="shared" si="18"/>
        <v>2.5478950050415793E-2</v>
      </c>
      <c r="L20" s="22">
        <f t="shared" si="18"/>
        <v>0.46296057339075408</v>
      </c>
      <c r="M20" s="22">
        <f t="shared" si="18"/>
        <v>0.8356177237020459</v>
      </c>
      <c r="N20" s="22">
        <f t="shared" si="18"/>
        <v>0.30834977151731924</v>
      </c>
      <c r="P20" s="22">
        <f t="shared" si="18"/>
        <v>0.24998344008862641</v>
      </c>
      <c r="Q20" s="22">
        <f t="shared" si="18"/>
        <v>0.56896000038515293</v>
      </c>
      <c r="R20" s="22">
        <f t="shared" si="18"/>
        <v>0.25392359979838991</v>
      </c>
      <c r="S20" s="22">
        <f t="shared" si="18"/>
        <v>0.21105187596587324</v>
      </c>
      <c r="T20" s="22">
        <v>0.3588622867634384</v>
      </c>
    </row>
    <row r="21" spans="1:20" s="22" customFormat="1" ht="15" x14ac:dyDescent="0.25">
      <c r="A21" s="45" t="s">
        <v>48</v>
      </c>
      <c r="B21" s="22">
        <f>IFERROR(+B13,"")</f>
        <v>1654.7032899999999</v>
      </c>
      <c r="C21" s="22">
        <f t="shared" ref="C21" si="19">IFERROR(+C13,"")</f>
        <v>6917</v>
      </c>
      <c r="E21" s="22">
        <f t="shared" ref="E21" si="20">IFERROR(+E13,"")</f>
        <v>14444</v>
      </c>
      <c r="F21" s="22">
        <f t="shared" ref="F21:H21" si="21">IFERROR(+F13,"")</f>
        <v>-226426</v>
      </c>
      <c r="G21" s="22">
        <f t="shared" si="21"/>
        <v>-3572.3937700000001</v>
      </c>
      <c r="H21" s="22">
        <f t="shared" si="21"/>
        <v>750293</v>
      </c>
      <c r="J21" s="22">
        <f t="shared" ref="J21:S21" si="22">IFERROR(+J13,"")</f>
        <v>-6028.2374299999992</v>
      </c>
      <c r="K21" s="22">
        <f t="shared" si="22"/>
        <v>-160732</v>
      </c>
      <c r="L21" s="22">
        <f t="shared" si="22"/>
        <v>61821.23000000001</v>
      </c>
      <c r="M21" s="22">
        <f t="shared" si="22"/>
        <v>9346.4429999999993</v>
      </c>
      <c r="N21" s="22">
        <f t="shared" si="22"/>
        <v>4254.00335</v>
      </c>
      <c r="P21" s="22">
        <f t="shared" si="22"/>
        <v>-1177925</v>
      </c>
      <c r="Q21" s="22">
        <f t="shared" si="22"/>
        <v>10124.686529999999</v>
      </c>
      <c r="R21" s="22">
        <f t="shared" si="22"/>
        <v>-305414</v>
      </c>
      <c r="S21" s="22">
        <f t="shared" si="22"/>
        <v>-335494</v>
      </c>
      <c r="T21" s="22">
        <v>2061.6149745180737</v>
      </c>
    </row>
    <row r="22" spans="1:20" s="22" customFormat="1" ht="15" x14ac:dyDescent="0.25">
      <c r="A22" s="45" t="s">
        <v>47</v>
      </c>
      <c r="B22" s="22">
        <f>IFERROR(((B11+B12))/B3,"")</f>
        <v>9.520393257370531E-2</v>
      </c>
      <c r="C22" s="22">
        <f t="shared" ref="C22" si="23">IFERROR(((C11+C12))/C3,"")</f>
        <v>0.94871281549366793</v>
      </c>
      <c r="E22" s="22">
        <f t="shared" ref="E22" si="24">IFERROR(((E11+E12))/E3,"")</f>
        <v>0.97729890973786249</v>
      </c>
      <c r="F22" s="22">
        <f t="shared" ref="F22:H22" si="25">IFERROR(((F11+F12))/F3,"")</f>
        <v>1.1213637272395443</v>
      </c>
      <c r="G22" s="22">
        <f t="shared" si="25"/>
        <v>2.1332520197245586</v>
      </c>
      <c r="H22" s="22">
        <f t="shared" si="25"/>
        <v>0.90303047143682447</v>
      </c>
      <c r="J22" s="22">
        <f t="shared" ref="J22:N22" si="26">IFERROR(((J11+J12))/J3,"")</f>
        <v>2.3512423007915859</v>
      </c>
      <c r="K22" s="22">
        <f t="shared" si="26"/>
        <v>7.7722254992837279</v>
      </c>
      <c r="L22" s="22">
        <f t="shared" si="26"/>
        <v>0.80334829042033296</v>
      </c>
      <c r="M22" s="22">
        <f t="shared" si="26"/>
        <v>0.90933723883234752</v>
      </c>
      <c r="N22" s="22">
        <f t="shared" si="26"/>
        <v>0.81820258306378657</v>
      </c>
      <c r="P22" s="22">
        <f>IFERROR(((P11+P12))/P3,"")</f>
        <v>1.0901011744571536</v>
      </c>
      <c r="Q22" s="22">
        <f t="shared" ref="Q22:S22" si="27">IFERROR(((Q11+Q12))/Q3,"")</f>
        <v>0.92511280438328525</v>
      </c>
      <c r="R22" s="22">
        <f t="shared" si="27"/>
        <v>1.2700336509811481</v>
      </c>
      <c r="S22" s="22">
        <f t="shared" si="27"/>
        <v>4.2912865187278042</v>
      </c>
      <c r="T22" s="22">
        <v>0.999919347904628</v>
      </c>
    </row>
    <row r="23" spans="1:20" s="22" customFormat="1" ht="15" x14ac:dyDescent="0.25">
      <c r="A23" s="45" t="s">
        <v>46</v>
      </c>
      <c r="B23" s="22">
        <f>IFERROR(B3/B13,"")</f>
        <v>1.1052214261325366</v>
      </c>
      <c r="C23" s="22">
        <f t="shared" ref="C23" si="28">IFERROR(C3/C13,"")</f>
        <v>19.498048286829551</v>
      </c>
      <c r="E23" s="22">
        <f t="shared" ref="E23" si="29">IFERROR(E3/E13,"")</f>
        <v>44.050747715314316</v>
      </c>
      <c r="F23" s="22">
        <f t="shared" ref="F23:H23" si="30">IFERROR(F3/F13,"")</f>
        <v>-8.2396942047291386</v>
      </c>
      <c r="G23" s="22">
        <f t="shared" si="30"/>
        <v>-0.88241623487099519</v>
      </c>
      <c r="H23" s="22">
        <f t="shared" si="30"/>
        <v>10.312517909669955</v>
      </c>
      <c r="J23" s="22">
        <f t="shared" ref="J23:S23" si="31">IFERROR(J3/J13,"")</f>
        <v>-0.74005972090585026</v>
      </c>
      <c r="K23" s="22">
        <f t="shared" si="31"/>
        <v>-0.14766194659433093</v>
      </c>
      <c r="L23" s="22">
        <f t="shared" si="31"/>
        <v>5.08513250221647</v>
      </c>
      <c r="M23" s="22">
        <f t="shared" si="31"/>
        <v>11.029885700902472</v>
      </c>
      <c r="N23" s="22">
        <f t="shared" si="31"/>
        <v>5.500628209425364</v>
      </c>
      <c r="P23" s="22">
        <f t="shared" si="31"/>
        <v>-11.098634463144936</v>
      </c>
      <c r="Q23" s="22">
        <f t="shared" si="31"/>
        <v>13.353417653909332</v>
      </c>
      <c r="R23" s="22">
        <f t="shared" si="31"/>
        <v>-3.703242156548161</v>
      </c>
      <c r="S23" s="22">
        <f t="shared" si="31"/>
        <v>-0.30383255736317194</v>
      </c>
      <c r="T23" s="22">
        <v>12398.928314061472</v>
      </c>
    </row>
    <row r="24" spans="1:20" s="22" customFormat="1" ht="15" x14ac:dyDescent="0.25">
      <c r="A24" s="45" t="s">
        <v>45</v>
      </c>
      <c r="B24" s="22">
        <f>IFERROR(((B11+B12))/B13,"")</f>
        <v>0.10522142613253643</v>
      </c>
      <c r="C24" s="22">
        <f t="shared" ref="C24" si="32">IFERROR(((C11+C12))/C13,"")</f>
        <v>18.498048286829551</v>
      </c>
      <c r="E24" s="22">
        <f t="shared" ref="E24" si="33">IFERROR(((E11+E12))/E13,"")</f>
        <v>43.050747715314316</v>
      </c>
      <c r="F24" s="22">
        <f t="shared" ref="F24:H24" si="34">IFERROR(((F11+F12))/F13,"")</f>
        <v>-9.2396942047291386</v>
      </c>
      <c r="G24" s="22">
        <f t="shared" si="34"/>
        <v>-1.8824162152762907</v>
      </c>
      <c r="H24" s="22">
        <f t="shared" si="34"/>
        <v>9.3125179096699551</v>
      </c>
      <c r="J24" s="22">
        <f t="shared" ref="J24" si="35">IFERROR(((J11+J12))/J13,"")</f>
        <v>-1.7400597209058501</v>
      </c>
      <c r="K24" s="22">
        <f>IFERROR(((K11+K12))/K13,"")</f>
        <v>-1.147661946594331</v>
      </c>
      <c r="L24" s="22">
        <f>IFERROR(((L11+L12))/L13,"")</f>
        <v>4.0851325022164708</v>
      </c>
      <c r="M24" s="22">
        <f t="shared" ref="M24:S24" si="36">IFERROR(((M11+M12))/M13,"")</f>
        <v>10.029885807895047</v>
      </c>
      <c r="N24" s="22">
        <f t="shared" si="36"/>
        <v>4.500628209425364</v>
      </c>
      <c r="P24" s="22">
        <f t="shared" si="36"/>
        <v>-12.098634463144936</v>
      </c>
      <c r="Q24" s="22">
        <f t="shared" si="36"/>
        <v>12.353417653909331</v>
      </c>
      <c r="R24" s="22">
        <f t="shared" si="36"/>
        <v>-4.7032421565481606</v>
      </c>
      <c r="S24" s="22">
        <f t="shared" si="36"/>
        <v>-1.3038325573631719</v>
      </c>
      <c r="T24" s="22">
        <v>12397.928314512574</v>
      </c>
    </row>
    <row r="25" spans="1:20" s="22" customFormat="1" ht="15" x14ac:dyDescent="0.25">
      <c r="A25" s="45" t="s">
        <v>44</v>
      </c>
      <c r="B25" s="22">
        <f>IFERROR((SUM(B11:B12))/(SUM(B14,B17)),"")</f>
        <v>0.11112049222372387</v>
      </c>
      <c r="C25" s="22">
        <f t="shared" ref="C25" si="37">IFERROR((SUM(C11:C12))/(SUM(C14,C17)),"")</f>
        <v>18.498048286829551</v>
      </c>
      <c r="E25" s="22">
        <f t="shared" ref="E25" si="38">IFERROR((SUM(E11:E12))/(SUM(E14,E17)),"")</f>
        <v>0.72525761472384054</v>
      </c>
      <c r="F25" s="22">
        <f t="shared" ref="F25:H25" si="39">IFERROR((SUM(F11:F12))/(SUM(F14,F17)),"")</f>
        <v>8.6086435907564685</v>
      </c>
      <c r="G25" s="22">
        <f t="shared" si="39"/>
        <v>12.322226628064646</v>
      </c>
      <c r="H25" s="22">
        <f t="shared" si="39"/>
        <v>2.0920958904642806</v>
      </c>
      <c r="J25" s="22">
        <f t="shared" ref="J25" si="40">IFERROR((SUM(J11:J12))/(SUM(J14,J17)),"")</f>
        <v>1.4568740472222221</v>
      </c>
      <c r="K25" s="22">
        <f t="shared" ref="K25:S25" si="41">IFERROR((SUM(K11:K12))/(SUM(K14,K17)),"")</f>
        <v>3.7259836794053487</v>
      </c>
      <c r="L25" s="22">
        <f t="shared" si="41"/>
        <v>1.2729960069886268</v>
      </c>
      <c r="M25" s="22">
        <f t="shared" si="41"/>
        <v>1.7935079336013868</v>
      </c>
      <c r="N25" s="22">
        <f t="shared" si="41"/>
        <v>4.5174010813050005</v>
      </c>
      <c r="P25" s="22">
        <f t="shared" si="41"/>
        <v>12.163835948962582</v>
      </c>
      <c r="Q25" s="22">
        <f t="shared" si="41"/>
        <v>6.478882697072704</v>
      </c>
      <c r="R25" s="22">
        <f t="shared" si="41"/>
        <v>8.5448229093548118</v>
      </c>
      <c r="S25" s="22">
        <f t="shared" si="41"/>
        <v>1.1859816935623808</v>
      </c>
      <c r="T25" s="22">
        <v>3.9885334425821215</v>
      </c>
    </row>
    <row r="26" spans="1:20" x14ac:dyDescent="0.2">
      <c r="A26" s="54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s="25" customFormat="1" ht="15" x14ac:dyDescent="0.25">
      <c r="A27" s="70" t="s">
        <v>87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20"/>
      <c r="O27" s="69"/>
      <c r="P27" s="20"/>
      <c r="Q27" s="20"/>
      <c r="R27" s="20"/>
      <c r="S27" s="20"/>
      <c r="T27" s="20">
        <v>1000</v>
      </c>
    </row>
    <row r="28" spans="1:20" s="54" customFormat="1" ht="15" x14ac:dyDescent="0.25">
      <c r="A28" s="51" t="s">
        <v>43</v>
      </c>
      <c r="B28" s="51" t="s">
        <v>42</v>
      </c>
      <c r="C28" s="51" t="s">
        <v>41</v>
      </c>
      <c r="D28" s="51" t="s">
        <v>40</v>
      </c>
      <c r="E28" s="51" t="s">
        <v>39</v>
      </c>
      <c r="F28" s="51" t="s">
        <v>38</v>
      </c>
      <c r="G28" s="51" t="s">
        <v>36</v>
      </c>
      <c r="H28" s="51" t="s">
        <v>35</v>
      </c>
      <c r="I28" s="51" t="s">
        <v>33</v>
      </c>
      <c r="J28" s="51" t="s">
        <v>64</v>
      </c>
      <c r="K28" s="51" t="s">
        <v>32</v>
      </c>
      <c r="L28" s="51" t="s">
        <v>31</v>
      </c>
      <c r="M28" s="51" t="s">
        <v>29</v>
      </c>
      <c r="N28" s="51" t="s">
        <v>28</v>
      </c>
      <c r="O28" s="51"/>
      <c r="P28" s="51" t="s">
        <v>26</v>
      </c>
      <c r="Q28" s="51" t="s">
        <v>25</v>
      </c>
      <c r="R28" s="51" t="s">
        <v>24</v>
      </c>
      <c r="S28" s="51" t="s">
        <v>22</v>
      </c>
      <c r="T28" s="51" t="s">
        <v>25</v>
      </c>
    </row>
    <row r="29" spans="1:20" s="13" customFormat="1" ht="17.25" x14ac:dyDescent="0.25">
      <c r="A29" s="48" t="s">
        <v>63</v>
      </c>
      <c r="B29" s="13">
        <v>2845.57042</v>
      </c>
      <c r="C29" s="13">
        <v>102648.317965265</v>
      </c>
      <c r="D29" s="13">
        <v>15952.444</v>
      </c>
      <c r="E29" s="13">
        <v>535587</v>
      </c>
      <c r="F29" s="13">
        <v>1418900</v>
      </c>
      <c r="G29" s="13">
        <v>3254.38</v>
      </c>
      <c r="H29" s="13">
        <v>9860945</v>
      </c>
      <c r="I29" s="13">
        <v>9277.5931700000001</v>
      </c>
      <c r="J29" s="13">
        <v>6254.35473</v>
      </c>
      <c r="K29" s="13">
        <v>23219</v>
      </c>
      <c r="L29" s="13">
        <v>330411</v>
      </c>
      <c r="M29" s="13">
        <v>94601.056769999996</v>
      </c>
      <c r="N29" s="13">
        <v>21285.07258</v>
      </c>
      <c r="O29" s="13" t="s">
        <v>91</v>
      </c>
      <c r="P29" s="13">
        <v>13588659</v>
      </c>
      <c r="Q29" s="13">
        <v>120846.06385999999</v>
      </c>
      <c r="R29" s="13">
        <v>1192361</v>
      </c>
      <c r="S29" s="13">
        <v>428642</v>
      </c>
      <c r="T29" s="13">
        <v>27755688.853495266</v>
      </c>
    </row>
    <row r="30" spans="1:20" s="5" customFormat="1" x14ac:dyDescent="0.2">
      <c r="A30" s="47" t="s">
        <v>62</v>
      </c>
      <c r="B30" s="5">
        <v>2806.9493900000002</v>
      </c>
      <c r="C30" s="5">
        <v>87420.723905264997</v>
      </c>
      <c r="D30" s="5">
        <v>1564.329</v>
      </c>
      <c r="E30" s="5">
        <v>370452</v>
      </c>
      <c r="F30" s="5">
        <v>450079</v>
      </c>
      <c r="G30" s="5">
        <v>1423.72</v>
      </c>
      <c r="H30" s="5">
        <v>2825301</v>
      </c>
      <c r="I30" s="5">
        <v>3329.2835500000001</v>
      </c>
      <c r="J30" s="5">
        <v>1679.85492</v>
      </c>
      <c r="K30" s="5">
        <v>3192</v>
      </c>
      <c r="L30" s="5">
        <v>99027</v>
      </c>
      <c r="M30" s="5">
        <v>37608.846939999996</v>
      </c>
      <c r="N30" s="5">
        <v>4814.4352699999999</v>
      </c>
      <c r="P30" s="5">
        <v>3093539</v>
      </c>
      <c r="Q30" s="5">
        <v>63513.820420000004</v>
      </c>
      <c r="R30" s="5">
        <v>361663</v>
      </c>
      <c r="S30" s="5">
        <v>314153</v>
      </c>
      <c r="T30" s="5">
        <v>7721567.963395264</v>
      </c>
    </row>
    <row r="31" spans="1:20" s="5" customFormat="1" x14ac:dyDescent="0.2">
      <c r="A31" s="47" t="s">
        <v>61</v>
      </c>
      <c r="B31" s="5">
        <v>38.621029999999998</v>
      </c>
      <c r="C31" s="5">
        <v>15227.594059999999</v>
      </c>
      <c r="D31" s="5">
        <v>14388.115</v>
      </c>
      <c r="E31" s="5">
        <v>165136</v>
      </c>
      <c r="F31" s="5">
        <v>968821</v>
      </c>
      <c r="G31" s="5">
        <v>1830.66</v>
      </c>
      <c r="H31" s="5">
        <v>7035643</v>
      </c>
      <c r="I31" s="5">
        <v>5948.30962</v>
      </c>
      <c r="J31" s="5">
        <v>4574.4998099999993</v>
      </c>
      <c r="K31" s="5">
        <v>20027</v>
      </c>
      <c r="L31" s="5">
        <v>231384</v>
      </c>
      <c r="M31" s="5">
        <v>56992.20983</v>
      </c>
      <c r="N31" s="5">
        <v>16470.637310000002</v>
      </c>
      <c r="P31" s="5">
        <v>10495120</v>
      </c>
      <c r="Q31" s="5">
        <v>57332.243439999998</v>
      </c>
      <c r="R31" s="5">
        <v>830698</v>
      </c>
      <c r="S31" s="5">
        <v>114489</v>
      </c>
      <c r="T31" s="5">
        <v>20034120.890099999</v>
      </c>
    </row>
    <row r="32" spans="1:20" s="5" customFormat="1" x14ac:dyDescent="0.2">
      <c r="A32" s="47" t="s">
        <v>60</v>
      </c>
      <c r="B32" s="5">
        <v>0</v>
      </c>
      <c r="C32" s="5">
        <v>9852</v>
      </c>
      <c r="D32" s="5">
        <v>0</v>
      </c>
      <c r="E32" s="5">
        <v>18771</v>
      </c>
      <c r="F32" s="5">
        <v>182464</v>
      </c>
      <c r="G32" s="5">
        <v>0</v>
      </c>
      <c r="H32" s="5">
        <v>2150078.7701099999</v>
      </c>
      <c r="I32" s="5">
        <v>4886.7982400000001</v>
      </c>
      <c r="J32" s="5">
        <v>3447.0092599999998</v>
      </c>
      <c r="K32" s="5">
        <v>16716</v>
      </c>
      <c r="L32" s="5">
        <v>38820</v>
      </c>
      <c r="M32" s="5">
        <v>34028.793170000004</v>
      </c>
      <c r="N32" s="5">
        <v>76.85202000000001</v>
      </c>
      <c r="P32" s="5">
        <v>770768</v>
      </c>
      <c r="Q32" s="5">
        <v>2014.05772</v>
      </c>
      <c r="R32" s="5">
        <v>110471</v>
      </c>
      <c r="S32" s="5">
        <v>32565</v>
      </c>
      <c r="T32" s="5">
        <v>3374959.28052</v>
      </c>
    </row>
    <row r="33" spans="1:20" s="5" customFormat="1" x14ac:dyDescent="0.2">
      <c r="A33" s="47" t="s">
        <v>59</v>
      </c>
      <c r="B33" s="5">
        <v>38.621029999999998</v>
      </c>
      <c r="C33" s="5">
        <v>5376</v>
      </c>
      <c r="D33" s="5">
        <v>14243.115</v>
      </c>
      <c r="E33" s="5">
        <v>146365</v>
      </c>
      <c r="F33" s="5">
        <v>786357</v>
      </c>
      <c r="G33" s="5">
        <v>1830.66</v>
      </c>
      <c r="H33" s="5">
        <v>4885564.2298900001</v>
      </c>
      <c r="I33" s="5">
        <v>1061.5113799999999</v>
      </c>
      <c r="J33" s="5">
        <v>1306.35898</v>
      </c>
      <c r="K33" s="5">
        <v>3311</v>
      </c>
      <c r="L33" s="5">
        <v>192564</v>
      </c>
      <c r="M33" s="5">
        <v>22963.416659999999</v>
      </c>
      <c r="N33" s="5">
        <v>16393.78529</v>
      </c>
      <c r="P33" s="5">
        <v>9721991</v>
      </c>
      <c r="Q33" s="5">
        <v>55318.185720000001</v>
      </c>
      <c r="R33" s="5">
        <v>720227</v>
      </c>
      <c r="S33" s="5">
        <v>81924</v>
      </c>
      <c r="T33" s="5">
        <v>16656834.883950001</v>
      </c>
    </row>
    <row r="34" spans="1:20" s="5" customFormat="1" x14ac:dyDescent="0.2">
      <c r="A34" s="47" t="s">
        <v>51</v>
      </c>
      <c r="B34" s="5">
        <v>0</v>
      </c>
      <c r="C34" s="5">
        <v>0</v>
      </c>
      <c r="D34" s="5">
        <v>145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-178.86842999999999</v>
      </c>
      <c r="K34" s="5">
        <v>0</v>
      </c>
      <c r="L34" s="5">
        <v>0</v>
      </c>
      <c r="M34" s="5">
        <v>0</v>
      </c>
      <c r="N34" s="5">
        <v>0</v>
      </c>
      <c r="P34" s="5">
        <v>2361</v>
      </c>
      <c r="Q34" s="5">
        <v>0</v>
      </c>
      <c r="R34" s="5">
        <v>0</v>
      </c>
      <c r="S34" s="5">
        <v>0</v>
      </c>
      <c r="T34" s="5">
        <v>2327.13157</v>
      </c>
    </row>
    <row r="35" spans="1:20" s="25" customFormat="1" ht="15" x14ac:dyDescent="0.25">
      <c r="A35" s="50"/>
      <c r="B35" s="49"/>
      <c r="C35" s="49"/>
      <c r="D35" s="49">
        <v>0</v>
      </c>
      <c r="E35" s="49"/>
      <c r="F35" s="49"/>
      <c r="G35" s="46"/>
      <c r="H35" s="49"/>
      <c r="I35" s="49"/>
      <c r="J35" s="49"/>
      <c r="K35" s="46"/>
      <c r="L35" s="46"/>
      <c r="M35" s="44"/>
      <c r="N35" s="44"/>
      <c r="O35" s="44"/>
      <c r="P35" s="49"/>
      <c r="Q35" s="44"/>
      <c r="R35" s="49"/>
      <c r="S35" s="44"/>
      <c r="T35" s="38"/>
    </row>
    <row r="36" spans="1:20" s="13" customFormat="1" ht="15" x14ac:dyDescent="0.25">
      <c r="A36" s="48" t="s">
        <v>58</v>
      </c>
      <c r="B36" s="13">
        <v>2845.57042</v>
      </c>
      <c r="C36" s="13">
        <v>102648.317965265</v>
      </c>
      <c r="D36" s="13">
        <v>15952.444</v>
      </c>
      <c r="E36" s="13">
        <v>535587</v>
      </c>
      <c r="F36" s="13">
        <v>1418900</v>
      </c>
      <c r="G36" s="13">
        <v>3254.38</v>
      </c>
      <c r="H36" s="13">
        <v>9860945</v>
      </c>
      <c r="I36" s="13">
        <v>9277.5931700000001</v>
      </c>
      <c r="J36" s="13">
        <v>6254.35473</v>
      </c>
      <c r="K36" s="13">
        <v>23219</v>
      </c>
      <c r="L36" s="13">
        <v>330411</v>
      </c>
      <c r="M36" s="13">
        <v>94601.056769999996</v>
      </c>
      <c r="N36" s="13">
        <v>21285.07258</v>
      </c>
      <c r="P36" s="13">
        <v>13588659</v>
      </c>
      <c r="Q36" s="13">
        <v>120846.06385999999</v>
      </c>
      <c r="R36" s="13">
        <v>1192361</v>
      </c>
      <c r="S36" s="13">
        <v>428642</v>
      </c>
      <c r="T36" s="13">
        <v>27755688.853495266</v>
      </c>
    </row>
    <row r="37" spans="1:20" s="5" customFormat="1" x14ac:dyDescent="0.2">
      <c r="A37" s="47" t="s">
        <v>57</v>
      </c>
      <c r="B37" s="5">
        <v>646.69118000000003</v>
      </c>
      <c r="C37" s="5">
        <v>99087.594290746798</v>
      </c>
      <c r="D37" s="5">
        <v>3162.3850000000002</v>
      </c>
      <c r="E37" s="5">
        <v>377858</v>
      </c>
      <c r="F37" s="5">
        <v>535298</v>
      </c>
      <c r="G37" s="5">
        <v>5376.78</v>
      </c>
      <c r="H37" s="5">
        <v>2406000</v>
      </c>
      <c r="I37" s="5">
        <v>3171.3590399999998</v>
      </c>
      <c r="J37" s="5">
        <v>2339.0634799999998</v>
      </c>
      <c r="K37" s="5">
        <v>108040</v>
      </c>
      <c r="L37" s="5">
        <v>172235</v>
      </c>
      <c r="M37" s="5">
        <v>64034.435229999995</v>
      </c>
      <c r="N37" s="5">
        <v>10585.15827</v>
      </c>
      <c r="P37" s="5">
        <v>3855495</v>
      </c>
      <c r="Q37" s="5">
        <v>28168.282829999996</v>
      </c>
      <c r="R37" s="5">
        <v>420169</v>
      </c>
      <c r="S37" s="5">
        <v>352099</v>
      </c>
      <c r="T37" s="5">
        <v>8443765.7493207473</v>
      </c>
    </row>
    <row r="38" spans="1:20" s="5" customFormat="1" x14ac:dyDescent="0.2">
      <c r="A38" s="47" t="s">
        <v>56</v>
      </c>
      <c r="B38" s="5">
        <v>0</v>
      </c>
      <c r="C38" s="5">
        <v>4960.1438799999996</v>
      </c>
      <c r="D38" s="5">
        <v>63916.358</v>
      </c>
      <c r="E38" s="5">
        <v>146872</v>
      </c>
      <c r="F38" s="5">
        <v>957892</v>
      </c>
      <c r="G38" s="5">
        <v>1522.65</v>
      </c>
      <c r="H38" s="5">
        <v>5373610</v>
      </c>
      <c r="I38" s="5">
        <v>3199.9081500000002</v>
      </c>
      <c r="J38" s="5">
        <v>8298.1566000000003</v>
      </c>
      <c r="K38" s="5">
        <v>79954</v>
      </c>
      <c r="L38" s="5">
        <v>36399</v>
      </c>
      <c r="M38" s="5">
        <v>12827.921289999998</v>
      </c>
      <c r="N38" s="5">
        <v>8337.2260599999991</v>
      </c>
      <c r="P38" s="5">
        <v>8195888</v>
      </c>
      <c r="Q38" s="5">
        <v>81166.300579999996</v>
      </c>
      <c r="R38" s="5">
        <v>711094</v>
      </c>
      <c r="S38" s="5">
        <v>249296</v>
      </c>
      <c r="T38" s="5">
        <v>15935233.664559999</v>
      </c>
    </row>
    <row r="39" spans="1:20" s="23" customFormat="1" ht="15" x14ac:dyDescent="0.25">
      <c r="A39" s="48" t="s">
        <v>55</v>
      </c>
      <c r="B39" s="13">
        <v>2198.8792400000002</v>
      </c>
      <c r="C39" s="13">
        <v>-1399.4202054817899</v>
      </c>
      <c r="D39" s="13">
        <v>-51126.298999999999</v>
      </c>
      <c r="E39" s="13">
        <v>10857</v>
      </c>
      <c r="F39" s="13">
        <v>-74290</v>
      </c>
      <c r="G39" s="13">
        <v>-3645.05</v>
      </c>
      <c r="H39" s="13">
        <v>2081335</v>
      </c>
      <c r="I39" s="13">
        <v>2906.3259800000001</v>
      </c>
      <c r="J39" s="13">
        <v>-4382.86535</v>
      </c>
      <c r="K39" s="13">
        <v>-164775</v>
      </c>
      <c r="L39" s="13">
        <v>121777</v>
      </c>
      <c r="M39" s="13">
        <v>17738.700250000002</v>
      </c>
      <c r="N39" s="13">
        <v>2362.6882499999997</v>
      </c>
      <c r="O39" s="13"/>
      <c r="P39" s="13">
        <v>1537276</v>
      </c>
      <c r="Q39" s="13">
        <v>11511.480449999999</v>
      </c>
      <c r="R39" s="13">
        <v>61098</v>
      </c>
      <c r="S39" s="13">
        <v>-172753</v>
      </c>
      <c r="T39" s="13">
        <v>3376689.4396145181</v>
      </c>
    </row>
    <row r="40" spans="1:20" s="5" customFormat="1" x14ac:dyDescent="0.2">
      <c r="A40" s="47" t="s">
        <v>54</v>
      </c>
      <c r="B40" s="5">
        <v>1558.8030000000001</v>
      </c>
      <c r="C40" s="5">
        <v>0</v>
      </c>
      <c r="D40" s="5">
        <v>4300</v>
      </c>
      <c r="E40" s="5">
        <v>726070</v>
      </c>
      <c r="F40" s="5">
        <v>260810</v>
      </c>
      <c r="G40" s="5">
        <v>545.74</v>
      </c>
      <c r="H40" s="5">
        <v>2294192</v>
      </c>
      <c r="I40" s="5">
        <v>14500</v>
      </c>
      <c r="J40" s="5">
        <v>7200</v>
      </c>
      <c r="K40" s="5">
        <v>49508</v>
      </c>
      <c r="L40" s="5">
        <v>20298</v>
      </c>
      <c r="M40" s="5">
        <v>15791.382</v>
      </c>
      <c r="N40" s="5">
        <v>1500</v>
      </c>
      <c r="P40" s="5">
        <v>897122</v>
      </c>
      <c r="Q40" s="5">
        <v>6000</v>
      </c>
      <c r="R40" s="5">
        <v>84166</v>
      </c>
      <c r="S40" s="5">
        <v>220432</v>
      </c>
      <c r="T40" s="5">
        <v>4603993.9250000007</v>
      </c>
    </row>
    <row r="41" spans="1:20" s="5" customFormat="1" ht="15" x14ac:dyDescent="0.2">
      <c r="A41" s="47" t="s">
        <v>65</v>
      </c>
      <c r="B41" s="5">
        <v>632.01936999999998</v>
      </c>
      <c r="C41" s="5">
        <v>0</v>
      </c>
      <c r="D41" s="5">
        <v>-57275.446000000004</v>
      </c>
      <c r="E41" s="5">
        <v>-739030</v>
      </c>
      <c r="F41" s="5">
        <v>-317931</v>
      </c>
      <c r="G41" s="5">
        <v>-4190.79</v>
      </c>
      <c r="H41" s="5">
        <v>-1143115</v>
      </c>
      <c r="I41" s="5">
        <v>-16459.574550000001</v>
      </c>
      <c r="J41" s="5">
        <v>-11582.86535</v>
      </c>
      <c r="K41" s="5">
        <v>-206340</v>
      </c>
      <c r="L41" s="5">
        <v>-63095</v>
      </c>
      <c r="M41" s="5">
        <v>-24261.299749999998</v>
      </c>
      <c r="N41" s="5">
        <v>1223.0518100000002</v>
      </c>
      <c r="P41" s="5">
        <v>-1</v>
      </c>
      <c r="Q41" s="5">
        <v>-4634.5669200000002</v>
      </c>
      <c r="R41" s="5">
        <v>-107649</v>
      </c>
      <c r="S41" s="5">
        <v>-418416</v>
      </c>
      <c r="T41" s="5">
        <v>-3112126.4713900001</v>
      </c>
    </row>
    <row r="42" spans="1:20" s="5" customFormat="1" x14ac:dyDescent="0.2">
      <c r="A42" s="47" t="s">
        <v>52</v>
      </c>
      <c r="B42" s="5">
        <v>0</v>
      </c>
      <c r="C42" s="5">
        <v>-7568.3603125598502</v>
      </c>
      <c r="D42" s="5">
        <v>0</v>
      </c>
      <c r="E42" s="5">
        <v>-20735</v>
      </c>
      <c r="F42" s="5">
        <v>-7458</v>
      </c>
      <c r="G42" s="5">
        <v>0</v>
      </c>
      <c r="H42" s="5">
        <v>-49991</v>
      </c>
      <c r="I42" s="5">
        <v>0</v>
      </c>
      <c r="J42" s="5">
        <v>0</v>
      </c>
      <c r="K42" s="5">
        <v>-7943</v>
      </c>
      <c r="L42" s="5">
        <v>-12517</v>
      </c>
      <c r="M42" s="5">
        <v>0</v>
      </c>
      <c r="N42" s="5">
        <v>-307.65350999999998</v>
      </c>
      <c r="P42" s="5">
        <v>69529</v>
      </c>
      <c r="Q42" s="5">
        <v>-4530.7466900000009</v>
      </c>
      <c r="R42" s="5">
        <v>-13540</v>
      </c>
      <c r="S42" s="5">
        <v>25231</v>
      </c>
      <c r="T42" s="5">
        <v>-29830.760512559849</v>
      </c>
    </row>
    <row r="43" spans="1:20" s="5" customFormat="1" x14ac:dyDescent="0.2">
      <c r="A43" s="47" t="s">
        <v>51</v>
      </c>
      <c r="B43" s="5">
        <v>8.05687</v>
      </c>
      <c r="C43" s="5">
        <v>0</v>
      </c>
      <c r="D43" s="5">
        <v>1849.1469999999999</v>
      </c>
      <c r="E43" s="5">
        <v>44552</v>
      </c>
      <c r="F43" s="5">
        <v>-9711</v>
      </c>
      <c r="G43" s="5">
        <v>0</v>
      </c>
      <c r="H43" s="5">
        <v>980249</v>
      </c>
      <c r="I43" s="5">
        <v>4865.9005299999999</v>
      </c>
      <c r="J43" s="5">
        <v>0</v>
      </c>
      <c r="K43" s="5">
        <v>0</v>
      </c>
      <c r="L43" s="5">
        <v>177091</v>
      </c>
      <c r="M43" s="5">
        <v>26208.617999999999</v>
      </c>
      <c r="N43" s="5">
        <v>-52.710050000000003</v>
      </c>
      <c r="P43" s="5">
        <v>570626</v>
      </c>
      <c r="Q43" s="5">
        <v>14676.79406</v>
      </c>
      <c r="R43" s="5">
        <v>98121</v>
      </c>
      <c r="S43" s="5">
        <v>0</v>
      </c>
      <c r="T43" s="5">
        <v>1908483.80641</v>
      </c>
    </row>
    <row r="44" spans="1:20" s="25" customFormat="1" ht="15" x14ac:dyDescent="0.25">
      <c r="A44" s="41"/>
      <c r="B44" s="40"/>
      <c r="C44" s="40"/>
      <c r="D44" s="44"/>
      <c r="E44" s="40"/>
      <c r="F44" s="44"/>
      <c r="G44" s="40"/>
      <c r="H44" s="44"/>
      <c r="I44" s="44"/>
      <c r="J44" s="44"/>
      <c r="K44" s="46"/>
      <c r="L44" s="40"/>
      <c r="M44" s="44"/>
      <c r="N44" s="44"/>
      <c r="O44" s="44"/>
      <c r="P44" s="44"/>
      <c r="Q44" s="44"/>
      <c r="R44" s="40"/>
      <c r="S44" s="44"/>
      <c r="T44" s="38"/>
    </row>
    <row r="45" spans="1:20" s="22" customFormat="1" ht="15" x14ac:dyDescent="0.25">
      <c r="A45" s="45" t="s">
        <v>50</v>
      </c>
      <c r="B45" s="22">
        <v>4.3404788511264369</v>
      </c>
      <c r="C45" s="22">
        <v>0.88225700231203108</v>
      </c>
      <c r="D45" s="22">
        <v>0.49466747407415601</v>
      </c>
      <c r="E45" s="22">
        <v>0.98040004446114681</v>
      </c>
      <c r="F45" s="22">
        <v>0.84080082496104969</v>
      </c>
      <c r="G45" s="22">
        <v>0.26479045079024993</v>
      </c>
      <c r="H45" s="22">
        <v>1.1742730673316708</v>
      </c>
      <c r="I45" s="22">
        <v>1.0497971084346225</v>
      </c>
      <c r="J45" s="22">
        <v>0.71817414720185369</v>
      </c>
      <c r="K45" s="22">
        <v>2.9544613106256942E-2</v>
      </c>
      <c r="L45" s="22">
        <v>0.57495282608064568</v>
      </c>
      <c r="M45" s="22">
        <v>0.58732222443933313</v>
      </c>
      <c r="N45" s="22">
        <v>0.45482884121297129</v>
      </c>
      <c r="P45" s="22">
        <v>0.80237142053095645</v>
      </c>
      <c r="Q45" s="22">
        <v>2.2547991584476721</v>
      </c>
      <c r="R45" s="22">
        <v>0.86075602912161531</v>
      </c>
      <c r="S45" s="22">
        <v>0.89222917418112524</v>
      </c>
      <c r="T45" s="22">
        <v>0.91446970375941805</v>
      </c>
    </row>
    <row r="46" spans="1:20" s="22" customFormat="1" ht="15" x14ac:dyDescent="0.25">
      <c r="A46" s="45" t="s">
        <v>49</v>
      </c>
      <c r="B46" s="22">
        <v>4.3404788511264369</v>
      </c>
      <c r="C46" s="22">
        <v>0.93488552096765698</v>
      </c>
      <c r="D46" s="22">
        <v>2.3320785841201584E-2</v>
      </c>
      <c r="E46" s="22">
        <v>0.74175861871819793</v>
      </c>
      <c r="F46" s="22">
        <v>0.42361856160301098</v>
      </c>
      <c r="G46" s="22">
        <v>0.20635327845923504</v>
      </c>
      <c r="H46" s="22">
        <v>0.63954102713503636</v>
      </c>
      <c r="I46" s="22">
        <v>1.2895522264229511</v>
      </c>
      <c r="J46" s="22">
        <v>0.48197406290760886</v>
      </c>
      <c r="K46" s="22">
        <v>0.10589699671266105</v>
      </c>
      <c r="L46" s="22">
        <v>0.66071206035449637</v>
      </c>
      <c r="M46" s="22">
        <v>0.93202502959116929</v>
      </c>
      <c r="N46" s="22">
        <v>0.2584921225939395</v>
      </c>
      <c r="P46" s="22">
        <v>0.32065257572512634</v>
      </c>
      <c r="Q46" s="22">
        <v>0.59933349628518973</v>
      </c>
      <c r="R46" s="22">
        <v>0.41735122601906011</v>
      </c>
      <c r="S46" s="22">
        <v>0.57652291755002949</v>
      </c>
      <c r="T46" s="22">
        <v>0.45516746013772819</v>
      </c>
    </row>
    <row r="47" spans="1:20" s="22" customFormat="1" ht="15" x14ac:dyDescent="0.25">
      <c r="A47" s="45" t="s">
        <v>48</v>
      </c>
      <c r="B47" s="22">
        <v>2198.8792400000002</v>
      </c>
      <c r="C47" s="22">
        <v>-1399.4202054817899</v>
      </c>
      <c r="D47" s="22">
        <v>-51126.298999999999</v>
      </c>
      <c r="E47" s="22">
        <v>10857</v>
      </c>
      <c r="F47" s="22">
        <v>-74290</v>
      </c>
      <c r="G47" s="22">
        <v>-3645.05</v>
      </c>
      <c r="H47" s="22">
        <v>2081335</v>
      </c>
      <c r="I47" s="22">
        <v>2906.3259800000001</v>
      </c>
      <c r="J47" s="22">
        <v>-4382.86535</v>
      </c>
      <c r="K47" s="22">
        <v>-164775</v>
      </c>
      <c r="L47" s="22">
        <v>121777</v>
      </c>
      <c r="M47" s="22">
        <v>17738.700250000002</v>
      </c>
      <c r="N47" s="22">
        <v>2362.6882499999997</v>
      </c>
      <c r="P47" s="22">
        <v>1537276</v>
      </c>
      <c r="Q47" s="22">
        <v>11511.480449999999</v>
      </c>
      <c r="R47" s="22">
        <v>61098</v>
      </c>
      <c r="S47" s="22">
        <v>-172753</v>
      </c>
      <c r="T47" s="22">
        <v>3376689.4396145181</v>
      </c>
    </row>
    <row r="48" spans="1:20" s="22" customFormat="1" ht="15" x14ac:dyDescent="0.25">
      <c r="A48" s="45" t="s">
        <v>47</v>
      </c>
      <c r="B48" s="22">
        <v>0.2272624059677989</v>
      </c>
      <c r="C48" s="22">
        <v>1.013633152819468</v>
      </c>
      <c r="D48" s="22">
        <v>4.2049195095121474</v>
      </c>
      <c r="E48" s="22">
        <v>0.97972878355897364</v>
      </c>
      <c r="F48" s="22">
        <v>1.0523574600042287</v>
      </c>
      <c r="G48" s="22">
        <v>2.1200443709708146</v>
      </c>
      <c r="H48" s="22">
        <v>0.78893148678955216</v>
      </c>
      <c r="I48" s="22">
        <v>0.68673707428798592</v>
      </c>
      <c r="J48" s="22">
        <v>1.7007701896051552</v>
      </c>
      <c r="K48" s="22">
        <v>8.0965588526637671</v>
      </c>
      <c r="L48" s="22">
        <v>0.63143781532697152</v>
      </c>
      <c r="M48" s="22">
        <v>0.81248940703561656</v>
      </c>
      <c r="N48" s="22">
        <v>0.88899787674578845</v>
      </c>
      <c r="P48" s="22">
        <v>0.88687066177758966</v>
      </c>
      <c r="Q48" s="22">
        <v>0.9047426115315097</v>
      </c>
      <c r="R48" s="22">
        <v>0.94875880710623717</v>
      </c>
      <c r="S48" s="22">
        <v>1.4030239687198174</v>
      </c>
      <c r="T48" s="22">
        <v>0.87834243792550315</v>
      </c>
    </row>
    <row r="49" spans="1:20" s="22" customFormat="1" ht="15" x14ac:dyDescent="0.25">
      <c r="A49" s="45" t="s">
        <v>46</v>
      </c>
      <c r="B49" s="22">
        <v>1.2941003617824869</v>
      </c>
      <c r="C49" s="22">
        <v>-73.350604459741533</v>
      </c>
      <c r="D49" s="22">
        <v>-0.31202031658892421</v>
      </c>
      <c r="E49" s="22">
        <v>49.331030671456205</v>
      </c>
      <c r="F49" s="22">
        <v>-19.099475030286715</v>
      </c>
      <c r="G49" s="22">
        <v>-0.89282177199215373</v>
      </c>
      <c r="H49" s="22">
        <v>4.7377980959336199</v>
      </c>
      <c r="I49" s="22">
        <v>3.1922066670580427</v>
      </c>
      <c r="J49" s="22">
        <v>-1.4270013405727831</v>
      </c>
      <c r="K49" s="22">
        <v>-0.14091336671218327</v>
      </c>
      <c r="L49" s="22">
        <v>2.7132463437266479</v>
      </c>
      <c r="M49" s="22">
        <v>5.3330320393682724</v>
      </c>
      <c r="N49" s="22">
        <v>9.0088366842303476</v>
      </c>
      <c r="P49" s="22">
        <v>8.839440022481325</v>
      </c>
      <c r="Q49" s="22">
        <v>10.497873352162971</v>
      </c>
      <c r="R49" s="22">
        <v>19.515548790467772</v>
      </c>
      <c r="S49" s="22">
        <v>-2.4812420044803853</v>
      </c>
      <c r="T49" s="22">
        <v>8.2197931879290174</v>
      </c>
    </row>
    <row r="50" spans="1:20" s="22" customFormat="1" ht="15" x14ac:dyDescent="0.25">
      <c r="A50" s="45" t="s">
        <v>45</v>
      </c>
      <c r="B50" s="22">
        <v>0.29410036178248694</v>
      </c>
      <c r="C50" s="22">
        <v>-74.350604459741547</v>
      </c>
      <c r="D50" s="22">
        <v>-1.3120203165889244</v>
      </c>
      <c r="E50" s="22">
        <v>48.331030671456205</v>
      </c>
      <c r="F50" s="22">
        <v>-20.099475030286715</v>
      </c>
      <c r="G50" s="22">
        <v>-1.8928217719921536</v>
      </c>
      <c r="H50" s="22">
        <v>3.7377980959336194</v>
      </c>
      <c r="I50" s="22">
        <v>2.1922066670580431</v>
      </c>
      <c r="J50" s="22">
        <v>-2.4270013405727831</v>
      </c>
      <c r="K50" s="22">
        <v>-1.1409133667121834</v>
      </c>
      <c r="L50" s="22">
        <v>1.7132463437266479</v>
      </c>
      <c r="M50" s="22">
        <v>4.3330320393682733</v>
      </c>
      <c r="N50" s="22">
        <v>8.0088366842303476</v>
      </c>
      <c r="P50" s="22">
        <v>7.8394400224813241</v>
      </c>
      <c r="Q50" s="22">
        <v>9.497873352162971</v>
      </c>
      <c r="R50" s="22">
        <v>18.515548790467772</v>
      </c>
      <c r="S50" s="22">
        <v>-3.4812420044803853</v>
      </c>
      <c r="T50" s="22">
        <v>7.2197931879290165</v>
      </c>
    </row>
    <row r="51" spans="1:20" s="22" customFormat="1" ht="15" x14ac:dyDescent="0.25">
      <c r="A51" s="45" t="s">
        <v>44</v>
      </c>
      <c r="B51" s="22">
        <v>0.41273070577779236</v>
      </c>
      <c r="C51" s="22" t="e">
        <v>#DIV/0!</v>
      </c>
      <c r="D51" s="22">
        <v>15.599707674418605</v>
      </c>
      <c r="E51" s="22">
        <v>0.74394436686113685</v>
      </c>
      <c r="F51" s="22">
        <v>5.7252022545147812</v>
      </c>
      <c r="G51" s="22">
        <v>12.642338842672336</v>
      </c>
      <c r="H51" s="22">
        <v>2.4126936376746424</v>
      </c>
      <c r="I51" s="22">
        <v>0.43939773724137932</v>
      </c>
      <c r="J51" s="22">
        <v>1.4773916777777776</v>
      </c>
      <c r="K51" s="22">
        <v>3.7972448897147935</v>
      </c>
      <c r="L51" s="22">
        <v>1.0569687267274266</v>
      </c>
      <c r="M51" s="22">
        <v>4.8673609770189845</v>
      </c>
      <c r="N51" s="22">
        <v>12.614922886666667</v>
      </c>
      <c r="P51" s="22">
        <v>7.8394349229189011</v>
      </c>
      <c r="Q51" s="22">
        <v>18.222430568333333</v>
      </c>
      <c r="R51" s="22">
        <v>6.205944472178488</v>
      </c>
      <c r="S51" s="22">
        <v>2.4480487497099683</v>
      </c>
      <c r="T51" s="22">
        <v>3.7434292168554579</v>
      </c>
    </row>
    <row r="54" spans="1:20" s="25" customFormat="1" ht="15" x14ac:dyDescent="0.25">
      <c r="A54" s="70" t="s">
        <v>86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20"/>
      <c r="O54" s="69"/>
      <c r="P54" s="20"/>
      <c r="Q54" s="20"/>
      <c r="R54" s="20"/>
      <c r="S54" s="20"/>
      <c r="T54" s="20">
        <v>1000</v>
      </c>
    </row>
    <row r="55" spans="1:20" s="50" customFormat="1" ht="17.25" x14ac:dyDescent="0.25">
      <c r="A55" s="51" t="s">
        <v>43</v>
      </c>
      <c r="B55" s="51" t="s">
        <v>42</v>
      </c>
      <c r="C55" s="51" t="s">
        <v>41</v>
      </c>
      <c r="D55" s="51" t="s">
        <v>40</v>
      </c>
      <c r="E55" s="51" t="s">
        <v>39</v>
      </c>
      <c r="F55" s="51" t="s">
        <v>38</v>
      </c>
      <c r="G55" s="51" t="s">
        <v>36</v>
      </c>
      <c r="H55" s="51" t="s">
        <v>35</v>
      </c>
      <c r="I55" s="51" t="s">
        <v>33</v>
      </c>
      <c r="J55" s="51" t="s">
        <v>64</v>
      </c>
      <c r="K55" s="51" t="s">
        <v>83</v>
      </c>
      <c r="L55" s="51" t="s">
        <v>82</v>
      </c>
      <c r="M55" s="51" t="s">
        <v>29</v>
      </c>
      <c r="N55" s="51" t="s">
        <v>28</v>
      </c>
      <c r="O55" s="51" t="s">
        <v>92</v>
      </c>
      <c r="P55" s="51" t="s">
        <v>26</v>
      </c>
      <c r="Q55" s="51" t="s">
        <v>25</v>
      </c>
      <c r="R55" s="51" t="s">
        <v>24</v>
      </c>
      <c r="S55" s="51" t="s">
        <v>22</v>
      </c>
      <c r="T55" s="51" t="s">
        <v>25</v>
      </c>
    </row>
    <row r="56" spans="1:20" s="13" customFormat="1" ht="15" x14ac:dyDescent="0.25">
      <c r="A56" s="48" t="s">
        <v>63</v>
      </c>
      <c r="B56" s="13">
        <v>2655.4978500000002</v>
      </c>
      <c r="C56" s="13">
        <v>116887.096863239</v>
      </c>
      <c r="E56" s="13">
        <v>591849</v>
      </c>
      <c r="F56" s="13">
        <v>1516203</v>
      </c>
      <c r="G56" s="13">
        <v>3349.19</v>
      </c>
      <c r="H56" s="13">
        <v>9525535</v>
      </c>
      <c r="I56" s="13">
        <v>10614.9578</v>
      </c>
      <c r="J56" s="13">
        <v>6153.5760899999996</v>
      </c>
      <c r="K56" s="13">
        <v>22744</v>
      </c>
      <c r="L56" s="13">
        <v>353263</v>
      </c>
      <c r="M56" s="13">
        <v>94362.925000000003</v>
      </c>
      <c r="N56" s="13">
        <v>22629.881000000001</v>
      </c>
      <c r="P56" s="13">
        <v>14155107</v>
      </c>
      <c r="Q56" s="13">
        <v>113829.43265</v>
      </c>
      <c r="R56" s="13">
        <v>1190572</v>
      </c>
      <c r="S56" s="13">
        <v>280555</v>
      </c>
      <c r="T56" s="13">
        <v>28006310.557253242</v>
      </c>
    </row>
    <row r="57" spans="1:20" s="19" customFormat="1" x14ac:dyDescent="0.2">
      <c r="A57" s="47" t="s">
        <v>62</v>
      </c>
      <c r="B57" s="5">
        <v>2616.87682</v>
      </c>
      <c r="C57" s="5">
        <v>102265.096863239</v>
      </c>
      <c r="D57" s="5"/>
      <c r="E57" s="5">
        <v>400914</v>
      </c>
      <c r="F57" s="5">
        <v>461846</v>
      </c>
      <c r="G57" s="5">
        <v>1521.65</v>
      </c>
      <c r="H57" s="5">
        <v>2305405</v>
      </c>
      <c r="I57" s="5">
        <v>4709.1786400000001</v>
      </c>
      <c r="J57" s="5">
        <v>1817.4728400000001</v>
      </c>
      <c r="K57" s="5">
        <v>2761</v>
      </c>
      <c r="L57" s="5">
        <v>114964</v>
      </c>
      <c r="M57" s="5">
        <v>34060.52794</v>
      </c>
      <c r="N57" s="5">
        <v>5055.22156</v>
      </c>
      <c r="O57" s="5"/>
      <c r="P57" s="5">
        <v>3227294</v>
      </c>
      <c r="Q57" s="5">
        <v>57801.081619999997</v>
      </c>
      <c r="R57" s="5">
        <v>338101</v>
      </c>
      <c r="S57" s="5">
        <v>161601</v>
      </c>
      <c r="T57" s="5">
        <v>7222733.1062832391</v>
      </c>
    </row>
    <row r="58" spans="1:20" s="19" customFormat="1" x14ac:dyDescent="0.2">
      <c r="A58" s="47" t="s">
        <v>61</v>
      </c>
      <c r="B58" s="5">
        <v>38.621029999999998</v>
      </c>
      <c r="C58" s="5">
        <v>14622</v>
      </c>
      <c r="D58" s="5"/>
      <c r="E58" s="5">
        <v>190935</v>
      </c>
      <c r="F58" s="5">
        <v>1054357</v>
      </c>
      <c r="G58" s="5">
        <v>1827.54</v>
      </c>
      <c r="H58" s="5">
        <v>7220130</v>
      </c>
      <c r="I58" s="5">
        <v>5905.77916</v>
      </c>
      <c r="J58" s="5">
        <v>4336.1032500000001</v>
      </c>
      <c r="K58" s="5">
        <v>19983</v>
      </c>
      <c r="L58" s="5">
        <v>238299</v>
      </c>
      <c r="M58" s="5">
        <v>60302.397060000003</v>
      </c>
      <c r="N58" s="5">
        <v>17574.659440000003</v>
      </c>
      <c r="O58" s="5"/>
      <c r="P58" s="5">
        <v>10927813</v>
      </c>
      <c r="Q58" s="5">
        <v>56028.351029999998</v>
      </c>
      <c r="R58" s="5">
        <v>852471</v>
      </c>
      <c r="S58" s="5">
        <v>118954</v>
      </c>
      <c r="T58" s="5">
        <v>20783577.450970002</v>
      </c>
    </row>
    <row r="59" spans="1:20" s="19" customFormat="1" x14ac:dyDescent="0.2">
      <c r="A59" s="47" t="s">
        <v>60</v>
      </c>
      <c r="B59" s="5">
        <v>0</v>
      </c>
      <c r="C59" s="5">
        <v>9293</v>
      </c>
      <c r="D59" s="5"/>
      <c r="E59" s="5">
        <v>24605</v>
      </c>
      <c r="F59" s="5">
        <v>267388</v>
      </c>
      <c r="G59" s="5">
        <v>0</v>
      </c>
      <c r="H59" s="5">
        <v>2346371</v>
      </c>
      <c r="I59" s="5">
        <v>4889.3966300000002</v>
      </c>
      <c r="J59" s="5">
        <v>3330.2395499999998</v>
      </c>
      <c r="K59" s="5">
        <v>16716</v>
      </c>
      <c r="L59" s="5">
        <v>45660</v>
      </c>
      <c r="M59" s="5">
        <v>36674.620139999999</v>
      </c>
      <c r="N59" s="5">
        <v>28.374890000000001</v>
      </c>
      <c r="O59" s="5"/>
      <c r="P59" s="5">
        <v>1005106</v>
      </c>
      <c r="Q59" s="5">
        <v>2171.3989500000002</v>
      </c>
      <c r="R59" s="5">
        <v>135299</v>
      </c>
      <c r="S59" s="5">
        <v>35995</v>
      </c>
      <c r="T59" s="5">
        <v>3933527.0301599996</v>
      </c>
    </row>
    <row r="60" spans="1:20" s="19" customFormat="1" x14ac:dyDescent="0.2">
      <c r="A60" s="47" t="s">
        <v>59</v>
      </c>
      <c r="B60" s="5">
        <v>38.621029999999998</v>
      </c>
      <c r="C60" s="5">
        <v>5329</v>
      </c>
      <c r="D60" s="5"/>
      <c r="E60" s="5">
        <v>166330</v>
      </c>
      <c r="F60" s="5">
        <v>786969</v>
      </c>
      <c r="G60" s="5">
        <v>1827.54</v>
      </c>
      <c r="H60" s="5">
        <v>4873759</v>
      </c>
      <c r="I60" s="5">
        <v>1016.38253</v>
      </c>
      <c r="J60" s="5">
        <v>1218.0483000000002</v>
      </c>
      <c r="K60" s="5">
        <v>3267</v>
      </c>
      <c r="L60" s="5">
        <v>192639</v>
      </c>
      <c r="M60" s="5">
        <v>23627.77692</v>
      </c>
      <c r="N60" s="5">
        <v>17546.28455</v>
      </c>
      <c r="O60" s="5"/>
      <c r="P60" s="5">
        <v>9904486</v>
      </c>
      <c r="Q60" s="5">
        <v>53856.952079999995</v>
      </c>
      <c r="R60" s="5">
        <v>717172</v>
      </c>
      <c r="S60" s="5">
        <v>82959</v>
      </c>
      <c r="T60" s="5">
        <v>16832041.605410002</v>
      </c>
    </row>
    <row r="61" spans="1:20" s="19" customFormat="1" x14ac:dyDescent="0.2">
      <c r="A61" s="47" t="s">
        <v>51</v>
      </c>
      <c r="B61" s="5">
        <v>0</v>
      </c>
      <c r="C61" s="5">
        <v>0</v>
      </c>
      <c r="D61" s="5"/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-212.18460000000002</v>
      </c>
      <c r="K61" s="5">
        <v>0</v>
      </c>
      <c r="L61" s="5">
        <v>0</v>
      </c>
      <c r="M61" s="5">
        <v>0</v>
      </c>
      <c r="N61" s="5">
        <v>0</v>
      </c>
      <c r="O61" s="5"/>
      <c r="P61" s="5">
        <v>18221</v>
      </c>
      <c r="Q61" s="5">
        <v>0</v>
      </c>
      <c r="R61" s="5">
        <v>0</v>
      </c>
      <c r="S61" s="5">
        <v>0</v>
      </c>
      <c r="T61" s="5">
        <v>18008.815399999999</v>
      </c>
    </row>
    <row r="62" spans="1:20" s="25" customFormat="1" ht="15" x14ac:dyDescent="0.25">
      <c r="A62" s="50"/>
      <c r="B62" s="49"/>
      <c r="C62" s="49">
        <v>0</v>
      </c>
      <c r="D62" s="49"/>
      <c r="E62" s="49"/>
      <c r="F62" s="49"/>
      <c r="G62" s="46"/>
      <c r="H62" s="49"/>
      <c r="I62" s="49"/>
      <c r="J62" s="49"/>
      <c r="K62" s="46"/>
      <c r="L62" s="46">
        <v>0</v>
      </c>
      <c r="M62" s="44"/>
      <c r="N62" s="44"/>
      <c r="O62" s="44"/>
      <c r="P62" s="49"/>
      <c r="Q62" s="44"/>
      <c r="R62" s="49"/>
      <c r="S62" s="44"/>
      <c r="T62" s="38"/>
    </row>
    <row r="63" spans="1:20" s="13" customFormat="1" ht="15" x14ac:dyDescent="0.25">
      <c r="A63" s="48" t="s">
        <v>58</v>
      </c>
      <c r="B63" s="13">
        <v>2655.4978500000002</v>
      </c>
      <c r="C63" s="13">
        <v>116887.096863239</v>
      </c>
      <c r="E63" s="13">
        <v>591849</v>
      </c>
      <c r="F63" s="13">
        <v>1516203</v>
      </c>
      <c r="G63" s="13">
        <v>3349.19</v>
      </c>
      <c r="H63" s="13">
        <v>9525535</v>
      </c>
      <c r="I63" s="13">
        <v>10614.9578</v>
      </c>
      <c r="J63" s="13">
        <v>6153.5760899999996</v>
      </c>
      <c r="K63" s="13">
        <v>22744</v>
      </c>
      <c r="L63" s="13">
        <v>353263</v>
      </c>
      <c r="M63" s="13">
        <v>94362.925000000003</v>
      </c>
      <c r="N63" s="13">
        <v>22629.881000000001</v>
      </c>
      <c r="P63" s="13">
        <v>14155107</v>
      </c>
      <c r="Q63" s="13">
        <v>113829.43265</v>
      </c>
      <c r="R63" s="13">
        <v>1190572</v>
      </c>
      <c r="S63" s="13">
        <v>280555</v>
      </c>
      <c r="T63" s="13">
        <v>28006310.557253242</v>
      </c>
    </row>
    <row r="64" spans="1:20" s="19" customFormat="1" x14ac:dyDescent="0.2">
      <c r="A64" s="47" t="s">
        <v>57</v>
      </c>
      <c r="B64" s="5">
        <v>595.10060999999996</v>
      </c>
      <c r="C64" s="5">
        <v>114188.82260323899</v>
      </c>
      <c r="D64" s="5"/>
      <c r="E64" s="5">
        <v>457733</v>
      </c>
      <c r="F64" s="5">
        <v>687511</v>
      </c>
      <c r="G64" s="5">
        <v>5376.76</v>
      </c>
      <c r="H64" s="5">
        <v>2756511</v>
      </c>
      <c r="I64" s="5">
        <v>4492.2450799999997</v>
      </c>
      <c r="J64" s="5">
        <v>2704.4566299999997</v>
      </c>
      <c r="K64" s="5">
        <v>107517</v>
      </c>
      <c r="L64" s="5">
        <v>184526</v>
      </c>
      <c r="M64" s="5">
        <v>65501.91936</v>
      </c>
      <c r="N64" s="5">
        <v>12724.25726</v>
      </c>
      <c r="O64" s="5"/>
      <c r="P64" s="5">
        <v>4772806</v>
      </c>
      <c r="Q64" s="5">
        <v>26022.101309999998</v>
      </c>
      <c r="R64" s="5">
        <v>470951</v>
      </c>
      <c r="S64" s="5">
        <v>280699</v>
      </c>
      <c r="T64" s="5">
        <v>9949859.6628532372</v>
      </c>
    </row>
    <row r="65" spans="1:20" s="19" customFormat="1" x14ac:dyDescent="0.2">
      <c r="A65" s="47" t="s">
        <v>56</v>
      </c>
      <c r="B65" s="5">
        <v>0</v>
      </c>
      <c r="C65" s="5">
        <v>5513.19031</v>
      </c>
      <c r="D65" s="5"/>
      <c r="E65" s="5">
        <v>143618</v>
      </c>
      <c r="F65" s="5">
        <v>964462</v>
      </c>
      <c r="G65" s="5">
        <v>1521.84</v>
      </c>
      <c r="H65" s="5">
        <v>5268306</v>
      </c>
      <c r="I65" s="5">
        <v>5397.9769100000003</v>
      </c>
      <c r="J65" s="5">
        <v>9088.1572799999994</v>
      </c>
      <c r="K65" s="5">
        <v>79430</v>
      </c>
      <c r="L65" s="5">
        <v>50873</v>
      </c>
      <c r="M65" s="5">
        <v>0</v>
      </c>
      <c r="N65" s="5">
        <v>7272.7849000000006</v>
      </c>
      <c r="O65" s="5"/>
      <c r="P65" s="5">
        <v>8805105</v>
      </c>
      <c r="Q65" s="5">
        <v>79275.511780000001</v>
      </c>
      <c r="R65" s="5">
        <v>738327</v>
      </c>
      <c r="S65" s="5">
        <v>220046</v>
      </c>
      <c r="T65" s="5">
        <v>16378236.46118</v>
      </c>
    </row>
    <row r="66" spans="1:20" s="23" customFormat="1" ht="15" x14ac:dyDescent="0.25">
      <c r="A66" s="48" t="s">
        <v>55</v>
      </c>
      <c r="B66" s="13">
        <v>2060.3972399999998</v>
      </c>
      <c r="C66" s="13">
        <v>-2814.9160499999998</v>
      </c>
      <c r="D66" s="13"/>
      <c r="E66" s="13">
        <v>-9502</v>
      </c>
      <c r="F66" s="13">
        <v>-135770</v>
      </c>
      <c r="G66" s="13">
        <v>-3549.41</v>
      </c>
      <c r="H66" s="13">
        <v>1500718</v>
      </c>
      <c r="I66" s="13">
        <v>724.73581000000001</v>
      </c>
      <c r="J66" s="13">
        <v>-5639.0378200000005</v>
      </c>
      <c r="K66" s="13">
        <v>-164202</v>
      </c>
      <c r="L66" s="13">
        <v>117864</v>
      </c>
      <c r="M66" s="13">
        <v>16487.86536</v>
      </c>
      <c r="N66" s="13">
        <v>2632.8388399999999</v>
      </c>
      <c r="O66" s="13"/>
      <c r="P66" s="13">
        <v>577196</v>
      </c>
      <c r="Q66" s="13">
        <v>8531.8195599999999</v>
      </c>
      <c r="R66" s="13">
        <v>-18706</v>
      </c>
      <c r="S66" s="13">
        <v>-220190</v>
      </c>
      <c r="T66" s="13">
        <v>1665842.2929400001</v>
      </c>
    </row>
    <row r="67" spans="1:20" s="19" customFormat="1" x14ac:dyDescent="0.2">
      <c r="A67" s="47" t="s">
        <v>54</v>
      </c>
      <c r="B67" s="5">
        <v>1558.8030000000001</v>
      </c>
      <c r="C67" s="5">
        <v>0</v>
      </c>
      <c r="D67" s="5"/>
      <c r="E67" s="5">
        <v>726070</v>
      </c>
      <c r="F67" s="5">
        <v>260810</v>
      </c>
      <c r="G67" s="5">
        <v>545.74</v>
      </c>
      <c r="H67" s="5">
        <v>2294192</v>
      </c>
      <c r="I67" s="5">
        <v>14500</v>
      </c>
      <c r="J67" s="5">
        <v>7200</v>
      </c>
      <c r="K67" s="5">
        <v>49508</v>
      </c>
      <c r="L67" s="5">
        <v>20298</v>
      </c>
      <c r="M67" s="5">
        <v>15791.382</v>
      </c>
      <c r="N67" s="5">
        <v>1500</v>
      </c>
      <c r="O67" s="5"/>
      <c r="P67" s="5">
        <v>897122</v>
      </c>
      <c r="Q67" s="5">
        <v>6000</v>
      </c>
      <c r="R67" s="5">
        <v>84166</v>
      </c>
      <c r="S67" s="5">
        <v>220433</v>
      </c>
      <c r="T67" s="5">
        <v>4599694.9250000007</v>
      </c>
    </row>
    <row r="68" spans="1:20" s="19" customFormat="1" ht="15" x14ac:dyDescent="0.2">
      <c r="A68" s="47" t="s">
        <v>65</v>
      </c>
      <c r="B68" s="5">
        <v>493.53737000000001</v>
      </c>
      <c r="C68" s="5">
        <v>0</v>
      </c>
      <c r="D68" s="5"/>
      <c r="E68" s="5">
        <v>-734490</v>
      </c>
      <c r="F68" s="5">
        <v>-317930</v>
      </c>
      <c r="G68" s="5">
        <v>-4095.15</v>
      </c>
      <c r="H68" s="5">
        <v>-1744256</v>
      </c>
      <c r="I68" s="5">
        <v>-18641.164719999997</v>
      </c>
      <c r="J68" s="5">
        <v>-12839.03782</v>
      </c>
      <c r="K68" s="5">
        <v>-206340</v>
      </c>
      <c r="L68" s="5">
        <v>-63095</v>
      </c>
      <c r="M68" s="5">
        <v>-24815.651280000002</v>
      </c>
      <c r="N68" s="5">
        <v>1223.0518100000002</v>
      </c>
      <c r="O68" s="5"/>
      <c r="P68" s="5">
        <v>-7945</v>
      </c>
      <c r="Q68" s="5">
        <v>-4634.5669200000002</v>
      </c>
      <c r="R68" s="5">
        <v>-107648</v>
      </c>
      <c r="S68" s="5">
        <v>-418416</v>
      </c>
      <c r="T68" s="5">
        <v>-3663428.9815599998</v>
      </c>
    </row>
    <row r="69" spans="1:20" s="19" customFormat="1" x14ac:dyDescent="0.2">
      <c r="A69" s="47" t="s">
        <v>52</v>
      </c>
      <c r="B69" s="5">
        <v>0</v>
      </c>
      <c r="C69" s="5">
        <v>-9029.0980800000907</v>
      </c>
      <c r="D69" s="5"/>
      <c r="E69" s="5">
        <v>-96022</v>
      </c>
      <c r="F69" s="5">
        <v>-64584</v>
      </c>
      <c r="G69" s="5">
        <v>0</v>
      </c>
      <c r="H69" s="5">
        <v>0</v>
      </c>
      <c r="I69" s="5">
        <v>0</v>
      </c>
      <c r="J69" s="5">
        <v>0</v>
      </c>
      <c r="K69" s="5">
        <v>-7370</v>
      </c>
      <c r="L69" s="5">
        <v>-16430</v>
      </c>
      <c r="M69" s="5">
        <v>0</v>
      </c>
      <c r="N69" s="5">
        <v>-37.502919999999996</v>
      </c>
      <c r="O69" s="5"/>
      <c r="P69" s="5">
        <v>-883965</v>
      </c>
      <c r="Q69" s="5">
        <v>-7053.1249299999999</v>
      </c>
      <c r="R69" s="5">
        <v>-52688</v>
      </c>
      <c r="S69" s="5">
        <v>-22207</v>
      </c>
      <c r="T69" s="5">
        <v>-1159385.72593</v>
      </c>
    </row>
    <row r="70" spans="1:20" s="19" customFormat="1" x14ac:dyDescent="0.2">
      <c r="A70" s="47" t="s">
        <v>51</v>
      </c>
      <c r="B70" s="5">
        <v>8.05687</v>
      </c>
      <c r="C70" s="5">
        <v>0</v>
      </c>
      <c r="D70" s="5"/>
      <c r="E70" s="5">
        <v>94940</v>
      </c>
      <c r="F70" s="5">
        <v>-14066</v>
      </c>
      <c r="G70" s="5">
        <v>0</v>
      </c>
      <c r="H70" s="5">
        <v>950782</v>
      </c>
      <c r="I70" s="5">
        <v>4865.9005299999999</v>
      </c>
      <c r="J70" s="5">
        <v>0</v>
      </c>
      <c r="K70" s="5">
        <v>0</v>
      </c>
      <c r="L70" s="5">
        <v>177091</v>
      </c>
      <c r="M70" s="5">
        <v>26208.617999999999</v>
      </c>
      <c r="N70" s="5">
        <v>-52.710050000000003</v>
      </c>
      <c r="O70" s="5"/>
      <c r="P70" s="5">
        <v>571984</v>
      </c>
      <c r="Q70" s="5">
        <v>14219.511410000001</v>
      </c>
      <c r="R70" s="5">
        <v>57464</v>
      </c>
      <c r="S70" s="5">
        <v>0</v>
      </c>
      <c r="T70" s="5">
        <v>1883444.3767599999</v>
      </c>
    </row>
    <row r="71" spans="1:20" s="25" customFormat="1" ht="15" x14ac:dyDescent="0.25">
      <c r="A71" s="41"/>
      <c r="B71" s="40"/>
      <c r="C71" s="40"/>
      <c r="D71" s="44"/>
      <c r="E71" s="40"/>
      <c r="F71" s="44"/>
      <c r="G71" s="40"/>
      <c r="H71" s="44"/>
      <c r="I71" s="44"/>
      <c r="J71" s="44"/>
      <c r="K71" s="46"/>
      <c r="L71" s="40"/>
      <c r="M71" s="44"/>
      <c r="N71" s="44"/>
      <c r="O71" s="44"/>
      <c r="P71" s="44"/>
      <c r="Q71" s="44"/>
      <c r="R71" s="40"/>
      <c r="S71" s="44"/>
      <c r="T71" s="38"/>
    </row>
    <row r="72" spans="1:20" s="22" customFormat="1" ht="15" x14ac:dyDescent="0.25">
      <c r="A72" s="45" t="s">
        <v>50</v>
      </c>
      <c r="B72" s="22">
        <v>4.3973687407243629</v>
      </c>
      <c r="C72" s="22">
        <v>0.8955788713101086</v>
      </c>
      <c r="E72" s="22">
        <v>0.87586868327168899</v>
      </c>
      <c r="F72" s="22">
        <v>0.6717652517559719</v>
      </c>
      <c r="G72" s="22">
        <v>0.28300500673267914</v>
      </c>
      <c r="H72" s="22">
        <v>0.83634892079153689</v>
      </c>
      <c r="I72" s="22">
        <v>1.0482906778541121</v>
      </c>
      <c r="J72" s="22">
        <v>0.67202883560384563</v>
      </c>
      <c r="K72" s="22">
        <v>2.5679659960750393E-2</v>
      </c>
      <c r="L72" s="22">
        <v>0.62302331378775888</v>
      </c>
      <c r="M72" s="22">
        <v>0.51999282269581426</v>
      </c>
      <c r="N72" s="22">
        <v>0.39729010948965987</v>
      </c>
      <c r="P72" s="22">
        <v>0.67618377952089403</v>
      </c>
      <c r="Q72" s="22">
        <v>2.2212303661191148</v>
      </c>
      <c r="R72" s="22">
        <v>0.71791120519969165</v>
      </c>
      <c r="S72" s="22">
        <v>0.57570921164663924</v>
      </c>
      <c r="T72" s="22">
        <v>0.72591306320113835</v>
      </c>
    </row>
    <row r="73" spans="1:20" s="22" customFormat="1" ht="15" x14ac:dyDescent="0.25">
      <c r="A73" s="45" t="s">
        <v>49</v>
      </c>
      <c r="B73" s="22">
        <v>4.3973687407243629</v>
      </c>
      <c r="C73" s="22">
        <v>0.93196508687032042</v>
      </c>
      <c r="E73" s="22">
        <v>0.70760504264564295</v>
      </c>
      <c r="F73" s="22">
        <v>0.44143215415748321</v>
      </c>
      <c r="G73" s="22">
        <v>0.22057373959933899</v>
      </c>
      <c r="H73" s="22">
        <v>0.5796737794768404</v>
      </c>
      <c r="I73" s="22">
        <v>0.97051161032635236</v>
      </c>
      <c r="J73" s="22">
        <v>0.43652004799672101</v>
      </c>
      <c r="K73" s="22">
        <v>0.10418460847191985</v>
      </c>
      <c r="L73" s="22">
        <v>0.68234784344878274</v>
      </c>
      <c r="M73" s="22">
        <v>1.0798942805208205</v>
      </c>
      <c r="N73" s="22">
        <v>0.25421741922256363</v>
      </c>
      <c r="P73" s="22">
        <v>0.31171216249686717</v>
      </c>
      <c r="Q73" s="22">
        <v>0.56955213712907538</v>
      </c>
      <c r="R73" s="22">
        <v>0.39147325925056109</v>
      </c>
      <c r="S73" s="22">
        <v>0.39460403998042914</v>
      </c>
      <c r="T73" s="22">
        <v>0.42373972215406042</v>
      </c>
    </row>
    <row r="74" spans="1:20" s="22" customFormat="1" ht="15" x14ac:dyDescent="0.25">
      <c r="A74" s="45" t="s">
        <v>48</v>
      </c>
      <c r="B74" s="22">
        <v>2060.3972399999998</v>
      </c>
      <c r="C74" s="22">
        <v>-2814.9160499999998</v>
      </c>
      <c r="E74" s="22">
        <v>-9502</v>
      </c>
      <c r="F74" s="22">
        <v>-135770</v>
      </c>
      <c r="G74" s="22">
        <v>-3549.41</v>
      </c>
      <c r="H74" s="22">
        <v>1500718</v>
      </c>
      <c r="I74" s="22">
        <v>724.73581000000001</v>
      </c>
      <c r="J74" s="22">
        <v>-5639.0378200000005</v>
      </c>
      <c r="K74" s="22">
        <v>-164202</v>
      </c>
      <c r="L74" s="22">
        <v>117864</v>
      </c>
      <c r="M74" s="22">
        <v>16487.86536</v>
      </c>
      <c r="N74" s="22">
        <v>2632.8388399999999</v>
      </c>
      <c r="P74" s="22">
        <v>577196</v>
      </c>
      <c r="Q74" s="22">
        <v>8531.8195599999999</v>
      </c>
      <c r="R74" s="22">
        <v>-18706</v>
      </c>
      <c r="S74" s="22">
        <v>-220190</v>
      </c>
      <c r="T74" s="22">
        <v>1665842.2929400001</v>
      </c>
    </row>
    <row r="75" spans="1:20" s="22" customFormat="1" ht="15" x14ac:dyDescent="0.25">
      <c r="A75" s="45" t="s">
        <v>47</v>
      </c>
      <c r="B75" s="22">
        <v>0.22410133376684899</v>
      </c>
      <c r="C75" s="22">
        <v>1.0240823506232988</v>
      </c>
      <c r="E75" s="22">
        <v>1.0160547707269929</v>
      </c>
      <c r="F75" s="22">
        <v>1.0895460568274828</v>
      </c>
      <c r="G75" s="22">
        <v>2.0597816188391822</v>
      </c>
      <c r="H75" s="22">
        <v>0.84245315354990558</v>
      </c>
      <c r="I75" s="22">
        <v>0.93172504086638952</v>
      </c>
      <c r="J75" s="22">
        <v>1.9163838615994104</v>
      </c>
      <c r="K75" s="22">
        <v>8.219618360886388</v>
      </c>
      <c r="L75" s="22">
        <v>0.66635622751321255</v>
      </c>
      <c r="M75" s="22">
        <v>0.69414888697017396</v>
      </c>
      <c r="N75" s="22">
        <v>0.88365653182179793</v>
      </c>
      <c r="P75" s="22">
        <v>0.95922348026051663</v>
      </c>
      <c r="Q75" s="22">
        <v>0.92504733300188324</v>
      </c>
      <c r="R75" s="22">
        <v>1.0157117755163065</v>
      </c>
      <c r="S75" s="22">
        <v>1.7848371976974211</v>
      </c>
      <c r="T75" s="22">
        <v>0.94007727544871589</v>
      </c>
    </row>
    <row r="76" spans="1:20" s="22" customFormat="1" ht="15" x14ac:dyDescent="0.25">
      <c r="A76" s="45" t="s">
        <v>46</v>
      </c>
      <c r="B76" s="22">
        <v>1.2888280951104363</v>
      </c>
      <c r="C76" s="22">
        <v>-41.524185725978938</v>
      </c>
      <c r="E76" s="22">
        <v>-62.286781730162069</v>
      </c>
      <c r="F76" s="22">
        <v>-11.167437578257347</v>
      </c>
      <c r="G76" s="22">
        <v>-0.94359062492076151</v>
      </c>
      <c r="H76" s="22">
        <v>6.3473184169177683</v>
      </c>
      <c r="I76" s="22">
        <v>14.646658345749467</v>
      </c>
      <c r="J76" s="22">
        <v>-1.0912457561776026</v>
      </c>
      <c r="K76" s="22">
        <v>-0.13851232019098428</v>
      </c>
      <c r="L76" s="22">
        <v>2.9972086472544626</v>
      </c>
      <c r="M76" s="22">
        <v>5.7231741610971039</v>
      </c>
      <c r="N76" s="22">
        <v>8.5952397299031045</v>
      </c>
      <c r="P76" s="22">
        <v>24.523917352164602</v>
      </c>
      <c r="Q76" s="22">
        <v>13.341753403186132</v>
      </c>
      <c r="R76" s="22">
        <v>-63.64653052496525</v>
      </c>
      <c r="S76" s="22">
        <v>-1.2741495980743902</v>
      </c>
      <c r="T76" s="22">
        <v>16.81210200746294</v>
      </c>
    </row>
    <row r="77" spans="1:20" s="22" customFormat="1" ht="15" x14ac:dyDescent="0.25">
      <c r="A77" s="45" t="s">
        <v>45</v>
      </c>
      <c r="B77" s="22">
        <v>0.28882809511043611</v>
      </c>
      <c r="C77" s="22">
        <v>-42.524185725978938</v>
      </c>
      <c r="E77" s="22">
        <v>-63.286781730162069</v>
      </c>
      <c r="F77" s="22">
        <v>-12.167437578257347</v>
      </c>
      <c r="G77" s="22">
        <v>-1.9435906249207617</v>
      </c>
      <c r="H77" s="22">
        <v>5.3473184169177683</v>
      </c>
      <c r="I77" s="22">
        <v>13.646658345749467</v>
      </c>
      <c r="J77" s="22">
        <v>-2.0912457561776026</v>
      </c>
      <c r="K77" s="22">
        <v>-1.1385184102507886</v>
      </c>
      <c r="L77" s="22">
        <v>1.9972086472544628</v>
      </c>
      <c r="M77" s="22">
        <v>3.9727349738620137</v>
      </c>
      <c r="N77" s="22">
        <v>7.5952397299031036</v>
      </c>
      <c r="P77" s="22">
        <v>23.523917352164602</v>
      </c>
      <c r="Q77" s="22">
        <v>12.34175340318613</v>
      </c>
      <c r="R77" s="22">
        <v>-64.646530524965257</v>
      </c>
      <c r="S77" s="22">
        <v>-2.2741495980743904</v>
      </c>
      <c r="T77" s="22">
        <v>15.804675049741647</v>
      </c>
    </row>
    <row r="78" spans="1:20" s="22" customFormat="1" ht="15" x14ac:dyDescent="0.25">
      <c r="A78" s="45" t="s">
        <v>44</v>
      </c>
      <c r="B78" s="22">
        <v>0.37980461520148573</v>
      </c>
      <c r="C78" s="22" t="e">
        <v>#DIV/0!</v>
      </c>
      <c r="E78" s="22">
        <v>0.82822730590714388</v>
      </c>
      <c r="F78" s="22">
        <v>6.3340094321536755</v>
      </c>
      <c r="G78" s="22">
        <v>12.640817971928024</v>
      </c>
      <c r="H78" s="22">
        <v>2.4729988591588099</v>
      </c>
      <c r="I78" s="22">
        <v>0.68208427517241377</v>
      </c>
      <c r="J78" s="22">
        <v>1.6378630430555556</v>
      </c>
      <c r="K78" s="22">
        <v>3.7760967924375857</v>
      </c>
      <c r="L78" s="22">
        <v>1.1925639220017326</v>
      </c>
      <c r="M78" s="22">
        <v>4.1479535711313931</v>
      </c>
      <c r="N78" s="22">
        <v>13.33136144</v>
      </c>
      <c r="P78" s="22">
        <v>9.242294973950143</v>
      </c>
      <c r="Q78" s="22">
        <v>17.549602181666668</v>
      </c>
      <c r="R78" s="22">
        <v>8.5382899103297323</v>
      </c>
      <c r="S78" s="22">
        <v>2.2716426306406028</v>
      </c>
      <c r="T78" s="22">
        <v>4.0610103992190716</v>
      </c>
    </row>
    <row r="79" spans="1:20" s="25" customFormat="1" ht="15" x14ac:dyDescent="0.25">
      <c r="A79" s="41"/>
      <c r="B79" s="40"/>
      <c r="C79" s="40"/>
      <c r="D79" s="39"/>
      <c r="E79" s="40"/>
      <c r="F79" s="39"/>
      <c r="G79" s="40"/>
      <c r="H79" s="39"/>
      <c r="I79" s="39"/>
      <c r="J79" s="39"/>
      <c r="K79" s="40"/>
      <c r="L79" s="40"/>
      <c r="M79" s="39"/>
      <c r="N79" s="39"/>
      <c r="O79" s="39"/>
      <c r="P79" s="39"/>
      <c r="Q79" s="39"/>
      <c r="R79" s="40"/>
      <c r="S79" s="39"/>
      <c r="T79" s="38"/>
    </row>
    <row r="80" spans="1:20" s="25" customFormat="1" ht="15" x14ac:dyDescent="0.25">
      <c r="A80" s="70" t="s">
        <v>85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20"/>
      <c r="O80" s="69"/>
      <c r="P80" s="20"/>
      <c r="Q80" s="20"/>
      <c r="R80" s="20"/>
      <c r="S80" s="20"/>
      <c r="T80" s="20">
        <v>1000</v>
      </c>
    </row>
    <row r="81" spans="1:20" s="41" customFormat="1" ht="17.25" x14ac:dyDescent="0.25">
      <c r="A81" s="51" t="s">
        <v>43</v>
      </c>
      <c r="B81" s="51" t="s">
        <v>42</v>
      </c>
      <c r="C81" s="51" t="s">
        <v>41</v>
      </c>
      <c r="D81" s="51" t="s">
        <v>40</v>
      </c>
      <c r="E81" s="51" t="s">
        <v>39</v>
      </c>
      <c r="F81" s="51" t="s">
        <v>38</v>
      </c>
      <c r="G81" s="51" t="s">
        <v>36</v>
      </c>
      <c r="H81" s="51" t="s">
        <v>84</v>
      </c>
      <c r="I81" s="51" t="s">
        <v>33</v>
      </c>
      <c r="J81" s="51" t="s">
        <v>64</v>
      </c>
      <c r="K81" s="51" t="s">
        <v>83</v>
      </c>
      <c r="L81" s="51" t="s">
        <v>82</v>
      </c>
      <c r="M81" s="51" t="s">
        <v>29</v>
      </c>
      <c r="N81" s="51" t="s">
        <v>28</v>
      </c>
      <c r="O81" s="51" t="s">
        <v>27</v>
      </c>
      <c r="P81" s="51" t="s">
        <v>26</v>
      </c>
      <c r="Q81" s="51" t="s">
        <v>25</v>
      </c>
      <c r="R81" s="51" t="s">
        <v>24</v>
      </c>
      <c r="S81" s="51" t="s">
        <v>22</v>
      </c>
      <c r="T81" s="51" t="s">
        <v>25</v>
      </c>
    </row>
    <row r="82" spans="1:20" s="13" customFormat="1" ht="15" x14ac:dyDescent="0.25">
      <c r="A82" s="48" t="s">
        <v>63</v>
      </c>
      <c r="C82" s="13">
        <v>124827</v>
      </c>
      <c r="E82" s="13">
        <v>616726.65370999998</v>
      </c>
      <c r="F82" s="13">
        <v>1537582</v>
      </c>
      <c r="G82" s="13">
        <v>3328.47</v>
      </c>
      <c r="H82" s="13">
        <v>8510951</v>
      </c>
      <c r="J82" s="13">
        <v>6000.0164599999998</v>
      </c>
      <c r="K82" s="13">
        <v>21596</v>
      </c>
      <c r="L82" s="13">
        <v>337329.179</v>
      </c>
      <c r="M82" s="13">
        <v>105190.19733</v>
      </c>
      <c r="N82" s="13">
        <v>21346.06194</v>
      </c>
      <c r="O82" s="13">
        <v>2244.3406</v>
      </c>
      <c r="P82" s="13">
        <v>14112579</v>
      </c>
      <c r="Q82" s="13">
        <v>117683.56546</v>
      </c>
      <c r="R82" s="13">
        <v>1170173</v>
      </c>
      <c r="S82" s="13">
        <v>283105</v>
      </c>
      <c r="T82" s="13">
        <v>26968417.1439</v>
      </c>
    </row>
    <row r="83" spans="1:20" s="19" customFormat="1" x14ac:dyDescent="0.2">
      <c r="A83" s="47" t="s">
        <v>62</v>
      </c>
      <c r="B83" s="5"/>
      <c r="C83" s="5">
        <v>110475</v>
      </c>
      <c r="D83" s="5"/>
      <c r="E83" s="5">
        <v>411041.42183000001</v>
      </c>
      <c r="F83" s="5">
        <v>532345</v>
      </c>
      <c r="G83" s="5">
        <v>1504.04</v>
      </c>
      <c r="H83" s="5">
        <v>2244607</v>
      </c>
      <c r="I83" s="5"/>
      <c r="J83" s="5">
        <v>1788.15906</v>
      </c>
      <c r="K83" s="5">
        <v>43</v>
      </c>
      <c r="L83" s="5">
        <v>92710.478000000003</v>
      </c>
      <c r="M83" s="5">
        <v>40088.76339</v>
      </c>
      <c r="N83" s="5">
        <v>3615.5632000000001</v>
      </c>
      <c r="O83" s="5">
        <v>910.32533999999998</v>
      </c>
      <c r="P83" s="5">
        <v>3116756</v>
      </c>
      <c r="Q83" s="5">
        <v>62945.608770000006</v>
      </c>
      <c r="R83" s="5">
        <v>283614</v>
      </c>
      <c r="S83" s="5">
        <v>180448</v>
      </c>
      <c r="T83" s="5">
        <v>7082892</v>
      </c>
    </row>
    <row r="84" spans="1:20" s="19" customFormat="1" x14ac:dyDescent="0.2">
      <c r="A84" s="47" t="s">
        <v>61</v>
      </c>
      <c r="B84" s="5"/>
      <c r="C84" s="5">
        <v>14352</v>
      </c>
      <c r="D84" s="5"/>
      <c r="E84" s="5">
        <v>205685.23188000001</v>
      </c>
      <c r="F84" s="5">
        <v>1005237</v>
      </c>
      <c r="G84" s="5">
        <v>1824.43</v>
      </c>
      <c r="H84" s="5">
        <v>6266344</v>
      </c>
      <c r="I84" s="5"/>
      <c r="J84" s="5">
        <v>4211.8574000000008</v>
      </c>
      <c r="K84" s="5">
        <v>21553</v>
      </c>
      <c r="L84" s="5">
        <v>244618.701</v>
      </c>
      <c r="M84" s="5">
        <v>65101</v>
      </c>
      <c r="N84" s="5">
        <v>17730.498739999999</v>
      </c>
      <c r="O84" s="5">
        <v>1334.0152600000001</v>
      </c>
      <c r="P84" s="5">
        <v>10995823</v>
      </c>
      <c r="Q84" s="5">
        <v>54737.956689999999</v>
      </c>
      <c r="R84" s="5">
        <v>886559</v>
      </c>
      <c r="S84" s="5">
        <v>102657</v>
      </c>
      <c r="T84" s="5">
        <f>SUM(C84:S84)</f>
        <v>19887768.690969996</v>
      </c>
    </row>
    <row r="85" spans="1:20" s="19" customFormat="1" x14ac:dyDescent="0.2">
      <c r="A85" s="47" t="s">
        <v>60</v>
      </c>
      <c r="B85" s="5"/>
      <c r="C85" s="5">
        <v>0</v>
      </c>
      <c r="D85" s="5"/>
      <c r="E85" s="5">
        <v>26033.709500000001</v>
      </c>
      <c r="F85" s="5">
        <v>0</v>
      </c>
      <c r="G85" s="5">
        <v>0</v>
      </c>
      <c r="H85" s="5">
        <v>0</v>
      </c>
      <c r="I85" s="5"/>
      <c r="J85" s="5">
        <v>3291.8969999999999</v>
      </c>
      <c r="K85" s="5">
        <v>0</v>
      </c>
      <c r="L85" s="5">
        <v>51475.641000000003</v>
      </c>
      <c r="M85" s="5">
        <v>41890.187159999994</v>
      </c>
      <c r="N85" s="5">
        <v>36.764269999999996</v>
      </c>
      <c r="O85" s="5">
        <v>146.28366</v>
      </c>
      <c r="P85" s="5">
        <v>1185660</v>
      </c>
      <c r="Q85" s="5">
        <v>2345.2632699999999</v>
      </c>
      <c r="R85" s="5">
        <v>108555</v>
      </c>
      <c r="S85" s="5">
        <v>38641</v>
      </c>
      <c r="T85" s="5">
        <f t="shared" ref="T85:T87" si="42">SUM(C85:S85)</f>
        <v>1458075.7458599999</v>
      </c>
    </row>
    <row r="86" spans="1:20" s="19" customFormat="1" x14ac:dyDescent="0.2">
      <c r="A86" s="47" t="s">
        <v>59</v>
      </c>
      <c r="B86" s="5"/>
      <c r="C86" s="5">
        <v>5374</v>
      </c>
      <c r="D86" s="5"/>
      <c r="E86" s="5">
        <v>179651.52238000001</v>
      </c>
      <c r="F86" s="5">
        <v>782304</v>
      </c>
      <c r="G86" s="5">
        <v>1824.43</v>
      </c>
      <c r="H86" s="5">
        <v>4789128</v>
      </c>
      <c r="I86" s="5"/>
      <c r="J86" s="5">
        <v>1165.46117</v>
      </c>
      <c r="K86" s="5">
        <v>3218</v>
      </c>
      <c r="L86" s="5">
        <v>193143.06</v>
      </c>
      <c r="M86" s="5">
        <v>23211.246780000001</v>
      </c>
      <c r="N86" s="5">
        <v>17693.734469999999</v>
      </c>
      <c r="O86" s="5">
        <v>1403.8420599999999</v>
      </c>
      <c r="P86" s="5">
        <v>9807802</v>
      </c>
      <c r="Q86" s="5">
        <v>52392.693420000003</v>
      </c>
      <c r="R86" s="5">
        <v>778004</v>
      </c>
      <c r="S86" s="5">
        <v>64016</v>
      </c>
      <c r="T86" s="5">
        <f t="shared" si="42"/>
        <v>16700331.990279999</v>
      </c>
    </row>
    <row r="87" spans="1:20" s="19" customFormat="1" x14ac:dyDescent="0.2">
      <c r="A87" s="47" t="s">
        <v>51</v>
      </c>
      <c r="B87" s="5"/>
      <c r="C87" s="5">
        <v>8979</v>
      </c>
      <c r="D87" s="5"/>
      <c r="E87" s="5">
        <v>0</v>
      </c>
      <c r="F87" s="5">
        <v>222933</v>
      </c>
      <c r="G87" s="5">
        <v>0</v>
      </c>
      <c r="H87" s="5">
        <v>1477216</v>
      </c>
      <c r="I87" s="5"/>
      <c r="J87" s="5">
        <v>-245.50076999999999</v>
      </c>
      <c r="K87" s="5">
        <v>18335</v>
      </c>
      <c r="L87" s="5">
        <v>0</v>
      </c>
      <c r="M87" s="5">
        <v>0</v>
      </c>
      <c r="N87" s="5">
        <v>0</v>
      </c>
      <c r="O87" s="5">
        <v>-216.11045999999999</v>
      </c>
      <c r="P87" s="5">
        <v>2361</v>
      </c>
      <c r="Q87" s="5">
        <v>0</v>
      </c>
      <c r="R87" s="5"/>
      <c r="S87" s="5">
        <v>0</v>
      </c>
      <c r="T87" s="5">
        <f t="shared" si="42"/>
        <v>1729362.3887699998</v>
      </c>
    </row>
    <row r="88" spans="1:20" s="25" customFormat="1" ht="15" x14ac:dyDescent="0.25">
      <c r="A88" s="50"/>
      <c r="B88" s="49"/>
      <c r="C88" s="49"/>
      <c r="D88" s="49"/>
      <c r="E88" s="49"/>
      <c r="F88" s="49"/>
      <c r="G88" s="46"/>
      <c r="H88" s="49"/>
      <c r="I88" s="49"/>
      <c r="J88" s="49"/>
      <c r="K88" s="46"/>
      <c r="L88" s="46"/>
      <c r="M88" s="44"/>
      <c r="N88" s="44"/>
      <c r="O88" s="44"/>
      <c r="P88" s="44"/>
      <c r="Q88" s="44"/>
      <c r="R88" s="49"/>
      <c r="S88" s="44"/>
      <c r="T88" s="38"/>
    </row>
    <row r="89" spans="1:20" s="13" customFormat="1" ht="15" x14ac:dyDescent="0.25">
      <c r="A89" s="48" t="s">
        <v>58</v>
      </c>
      <c r="C89" s="13">
        <v>124827</v>
      </c>
      <c r="E89" s="13">
        <v>616727</v>
      </c>
      <c r="F89" s="13">
        <v>1537582</v>
      </c>
      <c r="G89" s="13">
        <v>3328.47</v>
      </c>
      <c r="H89" s="13">
        <v>8510951</v>
      </c>
      <c r="J89" s="13">
        <v>6000.0164599999998</v>
      </c>
      <c r="K89" s="13">
        <v>21596</v>
      </c>
      <c r="L89" s="13">
        <v>337329.179</v>
      </c>
      <c r="M89" s="13">
        <v>110205.21096</v>
      </c>
      <c r="N89" s="13">
        <v>21346.06194</v>
      </c>
      <c r="O89" s="13">
        <v>2244.3405999999986</v>
      </c>
      <c r="P89" s="13">
        <v>14112579</v>
      </c>
      <c r="Q89" s="13">
        <v>117683.56546</v>
      </c>
      <c r="R89" s="13">
        <v>1170173</v>
      </c>
      <c r="S89" s="13">
        <v>283105</v>
      </c>
      <c r="T89" s="13">
        <f>SUM(C89:S89)</f>
        <v>26975676.844420001</v>
      </c>
    </row>
    <row r="90" spans="1:20" s="19" customFormat="1" x14ac:dyDescent="0.2">
      <c r="A90" s="47" t="s">
        <v>57</v>
      </c>
      <c r="B90" s="5"/>
      <c r="C90" s="5">
        <v>136076</v>
      </c>
      <c r="D90" s="5"/>
      <c r="E90" s="5">
        <v>481162</v>
      </c>
      <c r="F90" s="5">
        <v>824832</v>
      </c>
      <c r="G90" s="5">
        <v>5370.32</v>
      </c>
      <c r="H90" s="5">
        <v>2834984</v>
      </c>
      <c r="I90" s="5"/>
      <c r="J90" s="5">
        <v>2738.66725</v>
      </c>
      <c r="K90" s="5">
        <v>104666</v>
      </c>
      <c r="L90" s="5">
        <v>178607.49600000001</v>
      </c>
      <c r="M90" s="5">
        <v>76691.723799999992</v>
      </c>
      <c r="N90" s="5">
        <v>13072.95724</v>
      </c>
      <c r="O90" s="5">
        <v>2619.82861</v>
      </c>
      <c r="P90" s="5">
        <v>4778771</v>
      </c>
      <c r="Q90" s="5">
        <v>29766.597969999999</v>
      </c>
      <c r="R90" s="5">
        <v>731232</v>
      </c>
      <c r="S90" s="5">
        <v>319660</v>
      </c>
      <c r="T90" s="5">
        <f t="shared" ref="T90:T96" si="43">SUM(C90:S90)</f>
        <v>10520250.59087</v>
      </c>
    </row>
    <row r="91" spans="1:20" s="19" customFormat="1" x14ac:dyDescent="0.2">
      <c r="A91" s="47" t="s">
        <v>56</v>
      </c>
      <c r="B91" s="5"/>
      <c r="C91" s="5">
        <v>5724</v>
      </c>
      <c r="D91" s="5"/>
      <c r="E91" s="5">
        <v>164574</v>
      </c>
      <c r="F91" s="5">
        <v>949689</v>
      </c>
      <c r="G91" s="5">
        <v>1520.63</v>
      </c>
      <c r="H91" s="5">
        <v>4466310</v>
      </c>
      <c r="I91" s="5"/>
      <c r="J91" s="5">
        <v>9809.2684399999998</v>
      </c>
      <c r="K91" s="5">
        <v>78876</v>
      </c>
      <c r="L91" s="5">
        <v>48957.885999999999</v>
      </c>
      <c r="M91" s="5">
        <v>17228.8573</v>
      </c>
      <c r="N91" s="5">
        <v>4744.1840999999995</v>
      </c>
      <c r="O91" s="5">
        <v>3254.7096299999998</v>
      </c>
      <c r="P91" s="5">
        <v>8889309</v>
      </c>
      <c r="Q91" s="5">
        <v>77652.88801000001</v>
      </c>
      <c r="R91" s="5">
        <v>722974</v>
      </c>
      <c r="S91" s="5">
        <v>214372</v>
      </c>
      <c r="T91" s="5">
        <f t="shared" si="43"/>
        <v>15654996.423480002</v>
      </c>
    </row>
    <row r="92" spans="1:20" s="23" customFormat="1" ht="15" x14ac:dyDescent="0.25">
      <c r="A92" s="48" t="s">
        <v>55</v>
      </c>
      <c r="B92" s="13"/>
      <c r="C92" s="13">
        <v>-16974</v>
      </c>
      <c r="D92" s="13"/>
      <c r="E92" s="13">
        <v>-29009</v>
      </c>
      <c r="F92" s="13">
        <v>-236939</v>
      </c>
      <c r="G92" s="13">
        <v>-3562.48</v>
      </c>
      <c r="H92" s="13">
        <v>1209657</v>
      </c>
      <c r="I92" s="13"/>
      <c r="J92" s="13">
        <v>-6547.9192300000004</v>
      </c>
      <c r="K92" s="13">
        <v>-161946</v>
      </c>
      <c r="L92" s="13">
        <v>109763.79700000001</v>
      </c>
      <c r="M92" s="13">
        <v>16284.629859999999</v>
      </c>
      <c r="N92" s="13">
        <v>3528.9205999999999</v>
      </c>
      <c r="O92" s="13">
        <v>-3630.1976400000012</v>
      </c>
      <c r="P92" s="13">
        <v>444499</v>
      </c>
      <c r="Q92" s="13">
        <v>10264.07948</v>
      </c>
      <c r="R92" s="13">
        <v>-284033</v>
      </c>
      <c r="S92" s="13">
        <v>-250927</v>
      </c>
      <c r="T92" s="13">
        <f t="shared" si="43"/>
        <v>800428.83006999991</v>
      </c>
    </row>
    <row r="93" spans="1:20" s="19" customFormat="1" x14ac:dyDescent="0.2">
      <c r="A93" s="47" t="s">
        <v>54</v>
      </c>
      <c r="B93" s="5"/>
      <c r="C93" s="5">
        <v>0</v>
      </c>
      <c r="D93" s="5"/>
      <c r="E93" s="5">
        <v>726070</v>
      </c>
      <c r="F93" s="5">
        <v>260810</v>
      </c>
      <c r="G93" s="5">
        <v>545.74</v>
      </c>
      <c r="H93" s="5">
        <v>2294192</v>
      </c>
      <c r="I93" s="5"/>
      <c r="J93" s="5">
        <v>7200</v>
      </c>
      <c r="K93" s="5">
        <v>49508</v>
      </c>
      <c r="L93" s="5">
        <v>20298</v>
      </c>
      <c r="M93" s="5">
        <v>15791.382</v>
      </c>
      <c r="N93" s="5">
        <v>1500</v>
      </c>
      <c r="O93" s="5">
        <v>2200</v>
      </c>
      <c r="P93" s="5">
        <v>897122</v>
      </c>
      <c r="Q93" s="5">
        <v>6000</v>
      </c>
      <c r="R93" s="5">
        <v>84166</v>
      </c>
      <c r="S93" s="5">
        <v>220432</v>
      </c>
      <c r="T93" s="5">
        <f t="shared" si="43"/>
        <v>4585835.1220000004</v>
      </c>
    </row>
    <row r="94" spans="1:20" s="19" customFormat="1" ht="15" x14ac:dyDescent="0.2">
      <c r="A94" s="47" t="s">
        <v>65</v>
      </c>
      <c r="B94" s="5"/>
      <c r="C94" s="5">
        <v>0</v>
      </c>
      <c r="D94" s="5"/>
      <c r="E94" s="5">
        <v>-734647</v>
      </c>
      <c r="F94" s="5">
        <v>-480443</v>
      </c>
      <c r="G94" s="5">
        <v>-4108.22</v>
      </c>
      <c r="H94" s="5">
        <v>-2029952</v>
      </c>
      <c r="I94" s="5"/>
      <c r="J94" s="5">
        <v>-13747.919230000001</v>
      </c>
      <c r="K94" s="5">
        <v>-211454</v>
      </c>
      <c r="L94" s="5">
        <v>-84972.61</v>
      </c>
      <c r="M94" s="5">
        <v>-25018.886780000001</v>
      </c>
      <c r="N94" s="5">
        <v>1223.0518100000002</v>
      </c>
      <c r="O94" s="5">
        <v>-9305.276460000001</v>
      </c>
      <c r="P94" s="5">
        <v>-884539</v>
      </c>
      <c r="Q94" s="5">
        <v>-4634.5669200000002</v>
      </c>
      <c r="R94" s="5">
        <v>-452139</v>
      </c>
      <c r="S94" s="5">
        <v>-471359</v>
      </c>
      <c r="T94" s="5">
        <f t="shared" si="43"/>
        <v>-5405097.4275799999</v>
      </c>
    </row>
    <row r="95" spans="1:20" s="19" customFormat="1" x14ac:dyDescent="0.2">
      <c r="A95" s="47" t="s">
        <v>52</v>
      </c>
      <c r="B95" s="5"/>
      <c r="C95" s="5">
        <v>-23319</v>
      </c>
      <c r="D95" s="5"/>
      <c r="E95" s="5">
        <v>-115372</v>
      </c>
      <c r="F95" s="5">
        <v>0</v>
      </c>
      <c r="G95" s="5">
        <v>0</v>
      </c>
      <c r="H95" s="5">
        <v>0</v>
      </c>
      <c r="I95" s="5"/>
      <c r="J95" s="5">
        <v>0</v>
      </c>
      <c r="K95" s="5">
        <v>0</v>
      </c>
      <c r="L95" s="5">
        <v>-3652.2089999999998</v>
      </c>
      <c r="M95" s="5"/>
      <c r="N95" s="5">
        <v>858.57884000000001</v>
      </c>
      <c r="O95" s="5">
        <v>0</v>
      </c>
      <c r="P95" s="5">
        <v>-135919</v>
      </c>
      <c r="Q95" s="5">
        <v>-4863.5823600000003</v>
      </c>
      <c r="R95" s="5"/>
      <c r="S95" s="5">
        <v>0</v>
      </c>
      <c r="T95" s="5">
        <f t="shared" si="43"/>
        <v>-282267.21252</v>
      </c>
    </row>
    <row r="96" spans="1:20" s="19" customFormat="1" x14ac:dyDescent="0.2">
      <c r="A96" s="47" t="s">
        <v>51</v>
      </c>
      <c r="B96" s="5"/>
      <c r="C96" s="5">
        <v>0</v>
      </c>
      <c r="D96" s="5"/>
      <c r="E96" s="5">
        <v>94940</v>
      </c>
      <c r="F96" s="5">
        <v>-17306</v>
      </c>
      <c r="G96" s="5">
        <v>0</v>
      </c>
      <c r="H96" s="5">
        <v>945416</v>
      </c>
      <c r="I96" s="5"/>
      <c r="J96" s="5">
        <v>0</v>
      </c>
      <c r="K96" s="5">
        <v>0</v>
      </c>
      <c r="L96" s="5">
        <v>178090.61600000001</v>
      </c>
      <c r="M96" s="5">
        <v>26208.617999999999</v>
      </c>
      <c r="N96" s="5">
        <v>-52.710050000000003</v>
      </c>
      <c r="O96" s="5">
        <v>3475.0788199999997</v>
      </c>
      <c r="P96" s="5">
        <v>567835</v>
      </c>
      <c r="Q96" s="5">
        <v>13762.22876</v>
      </c>
      <c r="R96" s="5">
        <v>83940</v>
      </c>
      <c r="S96" s="5">
        <v>0</v>
      </c>
      <c r="T96" s="5">
        <f t="shared" si="43"/>
        <v>1896308.8315299999</v>
      </c>
    </row>
    <row r="97" spans="1:20" s="25" customFormat="1" ht="15" x14ac:dyDescent="0.25">
      <c r="A97" s="41"/>
      <c r="B97" s="40"/>
      <c r="C97" s="40"/>
      <c r="D97" s="44"/>
      <c r="E97" s="40"/>
      <c r="F97" s="44"/>
      <c r="G97" s="40"/>
      <c r="H97" s="44"/>
      <c r="I97" s="44"/>
      <c r="J97" s="44"/>
      <c r="K97" s="46"/>
      <c r="L97" s="40"/>
      <c r="M97" s="44"/>
      <c r="N97" s="44"/>
      <c r="O97" s="44"/>
      <c r="P97" s="44"/>
      <c r="Q97" s="44"/>
      <c r="R97" s="40"/>
      <c r="S97" s="44"/>
      <c r="T97" s="38"/>
    </row>
    <row r="98" spans="1:20" s="22" customFormat="1" ht="15" x14ac:dyDescent="0.25">
      <c r="A98" s="45" t="s">
        <v>50</v>
      </c>
      <c r="C98" s="22">
        <v>0.81186248860930654</v>
      </c>
      <c r="E98" s="22">
        <v>0.85426825441327459</v>
      </c>
      <c r="F98" s="22">
        <v>0.64539809318746122</v>
      </c>
      <c r="G98" s="22">
        <v>0.28006524750852835</v>
      </c>
      <c r="H98" s="22">
        <v>0.79175296932892747</v>
      </c>
      <c r="J98" s="22">
        <v>0.65293038429549988</v>
      </c>
      <c r="K98" s="22">
        <v>4.1083064223339E-4</v>
      </c>
      <c r="L98" s="22">
        <v>0.51907383551248032</v>
      </c>
      <c r="M98" s="22">
        <v>0.52272607008476191</v>
      </c>
      <c r="N98" s="22">
        <v>0.27656811948694177</v>
      </c>
      <c r="O98" s="22">
        <v>0.34747515029236969</v>
      </c>
      <c r="P98" s="22">
        <v>0.65220869549932403</v>
      </c>
      <c r="Q98" s="22">
        <v>2.1146389934596885</v>
      </c>
      <c r="R98" s="22">
        <v>0.38785775239595643</v>
      </c>
      <c r="S98" s="22">
        <v>0.56449978101733089</v>
      </c>
      <c r="T98" s="22">
        <v>0.6733438541750294</v>
      </c>
    </row>
    <row r="99" spans="1:20" s="22" customFormat="1" ht="15" x14ac:dyDescent="0.25">
      <c r="A99" s="45" t="s">
        <v>49</v>
      </c>
      <c r="C99" s="22">
        <v>0.77909026798307479</v>
      </c>
      <c r="E99" s="22">
        <v>0.67686350355253544</v>
      </c>
      <c r="F99" s="22">
        <v>0.29999363208437657</v>
      </c>
      <c r="G99" s="22">
        <v>0.21826308419013343</v>
      </c>
      <c r="H99" s="22">
        <v>0.30742591655670898</v>
      </c>
      <c r="J99" s="22">
        <v>0.4048519362470529</v>
      </c>
      <c r="K99" s="22">
        <v>2.3427880267186803E-4</v>
      </c>
      <c r="L99" s="22">
        <v>0.63360304512397236</v>
      </c>
      <c r="M99" s="22">
        <v>0.87285395373261798</v>
      </c>
      <c r="N99" s="22">
        <v>0.20498953228823635</v>
      </c>
      <c r="O99" s="22">
        <v>0.17986247715701309</v>
      </c>
      <c r="P99" s="22">
        <v>0.31477837413886955</v>
      </c>
      <c r="Q99" s="22">
        <v>0.60781218085661148</v>
      </c>
      <c r="R99" s="22">
        <v>0.26967912386553211</v>
      </c>
      <c r="S99" s="22">
        <v>0.41025444168139735</v>
      </c>
      <c r="T99" s="22">
        <v>0.32633229949423043</v>
      </c>
    </row>
    <row r="100" spans="1:20" s="22" customFormat="1" ht="15" x14ac:dyDescent="0.25">
      <c r="A100" s="45" t="s">
        <v>48</v>
      </c>
      <c r="C100" s="22">
        <v>-16974</v>
      </c>
      <c r="E100" s="22">
        <v>-29009</v>
      </c>
      <c r="F100" s="22">
        <v>-236939</v>
      </c>
      <c r="G100" s="22">
        <v>-3562.48</v>
      </c>
      <c r="H100" s="22">
        <v>1209657</v>
      </c>
      <c r="J100" s="22">
        <v>-6547.9192300000004</v>
      </c>
      <c r="K100" s="22">
        <v>-161946</v>
      </c>
      <c r="L100" s="22">
        <v>109763.79700000001</v>
      </c>
      <c r="M100" s="22">
        <v>16284.629859999999</v>
      </c>
      <c r="N100" s="22">
        <v>3528.9205999999999</v>
      </c>
      <c r="O100" s="22">
        <v>-3630.1976400000012</v>
      </c>
      <c r="P100" s="22">
        <v>444499</v>
      </c>
      <c r="Q100" s="22">
        <v>10264.07948</v>
      </c>
      <c r="R100" s="22">
        <v>-284033</v>
      </c>
      <c r="S100" s="22">
        <v>-250927</v>
      </c>
      <c r="T100" s="22">
        <v>804059.02771000005</v>
      </c>
    </row>
    <row r="101" spans="1:20" s="22" customFormat="1" ht="15" x14ac:dyDescent="0.25">
      <c r="A101" s="45" t="s">
        <v>47</v>
      </c>
      <c r="C101" s="22">
        <v>1.1359721855047387</v>
      </c>
      <c r="E101" s="22">
        <v>1.0470376075291874</v>
      </c>
      <c r="F101" s="22">
        <v>1.154098448082769</v>
      </c>
      <c r="G101" s="22">
        <v>2.0703055758351434</v>
      </c>
      <c r="H101" s="22">
        <v>0.85787052469224645</v>
      </c>
      <c r="J101" s="22">
        <v>2.0913168778206987</v>
      </c>
      <c r="K101" s="22">
        <v>8.4988886830894614</v>
      </c>
      <c r="L101" s="22">
        <v>0.67460924274208722</v>
      </c>
      <c r="M101" s="22">
        <v>0.89286438740441521</v>
      </c>
      <c r="N101" s="22">
        <v>0.83468048533171257</v>
      </c>
      <c r="O101" s="22">
        <v>2.61748962702007</v>
      </c>
      <c r="P101" s="22">
        <v>0.9685033472620419</v>
      </c>
      <c r="Q101" s="22">
        <v>0.91278238860388128</v>
      </c>
      <c r="R101" s="22">
        <v>1.2427273574078364</v>
      </c>
      <c r="S101" s="22">
        <v>1.8863389908337895</v>
      </c>
      <c r="T101" s="22">
        <v>0.97037109506552055</v>
      </c>
    </row>
    <row r="102" spans="1:20" s="22" customFormat="1" ht="15" x14ac:dyDescent="0.25">
      <c r="A102" s="45" t="s">
        <v>46</v>
      </c>
      <c r="C102" s="22">
        <v>-7.3540120183810531</v>
      </c>
      <c r="E102" s="22">
        <v>-21.25983845392809</v>
      </c>
      <c r="F102" s="22">
        <v>-6.4893580204187575</v>
      </c>
      <c r="G102" s="22">
        <v>-0.93431261368484875</v>
      </c>
      <c r="H102" s="22">
        <v>7.0358382582831336</v>
      </c>
      <c r="J102" s="22">
        <v>-0.91632414042468258</v>
      </c>
      <c r="K102" s="22">
        <v>-0.13335309300631074</v>
      </c>
      <c r="L102" s="22">
        <v>3.0732280425758227</v>
      </c>
      <c r="M102" s="22">
        <v>6.4594773252033866</v>
      </c>
      <c r="N102" s="22">
        <v>6.0488926670665242</v>
      </c>
      <c r="O102" s="22">
        <v>-0.61824198640600714</v>
      </c>
      <c r="P102" s="22">
        <v>31.74940551047359</v>
      </c>
      <c r="Q102" s="22">
        <v>11.465574257225061</v>
      </c>
      <c r="R102" s="22">
        <v>-4.1198487499691936</v>
      </c>
      <c r="S102" s="22">
        <v>-1.1282364990614799</v>
      </c>
      <c r="T102" s="22">
        <v>33.540344942966918</v>
      </c>
    </row>
    <row r="103" spans="1:20" s="22" customFormat="1" ht="15" x14ac:dyDescent="0.25">
      <c r="A103" s="45" t="s">
        <v>45</v>
      </c>
      <c r="C103" s="22">
        <v>-8.3539531047484381</v>
      </c>
      <c r="E103" s="22">
        <v>-22.259850391257885</v>
      </c>
      <c r="F103" s="22">
        <v>-7.4893580204187575</v>
      </c>
      <c r="G103" s="22">
        <v>-1.9343126136848487</v>
      </c>
      <c r="H103" s="22">
        <v>6.0358382582831336</v>
      </c>
      <c r="J103" s="22">
        <v>-1.9163241404246827</v>
      </c>
      <c r="K103" s="22">
        <v>-1.1333530930063107</v>
      </c>
      <c r="L103" s="22">
        <v>2.0732280425758232</v>
      </c>
      <c r="M103" s="22">
        <v>5.7674372649204324</v>
      </c>
      <c r="N103" s="22">
        <v>5.0488926670665242</v>
      </c>
      <c r="O103" s="22">
        <v>-1.6182419864060067</v>
      </c>
      <c r="P103" s="22">
        <v>30.74940551047359</v>
      </c>
      <c r="Q103" s="22">
        <v>10.465574257225063</v>
      </c>
      <c r="R103" s="22">
        <v>-5.1198487499691936</v>
      </c>
      <c r="S103" s="22">
        <v>-2.1282364990614799</v>
      </c>
      <c r="T103" s="22">
        <v>32.546581251182104</v>
      </c>
    </row>
    <row r="104" spans="1:20" s="22" customFormat="1" ht="15" x14ac:dyDescent="0.25">
      <c r="A104" s="45" t="s">
        <v>44</v>
      </c>
      <c r="C104" s="22" t="e">
        <v>#DIV/0!</v>
      </c>
      <c r="E104" s="22">
        <v>0.88935777542110261</v>
      </c>
      <c r="F104" s="22">
        <v>7.2874408633944414</v>
      </c>
      <c r="G104" s="22">
        <v>12.626800307838897</v>
      </c>
      <c r="H104" s="22">
        <v>2.2537584794209669</v>
      </c>
      <c r="J104" s="22">
        <v>1.7427688458333335</v>
      </c>
      <c r="K104" s="22">
        <v>3.7073200290862083</v>
      </c>
      <c r="L104" s="22">
        <v>1.1470687511626172</v>
      </c>
      <c r="M104" s="22">
        <v>5.9475846445865219</v>
      </c>
      <c r="N104" s="22">
        <v>11.878094226666665</v>
      </c>
      <c r="O104" s="22">
        <v>-1.6182419864060067</v>
      </c>
      <c r="P104" s="22">
        <v>9.3300212907273039</v>
      </c>
      <c r="Q104" s="22">
        <v>17.903247663333335</v>
      </c>
      <c r="R104" s="22">
        <v>8.6505300227237569</v>
      </c>
      <c r="S104" s="22">
        <v>2.4226609566669084</v>
      </c>
      <c r="T104" s="22">
        <v>4.0406852842756535</v>
      </c>
    </row>
    <row r="105" spans="1:20" s="25" customFormat="1" ht="15" x14ac:dyDescent="0.25">
      <c r="A105" s="52"/>
      <c r="B105" s="42"/>
      <c r="C105" s="42"/>
      <c r="D105" s="42"/>
      <c r="E105" s="42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4"/>
      <c r="Q105" s="42"/>
      <c r="R105" s="42"/>
      <c r="S105" s="42"/>
      <c r="T105" s="36"/>
    </row>
    <row r="106" spans="1:20" s="25" customFormat="1" ht="15" x14ac:dyDescent="0.25">
      <c r="A106" s="52"/>
      <c r="B106" s="42"/>
      <c r="C106" s="42"/>
      <c r="D106" s="42"/>
      <c r="E106" s="42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4"/>
      <c r="Q106" s="42"/>
      <c r="R106" s="42"/>
      <c r="S106" s="42"/>
      <c r="T106" s="36"/>
    </row>
  </sheetData>
  <mergeCells count="4">
    <mergeCell ref="A1:M1"/>
    <mergeCell ref="A27:M27"/>
    <mergeCell ref="A54:M54"/>
    <mergeCell ref="A80:M8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DRE 2012</vt:lpstr>
      <vt:lpstr>BP 2012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Jose Humberto Borges Junior</cp:lastModifiedBy>
  <dcterms:created xsi:type="dcterms:W3CDTF">2015-07-20T21:36:12Z</dcterms:created>
  <dcterms:modified xsi:type="dcterms:W3CDTF">2015-09-28T18:29:04Z</dcterms:modified>
</cp:coreProperties>
</file>