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borges\Desktop\mundaça do site da anac\demonstrações revisadas\09\"/>
    </mc:Choice>
  </mc:AlternateContent>
  <bookViews>
    <workbookView xWindow="0" yWindow="0" windowWidth="24000" windowHeight="9135"/>
  </bookViews>
  <sheets>
    <sheet name="DRE 2009" sheetId="2" r:id="rId1"/>
    <sheet name="BP 200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3" l="1"/>
  <c r="Q24" i="3"/>
  <c r="Q23" i="3"/>
  <c r="Q22" i="3"/>
  <c r="Q21" i="3"/>
  <c r="Q20" i="3"/>
  <c r="Q19" i="3"/>
  <c r="P19" i="3"/>
  <c r="P20" i="3"/>
  <c r="P21" i="3"/>
  <c r="P22" i="3"/>
  <c r="P23" i="3"/>
  <c r="P24" i="3"/>
  <c r="P25" i="3"/>
  <c r="G3" i="3" l="1"/>
  <c r="H3" i="3"/>
  <c r="I3" i="3"/>
  <c r="O3" i="3"/>
  <c r="G4" i="3"/>
  <c r="H4" i="3"/>
  <c r="I4" i="3"/>
  <c r="O4" i="3"/>
  <c r="G5" i="3"/>
  <c r="I5" i="3"/>
  <c r="O5" i="3"/>
  <c r="B6" i="3"/>
  <c r="B5" i="3" s="1"/>
  <c r="H6" i="3"/>
  <c r="I6" i="3"/>
  <c r="L6" i="3"/>
  <c r="L20" i="3" s="1"/>
  <c r="O6" i="3"/>
  <c r="G7" i="3"/>
  <c r="H7" i="3"/>
  <c r="I7" i="3"/>
  <c r="L7" i="3"/>
  <c r="O7" i="3"/>
  <c r="H8" i="3"/>
  <c r="C10" i="3"/>
  <c r="G10" i="3"/>
  <c r="H10" i="3"/>
  <c r="I10" i="3"/>
  <c r="O10" i="3"/>
  <c r="C11" i="3"/>
  <c r="G11" i="3"/>
  <c r="H11" i="3"/>
  <c r="I11" i="3"/>
  <c r="O11" i="3"/>
  <c r="O20" i="3" s="1"/>
  <c r="C12" i="3"/>
  <c r="H12" i="3"/>
  <c r="I12" i="3"/>
  <c r="O12" i="3"/>
  <c r="C13" i="3"/>
  <c r="C21" i="3" s="1"/>
  <c r="G13" i="3"/>
  <c r="H13" i="3"/>
  <c r="H21" i="3" s="1"/>
  <c r="O13" i="3"/>
  <c r="O21" i="3" s="1"/>
  <c r="C14" i="3"/>
  <c r="G14" i="3"/>
  <c r="H14" i="3"/>
  <c r="I14" i="3"/>
  <c r="O14" i="3"/>
  <c r="R14" i="3"/>
  <c r="C15" i="3"/>
  <c r="G15" i="3"/>
  <c r="H15" i="3"/>
  <c r="I15" i="3"/>
  <c r="R15" i="3"/>
  <c r="H16" i="3"/>
  <c r="O16" i="3"/>
  <c r="R16" i="3"/>
  <c r="O17" i="3"/>
  <c r="R17" i="3"/>
  <c r="B19" i="3"/>
  <c r="D19" i="3"/>
  <c r="E19" i="3"/>
  <c r="F19" i="3"/>
  <c r="J19" i="3"/>
  <c r="K19" i="3"/>
  <c r="L19" i="3"/>
  <c r="M19" i="3"/>
  <c r="N19" i="3"/>
  <c r="R19" i="3"/>
  <c r="S19" i="3"/>
  <c r="D20" i="3"/>
  <c r="E20" i="3"/>
  <c r="F20" i="3"/>
  <c r="J20" i="3"/>
  <c r="K20" i="3"/>
  <c r="M20" i="3"/>
  <c r="N20" i="3"/>
  <c r="R20" i="3"/>
  <c r="S20" i="3"/>
  <c r="B21" i="3"/>
  <c r="D21" i="3"/>
  <c r="E21" i="3"/>
  <c r="F21" i="3"/>
  <c r="J21" i="3"/>
  <c r="K21" i="3"/>
  <c r="L21" i="3"/>
  <c r="M21" i="3"/>
  <c r="N21" i="3"/>
  <c r="R21" i="3"/>
  <c r="S21" i="3"/>
  <c r="B22" i="3"/>
  <c r="D22" i="3"/>
  <c r="E22" i="3"/>
  <c r="F22" i="3"/>
  <c r="J22" i="3"/>
  <c r="K22" i="3"/>
  <c r="L22" i="3"/>
  <c r="M22" i="3"/>
  <c r="N22" i="3"/>
  <c r="R22" i="3"/>
  <c r="S22" i="3"/>
  <c r="B23" i="3"/>
  <c r="D23" i="3"/>
  <c r="E23" i="3"/>
  <c r="F23" i="3"/>
  <c r="J23" i="3"/>
  <c r="K23" i="3"/>
  <c r="L23" i="3"/>
  <c r="M23" i="3"/>
  <c r="N23" i="3"/>
  <c r="R23" i="3"/>
  <c r="S23" i="3"/>
  <c r="B24" i="3"/>
  <c r="D24" i="3"/>
  <c r="E24" i="3"/>
  <c r="F24" i="3"/>
  <c r="J24" i="3"/>
  <c r="K24" i="3"/>
  <c r="L24" i="3"/>
  <c r="M24" i="3"/>
  <c r="N24" i="3"/>
  <c r="R24" i="3"/>
  <c r="S24" i="3"/>
  <c r="B25" i="3"/>
  <c r="D25" i="3"/>
  <c r="E25" i="3"/>
  <c r="F25" i="3"/>
  <c r="J25" i="3"/>
  <c r="K25" i="3"/>
  <c r="L25" i="3"/>
  <c r="M25" i="3"/>
  <c r="N25" i="3"/>
  <c r="S25" i="3"/>
  <c r="C3" i="2"/>
  <c r="O3" i="2"/>
  <c r="C4" i="2"/>
  <c r="O4" i="2"/>
  <c r="C5" i="2"/>
  <c r="H5" i="2"/>
  <c r="O5" i="2"/>
  <c r="B6" i="2"/>
  <c r="B8" i="2" s="1"/>
  <c r="B24" i="2" s="1"/>
  <c r="B25" i="2" s="1"/>
  <c r="C6" i="2"/>
  <c r="H6" i="2"/>
  <c r="I6" i="2"/>
  <c r="I8" i="2" s="1"/>
  <c r="O6" i="2"/>
  <c r="O7" i="2"/>
  <c r="F8" i="2"/>
  <c r="F24" i="2" s="1"/>
  <c r="F25" i="2" s="1"/>
  <c r="R8" i="2"/>
  <c r="R24" i="2" s="1"/>
  <c r="R25" i="2" s="1"/>
  <c r="F9" i="2"/>
  <c r="J9" i="2"/>
  <c r="I11" i="2"/>
  <c r="R11" i="2"/>
  <c r="I12" i="2"/>
  <c r="R12" i="2"/>
  <c r="I14" i="2"/>
  <c r="O14" i="2"/>
  <c r="O9" i="2" s="1"/>
  <c r="B15" i="2"/>
  <c r="B9" i="2" s="1"/>
  <c r="R15" i="2"/>
  <c r="R16" i="2"/>
  <c r="B17" i="2"/>
  <c r="C17" i="2"/>
  <c r="O17" i="2"/>
  <c r="R17" i="2"/>
  <c r="O18" i="2"/>
  <c r="C20" i="2"/>
  <c r="I20" i="2"/>
  <c r="I23" i="2" s="1"/>
  <c r="O20" i="2"/>
  <c r="B22" i="2"/>
  <c r="F22" i="2"/>
  <c r="G22" i="2"/>
  <c r="I22" i="2"/>
  <c r="J22" i="2"/>
  <c r="M22" i="2"/>
  <c r="N22" i="2"/>
  <c r="P22" i="2"/>
  <c r="R22" i="2"/>
  <c r="S22" i="2"/>
  <c r="B23" i="2"/>
  <c r="F23" i="2"/>
  <c r="G23" i="2"/>
  <c r="H23" i="2"/>
  <c r="J23" i="2"/>
  <c r="M23" i="2"/>
  <c r="N23" i="2"/>
  <c r="P23" i="2"/>
  <c r="R23" i="2"/>
  <c r="S23" i="2"/>
  <c r="C24" i="2"/>
  <c r="G24" i="2"/>
  <c r="G25" i="2" s="1"/>
  <c r="J24" i="2"/>
  <c r="J25" i="2" s="1"/>
  <c r="M24" i="2"/>
  <c r="M25" i="2" s="1"/>
  <c r="N24" i="2"/>
  <c r="P24" i="2"/>
  <c r="P25" i="2" s="1"/>
  <c r="S24" i="2"/>
  <c r="S25" i="2" s="1"/>
  <c r="N25" i="2"/>
  <c r="O24" i="3" l="1"/>
  <c r="H24" i="3"/>
  <c r="H8" i="2"/>
  <c r="H24" i="2" s="1"/>
  <c r="H25" i="2" s="1"/>
  <c r="C22" i="2"/>
  <c r="C20" i="3"/>
  <c r="I19" i="3"/>
  <c r="C23" i="3"/>
  <c r="H19" i="3"/>
  <c r="I25" i="3"/>
  <c r="O22" i="3"/>
  <c r="G20" i="3"/>
  <c r="O25" i="3"/>
  <c r="G25" i="3"/>
  <c r="G22" i="3"/>
  <c r="G19" i="3"/>
  <c r="C24" i="3"/>
  <c r="I13" i="3"/>
  <c r="I23" i="3" s="1"/>
  <c r="H23" i="3"/>
  <c r="G24" i="3"/>
  <c r="G21" i="3"/>
  <c r="C22" i="3"/>
  <c r="I20" i="3"/>
  <c r="G23" i="3"/>
  <c r="O19" i="3"/>
  <c r="H5" i="3"/>
  <c r="I22" i="3"/>
  <c r="H22" i="3"/>
  <c r="H20" i="3"/>
  <c r="B20" i="3"/>
  <c r="R25" i="3"/>
  <c r="C23" i="2"/>
  <c r="H22" i="2"/>
  <c r="O8" i="2"/>
  <c r="O24" i="2" s="1"/>
  <c r="C25" i="2"/>
  <c r="I9" i="2"/>
  <c r="I17" i="2" s="1"/>
  <c r="R9" i="2"/>
  <c r="O25" i="2"/>
  <c r="O23" i="2"/>
  <c r="H25" i="3"/>
  <c r="O23" i="3"/>
  <c r="C19" i="3"/>
  <c r="C25" i="3"/>
  <c r="I24" i="2"/>
  <c r="I25" i="2" s="1"/>
  <c r="O22" i="2"/>
  <c r="I21" i="3" l="1"/>
  <c r="I24" i="3"/>
</calcChain>
</file>

<file path=xl/sharedStrings.xml><?xml version="1.0" encoding="utf-8"?>
<sst xmlns="http://schemas.openxmlformats.org/spreadsheetml/2006/main" count="85" uniqueCount="65">
  <si>
    <t>Margem EBIT</t>
  </si>
  <si>
    <t>EBIT</t>
  </si>
  <si>
    <t>Margem Líquida</t>
  </si>
  <si>
    <t>Margem Bruta</t>
  </si>
  <si>
    <t>RESULTADO LÍQUIDO DO EXERCÍCIO</t>
  </si>
  <si>
    <t>OUTROS</t>
  </si>
  <si>
    <t>IMPOSTO DE RENDA E C. SOCIAL</t>
  </si>
  <si>
    <t>RESULTADO ANTES DO IMPOSTO RENDA E C. SOCIAL</t>
  </si>
  <si>
    <t>OUTROS RESULTADOS OPERACIONAIS</t>
  </si>
  <si>
    <t xml:space="preserve">       Outros</t>
  </si>
  <si>
    <t xml:space="preserve">       Variação cambial líquida</t>
  </si>
  <si>
    <t xml:space="preserve">       Resultado líquido com derivativos</t>
  </si>
  <si>
    <t xml:space="preserve">       Despesas Financeiras</t>
  </si>
  <si>
    <t xml:space="preserve">       Receitas Financeiras</t>
  </si>
  <si>
    <t xml:space="preserve">       Variação do valor justo de derivativos de combustível</t>
  </si>
  <si>
    <t>RESULTADO FINANCEIRO</t>
  </si>
  <si>
    <t>RESULTADO ANTES DO RESULTADO FINANCEIRO</t>
  </si>
  <si>
    <t>RESULTADO DE EQUIVALÊNCIA PATRIMONIAL (CPC 26 - 82.E)</t>
  </si>
  <si>
    <t>DESPESAS OPERACIONAIS</t>
  </si>
  <si>
    <t>LUCRO BRUTO</t>
  </si>
  <si>
    <t>CUSTOS DOS SERVIÇOS PRESTADOS</t>
  </si>
  <si>
    <t>RECEITA OPERACIONAL LÍQUIDA</t>
  </si>
  <si>
    <t>INDÚSTRIA</t>
  </si>
  <si>
    <t>WEBJET</t>
  </si>
  <si>
    <t>VARIGLOG</t>
  </si>
  <si>
    <t>TRIP</t>
  </si>
  <si>
    <t>TOTAL</t>
  </si>
  <si>
    <t>TAM</t>
  </si>
  <si>
    <t>SOL</t>
  </si>
  <si>
    <t>RIO</t>
  </si>
  <si>
    <t>PASSAREDO</t>
  </si>
  <si>
    <t>PANTANAL</t>
  </si>
  <si>
    <t>NHT</t>
  </si>
  <si>
    <t>MEGA_MEL</t>
  </si>
  <si>
    <t>CRUISER</t>
  </si>
  <si>
    <t>BETA</t>
  </si>
  <si>
    <t>AZUL</t>
  </si>
  <si>
    <t>AVIANCA</t>
  </si>
  <si>
    <t>AIR MINAS</t>
  </si>
  <si>
    <t>ABAETÉ</t>
  </si>
  <si>
    <t>ITEM</t>
  </si>
  <si>
    <t>DEMONSTRAÇÃO DO RESULTADO ENCERRADO EM 31/12/2009 (janeiro a dezembro)</t>
  </si>
  <si>
    <t>Grau de Endividamento Ajustado</t>
  </si>
  <si>
    <t>Grau de Endividamento</t>
  </si>
  <si>
    <t>Multiplicador de Capital Próprio</t>
  </si>
  <si>
    <t>Participação de Capitais de Terceiros sobre os Recursos Totais</t>
  </si>
  <si>
    <t>Situação Líquida Patrimonial</t>
  </si>
  <si>
    <t>Índice de Liquidez Geral</t>
  </si>
  <si>
    <t>Índice de Liquidez Corrente</t>
  </si>
  <si>
    <t>Outros</t>
  </si>
  <si>
    <t>Resultado do Exercício</t>
  </si>
  <si>
    <t>Lucros ou Prejuízos Acumulados³</t>
  </si>
  <si>
    <t>Capital Social</t>
  </si>
  <si>
    <t>Patrimônio Líquido</t>
  </si>
  <si>
    <t>Passsivo Não Circulante</t>
  </si>
  <si>
    <t>Passivo Circulante</t>
  </si>
  <si>
    <t>PASSIVO TOTAL</t>
  </si>
  <si>
    <t>Investimentos, Imobilizado e Intangível</t>
  </si>
  <si>
    <t>Ativo Realizável a Longo Prazo</t>
  </si>
  <si>
    <t>Ativo Não Circulante</t>
  </si>
  <si>
    <t>Ativo Circulante</t>
  </si>
  <si>
    <t>ATIVO TOTAL</t>
  </si>
  <si>
    <t xml:space="preserve">SOL </t>
  </si>
  <si>
    <t>BALANÇO PATRIMONIAL ENCERRADO EM 31/12/2009 (janeiro a dezembro)</t>
  </si>
  <si>
    <t>VRG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</si>
</sst>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1"/>
    <xf numFmtId="0" fontId="4" fillId="0" borderId="2" xfId="1" applyFont="1" applyFill="1" applyBorder="1"/>
    <xf numFmtId="3" fontId="0" fillId="0" borderId="3" xfId="2" applyNumberFormat="1" applyFont="1" applyFill="1" applyBorder="1" applyAlignment="1">
      <alignment horizontal="right"/>
    </xf>
    <xf numFmtId="0" fontId="4" fillId="0" borderId="4" xfId="1" applyFont="1" applyFill="1" applyBorder="1"/>
    <xf numFmtId="3" fontId="4" fillId="0" borderId="1" xfId="1" applyNumberFormat="1" applyFont="1" applyFill="1" applyBorder="1" applyAlignment="1">
      <alignment horizontal="right"/>
    </xf>
    <xf numFmtId="165" fontId="3" fillId="2" borderId="0" xfId="4" applyNumberFormat="1" applyFont="1" applyFill="1" applyBorder="1"/>
    <xf numFmtId="164" fontId="6" fillId="2" borderId="0" xfId="4" applyFont="1" applyFill="1"/>
    <xf numFmtId="3" fontId="3" fillId="0" borderId="1" xfId="2" applyNumberFormat="1" applyFont="1" applyFill="1" applyBorder="1" applyAlignment="1">
      <alignment horizontal="right"/>
    </xf>
    <xf numFmtId="0" fontId="3" fillId="0" borderId="2" xfId="1" applyFont="1" applyFill="1" applyBorder="1"/>
    <xf numFmtId="3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/>
    <xf numFmtId="3" fontId="3" fillId="0" borderId="1" xfId="1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right"/>
    </xf>
    <xf numFmtId="3" fontId="3" fillId="2" borderId="1" xfId="2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7" fillId="0" borderId="0" xfId="5" applyFont="1"/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left"/>
    </xf>
    <xf numFmtId="164" fontId="8" fillId="2" borderId="0" xfId="4" applyFont="1" applyFill="1"/>
    <xf numFmtId="0" fontId="1" fillId="2" borderId="0" xfId="5" applyFont="1" applyFill="1"/>
    <xf numFmtId="165" fontId="1" fillId="2" borderId="0" xfId="5" applyNumberFormat="1" applyFont="1" applyFill="1"/>
    <xf numFmtId="3" fontId="4" fillId="0" borderId="1" xfId="1" applyNumberFormat="1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left"/>
    </xf>
    <xf numFmtId="165" fontId="8" fillId="2" borderId="0" xfId="4" applyNumberFormat="1" applyFont="1" applyFill="1"/>
    <xf numFmtId="0" fontId="2" fillId="4" borderId="5" xfId="1" applyFont="1" applyFill="1" applyBorder="1" applyAlignment="1">
      <alignment horizontal="center" vertical="center"/>
    </xf>
    <xf numFmtId="0" fontId="1" fillId="0" borderId="0" xfId="5" applyFont="1"/>
    <xf numFmtId="0" fontId="3" fillId="0" borderId="6" xfId="5" applyFont="1" applyBorder="1" applyAlignment="1">
      <alignment horizontal="left"/>
    </xf>
    <xf numFmtId="4" fontId="10" fillId="2" borderId="6" xfId="4" applyNumberFormat="1" applyFont="1" applyFill="1" applyBorder="1"/>
    <xf numFmtId="4" fontId="9" fillId="2" borderId="6" xfId="4" applyNumberFormat="1" applyFont="1" applyFill="1" applyBorder="1"/>
    <xf numFmtId="165" fontId="9" fillId="2" borderId="6" xfId="4" applyNumberFormat="1" applyFont="1" applyFill="1" applyBorder="1"/>
    <xf numFmtId="10" fontId="9" fillId="2" borderId="6" xfId="2" applyNumberFormat="1" applyFont="1" applyFill="1" applyBorder="1"/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right" vertical="center"/>
    </xf>
    <xf numFmtId="3" fontId="0" fillId="2" borderId="3" xfId="2" applyNumberFormat="1" applyFont="1" applyFill="1" applyBorder="1" applyAlignment="1">
      <alignment horizontal="right"/>
    </xf>
    <xf numFmtId="0" fontId="3" fillId="2" borderId="0" xfId="5" applyFont="1" applyFill="1"/>
    <xf numFmtId="3" fontId="4" fillId="2" borderId="1" xfId="1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0" fontId="4" fillId="2" borderId="0" xfId="1" applyFill="1"/>
  </cellXfs>
  <cellStyles count="6">
    <cellStyle name="Normal" xfId="0" builtinId="0"/>
    <cellStyle name="Normal 2" xfId="1"/>
    <cellStyle name="Normal 3" xfId="5"/>
    <cellStyle name="Porcentagem 2" xfId="2"/>
    <cellStyle name="Separador de milhares 2" xfId="4"/>
    <cellStyle name="Vírgula 2" xfId="3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C1" workbookViewId="0">
      <selection activeCell="K18" sqref="K4:T18"/>
    </sheetView>
  </sheetViews>
  <sheetFormatPr defaultColWidth="15.85546875" defaultRowHeight="12.75" x14ac:dyDescent="0.2"/>
  <cols>
    <col min="1" max="1" width="55.28515625" style="1" bestFit="1" customWidth="1"/>
    <col min="2" max="2" width="7.7109375" style="1" bestFit="1" customWidth="1"/>
    <col min="3" max="3" width="10.5703125" style="1" bestFit="1" customWidth="1"/>
    <col min="4" max="4" width="9.28515625" style="1" bestFit="1" customWidth="1"/>
    <col min="5" max="5" width="9.140625" style="1" bestFit="1" customWidth="1"/>
    <col min="6" max="6" width="8.140625" style="1" bestFit="1" customWidth="1"/>
    <col min="7" max="7" width="8.42578125" style="1" bestFit="1" customWidth="1"/>
    <col min="8" max="8" width="11.28515625" style="1" bestFit="1" customWidth="1"/>
    <col min="9" max="9" width="7.28515625" style="1" bestFit="1" customWidth="1"/>
    <col min="10" max="10" width="10.7109375" style="1" bestFit="1" customWidth="1"/>
    <col min="11" max="11" width="11.5703125" style="1" bestFit="1" customWidth="1"/>
    <col min="12" max="12" width="7.28515625" style="1" bestFit="1" customWidth="1"/>
    <col min="13" max="13" width="8.28515625" style="1" bestFit="1" customWidth="1"/>
    <col min="14" max="14" width="9.85546875" style="1" bestFit="1" customWidth="1"/>
    <col min="15" max="16" width="8.28515625" style="1" bestFit="1" customWidth="1"/>
    <col min="17" max="17" width="9.85546875" style="1" bestFit="1" customWidth="1"/>
    <col min="18" max="18" width="10.42578125" style="1" bestFit="1" customWidth="1"/>
    <col min="19" max="19" width="8.28515625" style="1" bestFit="1" customWidth="1"/>
    <col min="20" max="20" width="10.85546875" style="1" bestFit="1" customWidth="1"/>
    <col min="21" max="16384" width="15.85546875" style="1"/>
  </cols>
  <sheetData>
    <row r="1" spans="1:20" ht="15" x14ac:dyDescent="0.2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>
        <v>1000</v>
      </c>
      <c r="O1" s="35"/>
      <c r="P1" s="35"/>
      <c r="Q1" s="35"/>
      <c r="R1" s="35"/>
      <c r="S1" s="35"/>
      <c r="T1" s="35"/>
    </row>
    <row r="2" spans="1:20" ht="15" x14ac:dyDescent="0.25">
      <c r="A2" s="15" t="s">
        <v>40</v>
      </c>
      <c r="B2" s="15" t="s">
        <v>39</v>
      </c>
      <c r="C2" s="15" t="s">
        <v>38</v>
      </c>
      <c r="D2" s="15" t="s">
        <v>37</v>
      </c>
      <c r="E2" s="15" t="s">
        <v>36</v>
      </c>
      <c r="F2" s="15" t="s">
        <v>35</v>
      </c>
      <c r="G2" s="15" t="s">
        <v>34</v>
      </c>
      <c r="H2" s="15" t="s">
        <v>33</v>
      </c>
      <c r="I2" s="15" t="s">
        <v>32</v>
      </c>
      <c r="J2" s="15" t="s">
        <v>31</v>
      </c>
      <c r="K2" s="15" t="s">
        <v>30</v>
      </c>
      <c r="L2" s="15" t="s">
        <v>29</v>
      </c>
      <c r="M2" s="15" t="s">
        <v>28</v>
      </c>
      <c r="N2" s="15" t="s">
        <v>27</v>
      </c>
      <c r="O2" s="15" t="s">
        <v>26</v>
      </c>
      <c r="P2" s="15" t="s">
        <v>25</v>
      </c>
      <c r="Q2" s="15" t="s">
        <v>64</v>
      </c>
      <c r="R2" s="15" t="s">
        <v>24</v>
      </c>
      <c r="S2" s="15" t="s">
        <v>23</v>
      </c>
      <c r="T2" s="15" t="s">
        <v>22</v>
      </c>
    </row>
    <row r="3" spans="1:20" ht="15" x14ac:dyDescent="0.25">
      <c r="A3" s="9" t="s">
        <v>21</v>
      </c>
      <c r="B3" s="13">
        <v>1859.7293999999999</v>
      </c>
      <c r="C3" s="13">
        <f>13629027.48/1000</f>
        <v>13629.027480000001</v>
      </c>
      <c r="D3" s="13">
        <v>412601.76611000003</v>
      </c>
      <c r="E3" s="13">
        <v>376590</v>
      </c>
      <c r="F3" s="13">
        <v>76735</v>
      </c>
      <c r="G3" s="13">
        <v>2745</v>
      </c>
      <c r="H3" s="13">
        <v>2333.1624299999999</v>
      </c>
      <c r="I3" s="13">
        <v>18087.010419999999</v>
      </c>
      <c r="J3" s="13">
        <v>50327</v>
      </c>
      <c r="K3" s="13">
        <v>101748</v>
      </c>
      <c r="L3" s="13">
        <v>6985</v>
      </c>
      <c r="M3" s="13">
        <v>753.28967999999998</v>
      </c>
      <c r="N3" s="13">
        <v>9614346</v>
      </c>
      <c r="O3" s="13">
        <f>122522563.53/1000</f>
        <v>122522.56353</v>
      </c>
      <c r="P3" s="13">
        <v>432583</v>
      </c>
      <c r="Q3" s="13">
        <v>6025382</v>
      </c>
      <c r="R3" s="13">
        <v>138179.38500000001</v>
      </c>
      <c r="S3" s="13">
        <v>472746</v>
      </c>
      <c r="T3" s="14">
        <v>18274246.890680004</v>
      </c>
    </row>
    <row r="4" spans="1:20" ht="15" x14ac:dyDescent="0.25">
      <c r="A4" s="11" t="s">
        <v>20</v>
      </c>
      <c r="B4" s="13">
        <v>-1645.3686600000001</v>
      </c>
      <c r="C4" s="13">
        <f>-26239198.62/1000</f>
        <v>-26239.198620000003</v>
      </c>
      <c r="D4" s="13">
        <v>-392803.58745999995</v>
      </c>
      <c r="E4" s="13">
        <v>-398411</v>
      </c>
      <c r="F4" s="13">
        <v>-66374</v>
      </c>
      <c r="G4" s="13">
        <v>-1389</v>
      </c>
      <c r="H4" s="13">
        <v>-1509.5043599999999</v>
      </c>
      <c r="I4" s="13">
        <v>-16005.863810000001</v>
      </c>
      <c r="J4" s="13">
        <v>-46086</v>
      </c>
      <c r="K4" s="13">
        <v>-85652</v>
      </c>
      <c r="L4" s="13">
        <v>-5289</v>
      </c>
      <c r="M4" s="13">
        <v>-1278.0204200000001</v>
      </c>
      <c r="N4" s="13">
        <v>-7127067</v>
      </c>
      <c r="O4" s="13">
        <f>-105160058.78/1000</f>
        <v>-105160.05878000001</v>
      </c>
      <c r="P4" s="13">
        <v>-364614</v>
      </c>
      <c r="Q4" s="13">
        <v>-4697612</v>
      </c>
      <c r="R4" s="13">
        <v>-162305.611</v>
      </c>
      <c r="S4" s="13">
        <v>-475469</v>
      </c>
      <c r="T4" s="13">
        <v>-14359005.639799999</v>
      </c>
    </row>
    <row r="5" spans="1:20" ht="15" x14ac:dyDescent="0.25">
      <c r="A5" s="9" t="s">
        <v>19</v>
      </c>
      <c r="B5" s="13">
        <v>214.36073999999999</v>
      </c>
      <c r="C5" s="13">
        <f>-12610171.14/1000</f>
        <v>-12610.17114</v>
      </c>
      <c r="D5" s="13">
        <v>19798.178649999998</v>
      </c>
      <c r="E5" s="13">
        <v>-21821</v>
      </c>
      <c r="F5" s="13">
        <v>10361</v>
      </c>
      <c r="G5" s="13">
        <v>1356</v>
      </c>
      <c r="H5" s="13">
        <f>823658.07/1000</f>
        <v>823.65806999999995</v>
      </c>
      <c r="I5" s="13">
        <v>2081.1466099999998</v>
      </c>
      <c r="J5" s="13">
        <v>4241</v>
      </c>
      <c r="K5" s="13">
        <v>16096</v>
      </c>
      <c r="L5" s="13">
        <v>1696</v>
      </c>
      <c r="M5" s="13">
        <v>-524.73073999999997</v>
      </c>
      <c r="N5" s="13">
        <v>2487279</v>
      </c>
      <c r="O5" s="13">
        <f>17362504.75/1000</f>
        <v>17362.50475</v>
      </c>
      <c r="P5" s="13">
        <v>67969</v>
      </c>
      <c r="Q5" s="13">
        <v>1327770</v>
      </c>
      <c r="R5" s="13">
        <v>-24126.225999999999</v>
      </c>
      <c r="S5" s="13">
        <v>-2723</v>
      </c>
      <c r="T5" s="14">
        <v>3915241.2508799997</v>
      </c>
    </row>
    <row r="6" spans="1:20" ht="15" x14ac:dyDescent="0.25">
      <c r="A6" s="11" t="s">
        <v>18</v>
      </c>
      <c r="B6" s="13">
        <f>-132360.71/1000</f>
        <v>-132.36070999999998</v>
      </c>
      <c r="C6" s="13">
        <f>-2996848.5/1000</f>
        <v>-2996.8485000000001</v>
      </c>
      <c r="D6" s="13">
        <v>-89810.114019999994</v>
      </c>
      <c r="E6" s="13">
        <v>-116410</v>
      </c>
      <c r="F6" s="13">
        <v>-21583</v>
      </c>
      <c r="G6" s="13">
        <v>-1285</v>
      </c>
      <c r="H6" s="13">
        <f>-345301.84/1000</f>
        <v>-345.30184000000003</v>
      </c>
      <c r="I6" s="13">
        <f>(-4068616.66+386767.13)/1000</f>
        <v>-3681.8495300000004</v>
      </c>
      <c r="J6" s="13">
        <v>-19646</v>
      </c>
      <c r="K6" s="13">
        <v>-12808</v>
      </c>
      <c r="L6" s="13">
        <v>-5611</v>
      </c>
      <c r="M6" s="13">
        <v>-968.43620999999996</v>
      </c>
      <c r="N6" s="13">
        <v>-2289589</v>
      </c>
      <c r="O6" s="13">
        <f>(-9956232.31-3950601.88+1375873.05)/1000</f>
        <v>-12530.961140000001</v>
      </c>
      <c r="P6" s="13">
        <v>-53189</v>
      </c>
      <c r="Q6" s="13">
        <v>-905285</v>
      </c>
      <c r="R6" s="13">
        <v>-60155.748</v>
      </c>
      <c r="S6" s="13">
        <v>-78290</v>
      </c>
      <c r="T6" s="13">
        <v>-3706569.3899900001</v>
      </c>
    </row>
    <row r="7" spans="1:20" ht="15" x14ac:dyDescent="0.25">
      <c r="A7" s="9" t="s">
        <v>17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f>-1094573.16/1000</f>
        <v>-1094.5731599999999</v>
      </c>
      <c r="P7" s="13">
        <v>0</v>
      </c>
      <c r="Q7" s="13">
        <v>0</v>
      </c>
      <c r="R7" s="13">
        <v>0</v>
      </c>
      <c r="S7" s="13">
        <v>0</v>
      </c>
      <c r="T7" s="13">
        <v>-1094.5731599999999</v>
      </c>
    </row>
    <row r="8" spans="1:20" ht="15" x14ac:dyDescent="0.25">
      <c r="A8" s="9" t="s">
        <v>16</v>
      </c>
      <c r="B8" s="13">
        <f>B6+B7+B5</f>
        <v>82.00003000000001</v>
      </c>
      <c r="C8" s="13">
        <v>-15607.01964</v>
      </c>
      <c r="D8" s="13">
        <v>-70011.935370000007</v>
      </c>
      <c r="E8" s="13">
        <v>-138231</v>
      </c>
      <c r="F8" s="13">
        <f>F5+F6+F7</f>
        <v>-11222</v>
      </c>
      <c r="G8" s="13">
        <v>71</v>
      </c>
      <c r="H8" s="13">
        <f>H5+H6+H7</f>
        <v>478.35622999999993</v>
      </c>
      <c r="I8" s="13">
        <f>I5+I6</f>
        <v>-1600.7029200000006</v>
      </c>
      <c r="J8" s="13">
        <v>-15405</v>
      </c>
      <c r="K8" s="13">
        <v>3288</v>
      </c>
      <c r="L8" s="13">
        <v>-3915</v>
      </c>
      <c r="M8" s="13">
        <v>-1493.16695</v>
      </c>
      <c r="N8" s="13">
        <v>197690</v>
      </c>
      <c r="O8" s="13">
        <f>O5+O6+O7</f>
        <v>3736.9704499999989</v>
      </c>
      <c r="P8" s="13">
        <v>14780</v>
      </c>
      <c r="Q8" s="13">
        <v>422485</v>
      </c>
      <c r="R8" s="13">
        <f>-84281974/1000</f>
        <v>-84281.974000000002</v>
      </c>
      <c r="S8" s="13">
        <v>-81013</v>
      </c>
      <c r="T8" s="14">
        <v>207577.28773000004</v>
      </c>
    </row>
    <row r="9" spans="1:20" ht="15" x14ac:dyDescent="0.25">
      <c r="A9" s="9" t="s">
        <v>15</v>
      </c>
      <c r="B9" s="13">
        <f>B10+B11+B12+B13+B14+B15</f>
        <v>-42.190239999999996</v>
      </c>
      <c r="C9" s="13">
        <v>-30.171009999999999</v>
      </c>
      <c r="D9" s="13">
        <v>-2114.84357</v>
      </c>
      <c r="E9" s="13">
        <v>-11584</v>
      </c>
      <c r="F9" s="13">
        <f>F11+F12+F15</f>
        <v>-7734</v>
      </c>
      <c r="G9" s="13">
        <v>-40</v>
      </c>
      <c r="H9" s="13">
        <v>0</v>
      </c>
      <c r="I9" s="13">
        <f>I10+I11+I12+I13+I14+I15</f>
        <v>-41.039630000000002</v>
      </c>
      <c r="J9" s="13">
        <f>SUM(J11:J12)</f>
        <v>-65381</v>
      </c>
      <c r="K9" s="13">
        <v>-1622</v>
      </c>
      <c r="L9" s="13">
        <v>439</v>
      </c>
      <c r="M9" s="13">
        <v>0</v>
      </c>
      <c r="N9" s="13">
        <v>1693582</v>
      </c>
      <c r="O9" s="13">
        <f>SUM(O10:O16)</f>
        <v>181.1520900000005</v>
      </c>
      <c r="P9" s="13">
        <v>17772</v>
      </c>
      <c r="Q9" s="13">
        <v>169135</v>
      </c>
      <c r="R9" s="13">
        <f>SUM(R10:R15)</f>
        <v>-338.34200000000419</v>
      </c>
      <c r="S9" s="13">
        <v>227</v>
      </c>
      <c r="T9" s="13">
        <v>1800837.5473800001</v>
      </c>
    </row>
    <row r="10" spans="1:20" x14ac:dyDescent="0.2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/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271505</v>
      </c>
      <c r="O10" s="5">
        <v>0</v>
      </c>
      <c r="P10" s="5">
        <v>0</v>
      </c>
      <c r="Q10" s="5">
        <v>0</v>
      </c>
      <c r="R10" s="5"/>
      <c r="S10" s="5">
        <v>0</v>
      </c>
      <c r="T10" s="5">
        <v>271505</v>
      </c>
    </row>
    <row r="11" spans="1:20" x14ac:dyDescent="0.2">
      <c r="A11" s="2" t="s">
        <v>13</v>
      </c>
      <c r="B11" s="5">
        <v>4.50549</v>
      </c>
      <c r="C11" s="5">
        <v>0</v>
      </c>
      <c r="D11" s="5">
        <v>0</v>
      </c>
      <c r="E11" s="5">
        <v>14515</v>
      </c>
      <c r="F11" s="5">
        <v>7484</v>
      </c>
      <c r="G11" s="5">
        <v>0</v>
      </c>
      <c r="H11" s="5"/>
      <c r="I11" s="5">
        <f>70206.95/1000</f>
        <v>70.206949999999992</v>
      </c>
      <c r="J11" s="5">
        <v>387</v>
      </c>
      <c r="K11" s="5">
        <v>54</v>
      </c>
      <c r="L11" s="5">
        <v>1067</v>
      </c>
      <c r="M11" s="5">
        <v>0</v>
      </c>
      <c r="N11" s="5">
        <v>2797482</v>
      </c>
      <c r="O11" s="5">
        <v>2558.7179299999998</v>
      </c>
      <c r="P11" s="5">
        <v>47695</v>
      </c>
      <c r="Q11" s="5">
        <v>3912</v>
      </c>
      <c r="R11" s="5">
        <f>14612880/1000</f>
        <v>14612.88</v>
      </c>
      <c r="S11" s="5">
        <v>0</v>
      </c>
      <c r="T11" s="5">
        <v>2892095.8230499998</v>
      </c>
    </row>
    <row r="12" spans="1:20" x14ac:dyDescent="0.2">
      <c r="A12" s="4" t="s">
        <v>12</v>
      </c>
      <c r="B12" s="5">
        <v>-53.767339999999997</v>
      </c>
      <c r="C12" s="5">
        <v>-30.171009999999999</v>
      </c>
      <c r="D12" s="5">
        <v>0</v>
      </c>
      <c r="E12" s="5">
        <v>-26099</v>
      </c>
      <c r="F12" s="5">
        <v>-10572</v>
      </c>
      <c r="G12" s="5">
        <v>-40</v>
      </c>
      <c r="H12" s="5"/>
      <c r="I12" s="5">
        <f>-112181.84/1000</f>
        <v>-112.18183999999999</v>
      </c>
      <c r="J12" s="5">
        <v>-65768</v>
      </c>
      <c r="K12" s="5">
        <v>-1676</v>
      </c>
      <c r="L12" s="5">
        <v>-628</v>
      </c>
      <c r="M12" s="5">
        <v>0</v>
      </c>
      <c r="N12" s="5">
        <v>-1375405</v>
      </c>
      <c r="O12" s="5">
        <v>-8215.1759399999992</v>
      </c>
      <c r="P12" s="5">
        <v>-29923</v>
      </c>
      <c r="Q12" s="5">
        <v>-196956</v>
      </c>
      <c r="R12" s="5">
        <f>-55839845/1000</f>
        <v>-55839.845000000001</v>
      </c>
      <c r="S12" s="5">
        <v>0</v>
      </c>
      <c r="T12" s="5">
        <v>-1771671.6720700001</v>
      </c>
    </row>
    <row r="13" spans="1:20" x14ac:dyDescent="0.2">
      <c r="A13" s="2" t="s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/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-113086</v>
      </c>
      <c r="R13" s="5">
        <v>0</v>
      </c>
      <c r="S13" s="5">
        <v>0</v>
      </c>
      <c r="T13" s="5">
        <v>-113086</v>
      </c>
    </row>
    <row r="14" spans="1:20" x14ac:dyDescent="0.2">
      <c r="A14" s="4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/>
      <c r="I14" s="5">
        <f>935.26/1000</f>
        <v>0.93525999999999998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f>(14099557.53-8261947.43)/1000</f>
        <v>5837.6100999999999</v>
      </c>
      <c r="P14" s="5">
        <v>0</v>
      </c>
      <c r="Q14" s="5">
        <v>463087</v>
      </c>
      <c r="R14" s="5">
        <v>0</v>
      </c>
      <c r="S14" s="5">
        <v>0</v>
      </c>
      <c r="T14" s="5">
        <v>475454.54535999999</v>
      </c>
    </row>
    <row r="15" spans="1:20" x14ac:dyDescent="0.2">
      <c r="A15" s="2" t="s">
        <v>9</v>
      </c>
      <c r="B15" s="5">
        <f>7.07161</f>
        <v>7.0716099999999997</v>
      </c>
      <c r="C15" s="5">
        <v>0</v>
      </c>
      <c r="D15" s="5">
        <v>0</v>
      </c>
      <c r="E15" s="5">
        <v>0</v>
      </c>
      <c r="F15" s="5">
        <v>-4646</v>
      </c>
      <c r="G15" s="5">
        <v>0</v>
      </c>
      <c r="H15" s="5"/>
      <c r="I15" s="5"/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/>
      <c r="P15" s="5">
        <v>0</v>
      </c>
      <c r="Q15" s="5">
        <v>12178</v>
      </c>
      <c r="R15" s="5">
        <f>40888623/1000</f>
        <v>40888.623</v>
      </c>
      <c r="S15" s="5">
        <v>227</v>
      </c>
      <c r="T15" s="5">
        <v>48654.694609999999</v>
      </c>
    </row>
    <row r="16" spans="1:20" ht="15" x14ac:dyDescent="0.25">
      <c r="A16" s="11" t="s">
        <v>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17.52636</v>
      </c>
      <c r="N16" s="8">
        <v>0</v>
      </c>
      <c r="O16" s="8"/>
      <c r="P16" s="8">
        <v>0</v>
      </c>
      <c r="Q16" s="8">
        <v>0</v>
      </c>
      <c r="R16" s="8">
        <f>-8708844/1000</f>
        <v>-8708.8439999999991</v>
      </c>
      <c r="S16" s="8">
        <v>0</v>
      </c>
      <c r="T16" s="10">
        <v>-8375.2679799999987</v>
      </c>
    </row>
    <row r="17" spans="1:22" ht="15" x14ac:dyDescent="0.25">
      <c r="A17" s="9" t="s">
        <v>7</v>
      </c>
      <c r="B17" s="8">
        <f>850370.49/1000</f>
        <v>850.37049000000002</v>
      </c>
      <c r="C17" s="8">
        <f>-15607019.64/1000</f>
        <v>-15607.01964</v>
      </c>
      <c r="D17" s="8">
        <v>-72126.778940000004</v>
      </c>
      <c r="E17" s="8">
        <v>-149815</v>
      </c>
      <c r="F17" s="8">
        <v>2627</v>
      </c>
      <c r="G17" s="8">
        <v>31</v>
      </c>
      <c r="H17" s="8">
        <v>478.35622999999998</v>
      </c>
      <c r="I17" s="8">
        <f>I8+I9+I16</f>
        <v>-1641.7425500000006</v>
      </c>
      <c r="J17" s="8">
        <v>-47969</v>
      </c>
      <c r="K17" s="8">
        <v>1666</v>
      </c>
      <c r="L17" s="8">
        <v>-3476</v>
      </c>
      <c r="M17" s="8">
        <v>-1475.64059</v>
      </c>
      <c r="N17" s="8">
        <v>1891272</v>
      </c>
      <c r="O17" s="8">
        <f>3918122.54/1000</f>
        <v>3918.1225399999998</v>
      </c>
      <c r="P17" s="8">
        <v>32552</v>
      </c>
      <c r="Q17" s="8">
        <v>591620</v>
      </c>
      <c r="R17" s="8">
        <f>-93329200/1000</f>
        <v>-93329.2</v>
      </c>
      <c r="S17" s="8">
        <v>-80786</v>
      </c>
      <c r="T17" s="8">
        <v>2055224.3841399997</v>
      </c>
      <c r="U17" s="8"/>
      <c r="V17" s="8"/>
    </row>
    <row r="18" spans="1:22" ht="15" x14ac:dyDescent="0.25">
      <c r="A18" s="11" t="s">
        <v>6</v>
      </c>
      <c r="B18" s="8">
        <v>-71.023520000000005</v>
      </c>
      <c r="C18" s="8">
        <v>0</v>
      </c>
      <c r="D18" s="8">
        <v>0</v>
      </c>
      <c r="E18" s="8">
        <v>0</v>
      </c>
      <c r="F18" s="8">
        <v>-2444</v>
      </c>
      <c r="G18" s="8">
        <v>-8</v>
      </c>
      <c r="H18" s="8">
        <v>-151.49355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-637553</v>
      </c>
      <c r="O18" s="8">
        <f>-1680317.14/1000</f>
        <v>-1680.3171399999999</v>
      </c>
      <c r="P18" s="8">
        <v>-4105</v>
      </c>
      <c r="Q18" s="8">
        <v>134064</v>
      </c>
      <c r="R18" s="8">
        <v>0</v>
      </c>
      <c r="S18" s="8">
        <v>0</v>
      </c>
      <c r="T18" s="10">
        <v>-512307.25234000001</v>
      </c>
    </row>
    <row r="19" spans="1:22" ht="15" x14ac:dyDescent="0.25">
      <c r="A19" s="9" t="s">
        <v>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/>
      <c r="S19" s="8">
        <v>0</v>
      </c>
      <c r="T19" s="12">
        <v>0</v>
      </c>
    </row>
    <row r="20" spans="1:22" ht="15" x14ac:dyDescent="0.25">
      <c r="A20" s="11" t="s">
        <v>4</v>
      </c>
      <c r="B20" s="8">
        <v>779.34697000000006</v>
      </c>
      <c r="C20" s="8">
        <f>-15607019.64/1000</f>
        <v>-15607.01964</v>
      </c>
      <c r="D20" s="8">
        <v>-72126.778940000004</v>
      </c>
      <c r="E20" s="8">
        <v>-149815</v>
      </c>
      <c r="F20" s="8">
        <v>183</v>
      </c>
      <c r="G20" s="8">
        <v>23</v>
      </c>
      <c r="H20" s="8">
        <v>326.86268000000001</v>
      </c>
      <c r="I20" s="8">
        <f>-1641742.55/1000</f>
        <v>-1641.7425499999999</v>
      </c>
      <c r="J20" s="8">
        <v>-47969</v>
      </c>
      <c r="K20" s="8">
        <v>1666</v>
      </c>
      <c r="L20" s="8">
        <v>-3476</v>
      </c>
      <c r="M20" s="8">
        <v>-1475.64059</v>
      </c>
      <c r="N20" s="8">
        <v>1253719</v>
      </c>
      <c r="O20" s="8">
        <f>2237805.4/1000</f>
        <v>2237.8053999999997</v>
      </c>
      <c r="P20" s="8">
        <v>28447</v>
      </c>
      <c r="Q20" s="8">
        <v>725684</v>
      </c>
      <c r="R20" s="8">
        <v>-93329.2</v>
      </c>
      <c r="S20" s="8">
        <v>-80786</v>
      </c>
      <c r="T20" s="10">
        <v>1542917.1317999999</v>
      </c>
    </row>
    <row r="21" spans="1:22" ht="15" x14ac:dyDescent="0.25">
      <c r="A21" s="9"/>
      <c r="B21" s="6"/>
      <c r="C21" s="6"/>
      <c r="D21" s="5"/>
      <c r="E21" s="5"/>
      <c r="F21" s="6"/>
      <c r="G21" s="6"/>
      <c r="H21" s="6"/>
      <c r="I21" s="8"/>
      <c r="J21" s="6"/>
      <c r="K21" s="5"/>
      <c r="L21" s="5"/>
      <c r="M21" s="6"/>
      <c r="N21" s="6"/>
      <c r="O21" s="7"/>
      <c r="P21" s="6"/>
      <c r="Q21" s="5"/>
      <c r="R21" s="6"/>
      <c r="S21" s="6"/>
      <c r="T21" s="5"/>
    </row>
    <row r="22" spans="1:22" s="26" customFormat="1" ht="15" x14ac:dyDescent="0.25">
      <c r="A22" s="27" t="s">
        <v>3</v>
      </c>
      <c r="B22" s="28">
        <f>IF(B3=0,0,+B5/B3)</f>
        <v>0.11526447879998025</v>
      </c>
      <c r="C22" s="28">
        <f>IF(C3=0,0,+C5/C3)</f>
        <v>-0.9252436506203302</v>
      </c>
      <c r="D22" s="28">
        <v>4.7983746741214348E-2</v>
      </c>
      <c r="E22" s="28">
        <v>-5.7943652247802652E-2</v>
      </c>
      <c r="F22" s="28">
        <f>IF(F3=0,0,+F5/F3)</f>
        <v>0.13502313155665602</v>
      </c>
      <c r="G22" s="28">
        <f>IF(G3=0,0,+G5/G3)</f>
        <v>0.49398907103825135</v>
      </c>
      <c r="H22" s="28">
        <f>IF(H3=0,0,+H5/H3)</f>
        <v>0.35302217257115698</v>
      </c>
      <c r="I22" s="28">
        <f>IF(I3=0,0,+I5/I3)</f>
        <v>0.11506305142052325</v>
      </c>
      <c r="J22" s="28">
        <f>IF(J3=0,0,+J5/J3)</f>
        <v>8.4268881514892605E-2</v>
      </c>
      <c r="K22" s="28">
        <v>0.15819475567087313</v>
      </c>
      <c r="L22" s="28">
        <v>0.24280601288475304</v>
      </c>
      <c r="M22" s="28">
        <f t="shared" ref="M22:S22" si="0">IF(M3=0,0,+M5/M3)</f>
        <v>-0.69658559506616369</v>
      </c>
      <c r="N22" s="28">
        <f t="shared" si="0"/>
        <v>0.25870496027498907</v>
      </c>
      <c r="O22" s="28">
        <f t="shared" si="0"/>
        <v>0.14170863104532366</v>
      </c>
      <c r="P22" s="28">
        <f t="shared" si="0"/>
        <v>0.15712360402512351</v>
      </c>
      <c r="Q22" s="28">
        <v>0.22036279193584737</v>
      </c>
      <c r="R22" s="28">
        <f t="shared" si="0"/>
        <v>-0.17460076262461291</v>
      </c>
      <c r="S22" s="28">
        <f t="shared" si="0"/>
        <v>-5.7599641244981447E-3</v>
      </c>
      <c r="T22" s="28">
        <v>0.21424911649173356</v>
      </c>
    </row>
    <row r="23" spans="1:22" s="26" customFormat="1" ht="15" x14ac:dyDescent="0.25">
      <c r="A23" s="27" t="s">
        <v>2</v>
      </c>
      <c r="B23" s="29">
        <f>IF(B3=0,0,B20/B3)</f>
        <v>0.41906471446867488</v>
      </c>
      <c r="C23" s="29">
        <f>IF(C3=0,0,C20/C3)</f>
        <v>-1.1451308365840935</v>
      </c>
      <c r="D23" s="29">
        <v>-0.17480967088437266</v>
      </c>
      <c r="E23" s="29">
        <v>-0.39781991024721847</v>
      </c>
      <c r="F23" s="29">
        <f>IF(F3=0,0,F20/F3)</f>
        <v>2.3848309115788104E-3</v>
      </c>
      <c r="G23" s="29">
        <f>IF(G3=0,0,G20/G3)</f>
        <v>8.378870673952642E-3</v>
      </c>
      <c r="H23" s="29">
        <f>IF(H3=0,0,H20/H3)</f>
        <v>0.14009426681879153</v>
      </c>
      <c r="I23" s="29">
        <f>IF(I3=0,0,I20/I3)</f>
        <v>-9.0769149344029632E-2</v>
      </c>
      <c r="J23" s="29">
        <f>IF(J3=0,0,J20/J3)</f>
        <v>-0.95314642239752023</v>
      </c>
      <c r="K23" s="29">
        <v>1.6373786216928098E-2</v>
      </c>
      <c r="L23" s="29">
        <v>-0.49763779527559054</v>
      </c>
      <c r="M23" s="29">
        <f t="shared" ref="M23:S23" si="1">IF(M3=0,0,M20/M3)</f>
        <v>-1.958928456314442</v>
      </c>
      <c r="N23" s="29">
        <f t="shared" si="1"/>
        <v>0.13040086137944276</v>
      </c>
      <c r="O23" s="29">
        <f t="shared" si="1"/>
        <v>1.8264435019367406E-2</v>
      </c>
      <c r="P23" s="29">
        <f t="shared" si="1"/>
        <v>6.5760790414787454E-2</v>
      </c>
      <c r="Q23" s="29">
        <v>0.12043784111945102</v>
      </c>
      <c r="R23" s="29">
        <f t="shared" si="1"/>
        <v>-0.6754205773893116</v>
      </c>
      <c r="S23" s="29">
        <f t="shared" si="1"/>
        <v>-0.17088669179644037</v>
      </c>
      <c r="T23" s="29">
        <v>8.4431229425213611E-2</v>
      </c>
    </row>
    <row r="24" spans="1:22" s="26" customFormat="1" ht="15" x14ac:dyDescent="0.25">
      <c r="A24" s="27" t="s">
        <v>1</v>
      </c>
      <c r="B24" s="30">
        <f>+B8</f>
        <v>82.00003000000001</v>
      </c>
      <c r="C24" s="30">
        <f>+C8</f>
        <v>-15607.01964</v>
      </c>
      <c r="D24" s="30">
        <v>-70011.935370000007</v>
      </c>
      <c r="E24" s="30">
        <v>-138231</v>
      </c>
      <c r="F24" s="30">
        <f>+F8</f>
        <v>-11222</v>
      </c>
      <c r="G24" s="30">
        <f>+G8</f>
        <v>71</v>
      </c>
      <c r="H24" s="30">
        <f>+H8</f>
        <v>478.35622999999993</v>
      </c>
      <c r="I24" s="30">
        <f>+I8</f>
        <v>-1600.7029200000006</v>
      </c>
      <c r="J24" s="30">
        <f>+J8</f>
        <v>-15405</v>
      </c>
      <c r="K24" s="30">
        <v>3288</v>
      </c>
      <c r="L24" s="30">
        <v>-3915</v>
      </c>
      <c r="M24" s="30">
        <f t="shared" ref="M24:S24" si="2">+M8</f>
        <v>-1493.16695</v>
      </c>
      <c r="N24" s="30">
        <f t="shared" si="2"/>
        <v>197690</v>
      </c>
      <c r="O24" s="30">
        <f t="shared" si="2"/>
        <v>3736.9704499999989</v>
      </c>
      <c r="P24" s="30">
        <f t="shared" si="2"/>
        <v>14780</v>
      </c>
      <c r="Q24" s="30">
        <v>422485</v>
      </c>
      <c r="R24" s="30">
        <f t="shared" si="2"/>
        <v>-84281.974000000002</v>
      </c>
      <c r="S24" s="30">
        <f t="shared" si="2"/>
        <v>-81013</v>
      </c>
      <c r="T24" s="30">
        <v>207577.28773000004</v>
      </c>
    </row>
    <row r="25" spans="1:22" s="26" customFormat="1" ht="15" x14ac:dyDescent="0.25">
      <c r="A25" s="27" t="s">
        <v>0</v>
      </c>
      <c r="B25" s="31">
        <f>IF(B3=0,0,B24/B3)</f>
        <v>4.4092452375060591E-2</v>
      </c>
      <c r="C25" s="31">
        <f>IF(C3=0,0,C24/C3)</f>
        <v>-1.1451308365840935</v>
      </c>
      <c r="D25" s="31">
        <v>-0.16968404190333677</v>
      </c>
      <c r="E25" s="31">
        <v>-0.36705966701186965</v>
      </c>
      <c r="F25" s="31">
        <f>IF(F3=0,0,F24/F3)</f>
        <v>-0.14624356551769074</v>
      </c>
      <c r="G25" s="31">
        <f>IF(G3=0,0,G24/G3)</f>
        <v>2.5865209471766848E-2</v>
      </c>
      <c r="H25" s="31">
        <f>IF(H3=0,0,H24/H3)</f>
        <v>0.20502482975435188</v>
      </c>
      <c r="I25" s="31">
        <f>IF(I3=0,0,I24/I3)</f>
        <v>-8.8500138100766387E-2</v>
      </c>
      <c r="J25" s="31">
        <f>IF(J3=0,0,J24/J3)</f>
        <v>-0.30609811830627692</v>
      </c>
      <c r="K25" s="31">
        <v>3.2315131501356294E-2</v>
      </c>
      <c r="L25" s="31">
        <v>-0.56048675733715103</v>
      </c>
      <c r="M25" s="31">
        <f t="shared" ref="M25:S25" si="3">IF(M3=0,0,M24/M3)</f>
        <v>-1.9821948841778902</v>
      </c>
      <c r="N25" s="31">
        <f t="shared" si="3"/>
        <v>2.0561981022942172E-2</v>
      </c>
      <c r="O25" s="31">
        <f t="shared" si="3"/>
        <v>3.0500263317498992E-2</v>
      </c>
      <c r="P25" s="31">
        <f t="shared" si="3"/>
        <v>3.416685352868698E-2</v>
      </c>
      <c r="Q25" s="31">
        <v>7.01175460742572E-2</v>
      </c>
      <c r="R25" s="31">
        <f t="shared" si="3"/>
        <v>-0.60994607842551907</v>
      </c>
      <c r="S25" s="31">
        <f t="shared" si="3"/>
        <v>-0.17136686508188329</v>
      </c>
      <c r="T25" s="31">
        <v>1.1359006418801639E-2</v>
      </c>
    </row>
  </sheetData>
  <mergeCells count="2">
    <mergeCell ref="A1:M1"/>
    <mergeCell ref="N1:T1"/>
  </mergeCells>
  <conditionalFormatting sqref="B17 B20 B9">
    <cfRule type="cellIs" dxfId="1" priority="1" operator="notEqual">
      <formula>#REF!</formula>
    </cfRule>
    <cfRule type="cellIs" dxfId="0" priority="2" operator="equal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B1" workbookViewId="0">
      <selection activeCell="T1" sqref="T1"/>
    </sheetView>
  </sheetViews>
  <sheetFormatPr defaultRowHeight="12.75" x14ac:dyDescent="0.2"/>
  <cols>
    <col min="1" max="1" width="80.85546875" style="1" bestFit="1" customWidth="1"/>
    <col min="2" max="2" width="8.140625" style="1" bestFit="1" customWidth="1"/>
    <col min="3" max="3" width="10.5703125" style="1" bestFit="1" customWidth="1"/>
    <col min="4" max="4" width="10" style="1" bestFit="1" customWidth="1"/>
    <col min="5" max="6" width="9.140625" style="1"/>
    <col min="7" max="7" width="8.85546875" style="1" bestFit="1" customWidth="1"/>
    <col min="8" max="8" width="11.28515625" style="1" bestFit="1" customWidth="1"/>
    <col min="9" max="9" width="7.140625" style="1" bestFit="1" customWidth="1"/>
    <col min="10" max="10" width="11.42578125" style="1" bestFit="1" customWidth="1"/>
    <col min="11" max="11" width="11.5703125" style="1" bestFit="1" customWidth="1"/>
    <col min="12" max="12" width="8.140625" style="1" bestFit="1" customWidth="1"/>
    <col min="13" max="13" width="6.5703125" style="1" bestFit="1" customWidth="1"/>
    <col min="14" max="14" width="11.7109375" style="1" bestFit="1" customWidth="1"/>
    <col min="15" max="15" width="9.140625" style="1"/>
    <col min="16" max="16" width="10.140625" style="1" bestFit="1" customWidth="1"/>
    <col min="17" max="17" width="11.7109375" style="1" bestFit="1" customWidth="1"/>
    <col min="18" max="18" width="10.42578125" style="1" bestFit="1" customWidth="1"/>
    <col min="19" max="19" width="9.85546875" style="1" bestFit="1" customWidth="1"/>
    <col min="20" max="20" width="11.7109375" style="40" bestFit="1" customWidth="1"/>
    <col min="21" max="16384" width="9.140625" style="1"/>
  </cols>
  <sheetData>
    <row r="1" spans="1:20" ht="15" x14ac:dyDescent="0.2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5"/>
      <c r="N1" s="25"/>
      <c r="O1" s="25"/>
      <c r="P1" s="25"/>
      <c r="Q1" s="32"/>
      <c r="R1" s="25"/>
      <c r="S1" s="25"/>
      <c r="T1" s="33">
        <v>1000</v>
      </c>
    </row>
    <row r="2" spans="1:20" ht="15" x14ac:dyDescent="0.25">
      <c r="A2" s="15" t="s">
        <v>40</v>
      </c>
      <c r="B2" s="15" t="s">
        <v>39</v>
      </c>
      <c r="C2" s="15" t="s">
        <v>38</v>
      </c>
      <c r="D2" s="15" t="s">
        <v>37</v>
      </c>
      <c r="E2" s="15" t="s">
        <v>36</v>
      </c>
      <c r="F2" s="15" t="s">
        <v>35</v>
      </c>
      <c r="G2" s="15" t="s">
        <v>34</v>
      </c>
      <c r="H2" s="15" t="s">
        <v>33</v>
      </c>
      <c r="I2" s="15" t="s">
        <v>32</v>
      </c>
      <c r="J2" s="15" t="s">
        <v>31</v>
      </c>
      <c r="K2" s="15" t="s">
        <v>30</v>
      </c>
      <c r="L2" s="15" t="s">
        <v>29</v>
      </c>
      <c r="M2" s="15" t="s">
        <v>62</v>
      </c>
      <c r="N2" s="15" t="s">
        <v>27</v>
      </c>
      <c r="O2" s="15" t="s">
        <v>26</v>
      </c>
      <c r="P2" s="15" t="s">
        <v>25</v>
      </c>
      <c r="Q2" s="15" t="s">
        <v>64</v>
      </c>
      <c r="R2" s="15" t="s">
        <v>24</v>
      </c>
      <c r="S2" s="15" t="s">
        <v>23</v>
      </c>
      <c r="T2" s="15" t="s">
        <v>22</v>
      </c>
    </row>
    <row r="3" spans="1:20" s="8" customFormat="1" ht="15" x14ac:dyDescent="0.25">
      <c r="A3" s="23" t="s">
        <v>61</v>
      </c>
      <c r="B3" s="8">
        <v>2620.0761699999998</v>
      </c>
      <c r="C3" s="8">
        <v>26970.533879999999</v>
      </c>
      <c r="D3" s="8">
        <v>126960</v>
      </c>
      <c r="E3" s="8">
        <v>537312</v>
      </c>
      <c r="F3" s="8">
        <v>93952</v>
      </c>
      <c r="G3" s="8">
        <f>3675935.35/1000</f>
        <v>3675.9353500000002</v>
      </c>
      <c r="H3" s="8">
        <f>2175723.47/1000</f>
        <v>2175.7234700000004</v>
      </c>
      <c r="I3" s="8">
        <f>11866093.87/1000</f>
        <v>11866.093869999999</v>
      </c>
      <c r="J3" s="8">
        <v>47391</v>
      </c>
      <c r="K3" s="8">
        <v>59749</v>
      </c>
      <c r="L3" s="8">
        <v>11052</v>
      </c>
      <c r="M3" s="8">
        <v>5479.5329599999995</v>
      </c>
      <c r="N3" s="8">
        <v>11468869</v>
      </c>
      <c r="O3" s="8">
        <f>120017475.81/1000</f>
        <v>120017.47581</v>
      </c>
      <c r="P3" s="8">
        <v>740015</v>
      </c>
      <c r="Q3" s="8">
        <v>7535861</v>
      </c>
      <c r="R3" s="8">
        <v>528576.147</v>
      </c>
      <c r="S3" s="8">
        <v>316344</v>
      </c>
      <c r="T3" s="14">
        <v>21768213.46322</v>
      </c>
    </row>
    <row r="4" spans="1:20" ht="15" x14ac:dyDescent="0.25">
      <c r="A4" s="4" t="s">
        <v>60</v>
      </c>
      <c r="B4" s="3">
        <v>2580.14192</v>
      </c>
      <c r="C4" s="3">
        <v>5127.3631599999999</v>
      </c>
      <c r="D4" s="3">
        <v>78804</v>
      </c>
      <c r="E4" s="3">
        <v>191867</v>
      </c>
      <c r="F4" s="3">
        <v>74482</v>
      </c>
      <c r="G4" s="3">
        <f>1787187.15/1000</f>
        <v>1787.18715</v>
      </c>
      <c r="H4" s="3">
        <f>1388361.22/1000</f>
        <v>1388.36122</v>
      </c>
      <c r="I4" s="3">
        <f>2808395.05/1000</f>
        <v>2808.3950499999996</v>
      </c>
      <c r="J4" s="3">
        <v>11487</v>
      </c>
      <c r="K4" s="3">
        <v>23694</v>
      </c>
      <c r="L4" s="3">
        <v>3491</v>
      </c>
      <c r="M4" s="3">
        <v>1362.97873</v>
      </c>
      <c r="N4" s="3">
        <v>2487354</v>
      </c>
      <c r="O4" s="3">
        <f>43160684.45/1000</f>
        <v>43160.684450000001</v>
      </c>
      <c r="P4" s="3">
        <v>135080</v>
      </c>
      <c r="Q4" s="3">
        <v>2076698</v>
      </c>
      <c r="R4" s="3">
        <v>93969.652000000002</v>
      </c>
      <c r="S4" s="3">
        <v>172793</v>
      </c>
      <c r="T4" s="36">
        <v>5502257.6657299995</v>
      </c>
    </row>
    <row r="5" spans="1:20" ht="15" x14ac:dyDescent="0.25">
      <c r="A5" s="2" t="s">
        <v>59</v>
      </c>
      <c r="B5" s="3">
        <f>B6+B7+B8</f>
        <v>39.934249999999999</v>
      </c>
      <c r="C5" s="3">
        <v>21843.170719999998</v>
      </c>
      <c r="D5" s="3">
        <v>48156</v>
      </c>
      <c r="E5" s="3">
        <v>345445</v>
      </c>
      <c r="F5" s="3">
        <v>19470</v>
      </c>
      <c r="G5" s="3">
        <f>1888748.2/1000</f>
        <v>1888.7482</v>
      </c>
      <c r="H5" s="3">
        <f>H6+H7+H8</f>
        <v>787.36225000000013</v>
      </c>
      <c r="I5" s="3">
        <f>9057698.82/1000</f>
        <v>9057.6988199999996</v>
      </c>
      <c r="J5" s="3">
        <v>35904</v>
      </c>
      <c r="K5" s="3">
        <v>36055</v>
      </c>
      <c r="L5" s="3">
        <v>7561</v>
      </c>
      <c r="M5" s="3">
        <v>4116.5542299999997</v>
      </c>
      <c r="N5" s="3">
        <v>8981515</v>
      </c>
      <c r="O5" s="3">
        <f>76856791.36/1000</f>
        <v>76856.791360000003</v>
      </c>
      <c r="P5" s="3">
        <v>604935</v>
      </c>
      <c r="Q5" s="3">
        <v>5459163</v>
      </c>
      <c r="R5" s="3">
        <v>434606.495</v>
      </c>
      <c r="S5" s="3">
        <v>143551</v>
      </c>
      <c r="T5" s="36">
        <v>16265955.797490001</v>
      </c>
    </row>
    <row r="6" spans="1:20" ht="15" x14ac:dyDescent="0.25">
      <c r="A6" s="4" t="s">
        <v>58</v>
      </c>
      <c r="B6" s="3">
        <f>1313.22/1000</f>
        <v>1.3132200000000001</v>
      </c>
      <c r="C6" s="3">
        <v>88.54</v>
      </c>
      <c r="D6" s="3">
        <v>0</v>
      </c>
      <c r="E6" s="3">
        <v>55084</v>
      </c>
      <c r="F6" s="3">
        <v>1654</v>
      </c>
      <c r="G6" s="3">
        <v>0</v>
      </c>
      <c r="H6" s="3">
        <f>383800/1000</f>
        <v>383.8</v>
      </c>
      <c r="I6" s="3">
        <f>7430215.17/1000</f>
        <v>7430.2151699999995</v>
      </c>
      <c r="J6" s="3">
        <v>0</v>
      </c>
      <c r="K6" s="3">
        <v>8565</v>
      </c>
      <c r="L6" s="3">
        <f>1099+482</f>
        <v>1581</v>
      </c>
      <c r="M6" s="3">
        <v>0</v>
      </c>
      <c r="N6" s="3">
        <v>763882</v>
      </c>
      <c r="O6" s="3">
        <f>8398280.28/1000</f>
        <v>8398.280279999999</v>
      </c>
      <c r="P6" s="3">
        <v>33592</v>
      </c>
      <c r="Q6" s="3">
        <v>1689258</v>
      </c>
      <c r="R6" s="3">
        <v>419699.48800000001</v>
      </c>
      <c r="S6" s="3">
        <v>33931</v>
      </c>
      <c r="T6" s="36">
        <v>3041678.40215</v>
      </c>
    </row>
    <row r="7" spans="1:20" ht="15" x14ac:dyDescent="0.25">
      <c r="A7" s="2" t="s">
        <v>57</v>
      </c>
      <c r="B7" s="3">
        <v>38.621029999999998</v>
      </c>
      <c r="C7" s="3">
        <v>21754.630720000001</v>
      </c>
      <c r="D7" s="3">
        <v>46902</v>
      </c>
      <c r="E7" s="3">
        <v>290361</v>
      </c>
      <c r="F7" s="3">
        <v>17816</v>
      </c>
      <c r="G7" s="3">
        <f>1888748.2/1000</f>
        <v>1888.7482</v>
      </c>
      <c r="H7" s="3">
        <f>450156.2/1000</f>
        <v>450.15620000000001</v>
      </c>
      <c r="I7" s="3">
        <f>1627483.65/1000</f>
        <v>1627.4836499999999</v>
      </c>
      <c r="J7" s="3">
        <v>35904</v>
      </c>
      <c r="K7" s="3">
        <v>27490</v>
      </c>
      <c r="L7" s="3">
        <f>5961+19</f>
        <v>5980</v>
      </c>
      <c r="M7" s="3">
        <v>4116.5542299999997</v>
      </c>
      <c r="N7" s="3">
        <v>8217633</v>
      </c>
      <c r="O7" s="3">
        <f>68458511.08/1000</f>
        <v>68458.511079999997</v>
      </c>
      <c r="P7" s="3">
        <v>571343</v>
      </c>
      <c r="Q7" s="3">
        <v>3752601</v>
      </c>
      <c r="R7" s="3">
        <v>14907.007</v>
      </c>
      <c r="S7" s="3">
        <v>109620</v>
      </c>
      <c r="T7" s="36">
        <v>13205767.49505</v>
      </c>
    </row>
    <row r="8" spans="1:20" ht="15" x14ac:dyDescent="0.25">
      <c r="A8" s="4" t="s">
        <v>49</v>
      </c>
      <c r="B8" s="3"/>
      <c r="C8" s="3">
        <v>0</v>
      </c>
      <c r="D8" s="3">
        <v>1255</v>
      </c>
      <c r="E8" s="3">
        <v>0</v>
      </c>
      <c r="F8" s="3">
        <v>0</v>
      </c>
      <c r="G8" s="3">
        <v>0</v>
      </c>
      <c r="H8" s="3">
        <f>(60858.12-107452.07)/1000</f>
        <v>-46.593950000000007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17304</v>
      </c>
      <c r="R8" s="3">
        <v>0</v>
      </c>
      <c r="S8" s="3"/>
      <c r="T8" s="36">
        <v>18510.900290000001</v>
      </c>
    </row>
    <row r="9" spans="1:20" ht="15" x14ac:dyDescent="0.25">
      <c r="A9" s="9"/>
      <c r="B9" s="24"/>
      <c r="C9" s="24"/>
      <c r="D9" s="24"/>
      <c r="E9" s="24"/>
      <c r="F9" s="21"/>
      <c r="G9" s="21"/>
      <c r="H9" s="24"/>
      <c r="I9" s="24"/>
      <c r="J9" s="21"/>
      <c r="K9" s="21"/>
      <c r="L9" s="19"/>
      <c r="M9" s="24"/>
      <c r="N9" s="24"/>
      <c r="O9" s="19"/>
      <c r="P9" s="24"/>
      <c r="Q9" s="24"/>
      <c r="R9" s="24"/>
      <c r="S9" s="19"/>
      <c r="T9" s="37"/>
    </row>
    <row r="10" spans="1:20" s="8" customFormat="1" ht="15" x14ac:dyDescent="0.25">
      <c r="A10" s="23" t="s">
        <v>56</v>
      </c>
      <c r="B10" s="8">
        <v>2620.0761699999998</v>
      </c>
      <c r="C10" s="8">
        <f>26970533.88/1000</f>
        <v>26970.533879999999</v>
      </c>
      <c r="D10" s="8">
        <v>126960</v>
      </c>
      <c r="E10" s="8">
        <v>537312</v>
      </c>
      <c r="F10" s="8">
        <v>93952</v>
      </c>
      <c r="G10" s="8">
        <f>3675935.35/1000</f>
        <v>3675.9353500000002</v>
      </c>
      <c r="H10" s="8">
        <f>2175723.47/1000</f>
        <v>2175.7234700000004</v>
      </c>
      <c r="I10" s="8">
        <f>11866093.87/1000</f>
        <v>11866.093869999999</v>
      </c>
      <c r="J10" s="8">
        <v>47391</v>
      </c>
      <c r="K10" s="8">
        <v>59749</v>
      </c>
      <c r="L10" s="8">
        <v>11052</v>
      </c>
      <c r="M10" s="8">
        <v>5479.5329599999995</v>
      </c>
      <c r="N10" s="8">
        <v>11468869</v>
      </c>
      <c r="O10" s="8">
        <f>120017475.81/1000</f>
        <v>120017.47581</v>
      </c>
      <c r="P10" s="8">
        <v>740015</v>
      </c>
      <c r="Q10" s="8">
        <v>7535861</v>
      </c>
      <c r="R10" s="8">
        <v>528576.147</v>
      </c>
      <c r="S10" s="8">
        <v>316344</v>
      </c>
      <c r="T10" s="14">
        <v>21768213.46322</v>
      </c>
    </row>
    <row r="11" spans="1:20" s="5" customFormat="1" x14ac:dyDescent="0.2">
      <c r="A11" s="22" t="s">
        <v>55</v>
      </c>
      <c r="B11" s="5">
        <v>1523.3063</v>
      </c>
      <c r="C11" s="5">
        <f>16953538.38/1000</f>
        <v>16953.538379999998</v>
      </c>
      <c r="D11" s="5">
        <v>120868</v>
      </c>
      <c r="E11" s="5">
        <v>191085</v>
      </c>
      <c r="F11" s="5">
        <v>47439</v>
      </c>
      <c r="G11" s="5">
        <f>7008536.05/1000</f>
        <v>7008.5360499999997</v>
      </c>
      <c r="H11" s="5">
        <f>1359719.95/1000</f>
        <v>1359.7199499999999</v>
      </c>
      <c r="I11" s="5">
        <f>2786825.72/1000</f>
        <v>2786.8257200000003</v>
      </c>
      <c r="J11" s="5">
        <v>63016</v>
      </c>
      <c r="K11" s="5">
        <v>40614</v>
      </c>
      <c r="L11" s="5">
        <v>5522</v>
      </c>
      <c r="M11" s="5">
        <v>4755.1735500000004</v>
      </c>
      <c r="N11" s="5">
        <v>4121579</v>
      </c>
      <c r="O11" s="5">
        <f>58962199.96/1000</f>
        <v>58962.199959999998</v>
      </c>
      <c r="P11" s="5">
        <v>182714</v>
      </c>
      <c r="Q11" s="5">
        <v>1958692</v>
      </c>
      <c r="R11" s="5">
        <v>284311.86900000001</v>
      </c>
      <c r="S11" s="5">
        <v>296286</v>
      </c>
      <c r="T11" s="38">
        <v>7517887.8327799998</v>
      </c>
    </row>
    <row r="12" spans="1:20" s="5" customFormat="1" x14ac:dyDescent="0.2">
      <c r="A12" s="22" t="s">
        <v>54</v>
      </c>
      <c r="B12" s="5">
        <v>0</v>
      </c>
      <c r="C12" s="5">
        <f>58393815.81/1000</f>
        <v>58393.81581</v>
      </c>
      <c r="D12" s="5">
        <v>4794</v>
      </c>
      <c r="E12" s="5">
        <v>247970</v>
      </c>
      <c r="F12" s="5">
        <v>24833</v>
      </c>
      <c r="G12" s="5">
        <v>0</v>
      </c>
      <c r="H12" s="5">
        <f>463415.77/1000</f>
        <v>463.41577000000001</v>
      </c>
      <c r="I12" s="5">
        <f>9017135.51/1000</f>
        <v>9017.1355100000001</v>
      </c>
      <c r="J12" s="5">
        <v>73081</v>
      </c>
      <c r="K12" s="5">
        <v>7406</v>
      </c>
      <c r="L12" s="5">
        <v>800</v>
      </c>
      <c r="M12" s="5">
        <v>0</v>
      </c>
      <c r="N12" s="5">
        <v>6073058</v>
      </c>
      <c r="O12" s="5">
        <f>34848941.09/1000</f>
        <v>34848.94109</v>
      </c>
      <c r="P12" s="5">
        <v>445289</v>
      </c>
      <c r="Q12" s="5">
        <v>3160036</v>
      </c>
      <c r="R12" s="5">
        <v>204020.022</v>
      </c>
      <c r="S12" s="5">
        <v>33545</v>
      </c>
      <c r="T12" s="38">
        <v>10387259.74948</v>
      </c>
    </row>
    <row r="13" spans="1:20" s="8" customFormat="1" ht="15" x14ac:dyDescent="0.25">
      <c r="A13" s="23" t="s">
        <v>53</v>
      </c>
      <c r="B13" s="8">
        <v>1096.7698700000001</v>
      </c>
      <c r="C13" s="8">
        <f>-48376820.31/1000</f>
        <v>-48376.820310000003</v>
      </c>
      <c r="D13" s="8">
        <v>1298</v>
      </c>
      <c r="E13" s="8">
        <v>98257</v>
      </c>
      <c r="F13" s="8">
        <v>21680</v>
      </c>
      <c r="G13" s="8">
        <f>-3332600.7/1000</f>
        <v>-3332.6007</v>
      </c>
      <c r="H13" s="8">
        <f>352587.75/1000</f>
        <v>352.58775000000003</v>
      </c>
      <c r="I13" s="8">
        <f>I14+I15+I16+I17</f>
        <v>62.13263999999981</v>
      </c>
      <c r="J13" s="8">
        <v>-88706</v>
      </c>
      <c r="K13" s="8">
        <v>11729</v>
      </c>
      <c r="L13" s="8">
        <v>4730</v>
      </c>
      <c r="M13" s="8">
        <v>724.35941000000003</v>
      </c>
      <c r="N13" s="8">
        <v>1274232</v>
      </c>
      <c r="O13" s="8">
        <f>26206334.76/1000</f>
        <v>26206.334760000002</v>
      </c>
      <c r="P13" s="8">
        <v>112012</v>
      </c>
      <c r="Q13" s="8">
        <v>2417133</v>
      </c>
      <c r="R13" s="8">
        <v>40244.256000000001</v>
      </c>
      <c r="S13" s="8">
        <v>-13487</v>
      </c>
      <c r="T13" s="14">
        <v>3863065.8809599997</v>
      </c>
    </row>
    <row r="14" spans="1:20" s="5" customFormat="1" x14ac:dyDescent="0.2">
      <c r="A14" s="22" t="s">
        <v>52</v>
      </c>
      <c r="B14" s="5">
        <v>1558.8030000000001</v>
      </c>
      <c r="C14" s="5">
        <f>4300000/1000</f>
        <v>4300</v>
      </c>
      <c r="D14" s="5">
        <v>612356</v>
      </c>
      <c r="E14" s="5">
        <v>260810</v>
      </c>
      <c r="F14" s="5">
        <v>5000</v>
      </c>
      <c r="G14" s="5">
        <f>545740/1000</f>
        <v>545.74</v>
      </c>
      <c r="H14" s="5">
        <f>1323000/1000</f>
        <v>1323</v>
      </c>
      <c r="I14" s="5">
        <f>11500000/1000</f>
        <v>11500</v>
      </c>
      <c r="J14" s="5">
        <v>22649</v>
      </c>
      <c r="K14" s="5">
        <v>20298</v>
      </c>
      <c r="L14" s="5">
        <v>10000</v>
      </c>
      <c r="M14" s="5">
        <v>2200</v>
      </c>
      <c r="N14" s="5">
        <v>752727</v>
      </c>
      <c r="O14" s="5">
        <f>4000000/1000</f>
        <v>4000</v>
      </c>
      <c r="P14" s="5">
        <v>80542</v>
      </c>
      <c r="Q14" s="5">
        <v>2294192</v>
      </c>
      <c r="R14" s="5">
        <f>231830922/1000</f>
        <v>231830.92199999999</v>
      </c>
      <c r="S14" s="5">
        <v>85100</v>
      </c>
      <c r="T14" s="38">
        <v>4412093.4649999999</v>
      </c>
    </row>
    <row r="15" spans="1:20" s="5" customFormat="1" x14ac:dyDescent="0.2">
      <c r="A15" s="22" t="s">
        <v>51</v>
      </c>
      <c r="B15" s="5">
        <v>-470.09</v>
      </c>
      <c r="C15" s="5">
        <f>-52676820.31/1000</f>
        <v>-52676.820310000003</v>
      </c>
      <c r="D15" s="5">
        <v>-593532</v>
      </c>
      <c r="E15" s="5">
        <v>-15177</v>
      </c>
      <c r="F15" s="5">
        <v>16593</v>
      </c>
      <c r="G15" s="5">
        <f>-3878340.7/1000</f>
        <v>-3878.3407000000002</v>
      </c>
      <c r="H15" s="5">
        <f>-1346054.21/1000</f>
        <v>-1346.05421</v>
      </c>
      <c r="I15" s="5">
        <f>-11437867.36/1000</f>
        <v>-11437.86736</v>
      </c>
      <c r="J15" s="5">
        <v>-36749</v>
      </c>
      <c r="K15" s="5">
        <v>-18679</v>
      </c>
      <c r="L15" s="5">
        <v>-10670</v>
      </c>
      <c r="M15" s="5">
        <v>-1475.64059</v>
      </c>
      <c r="N15" s="5">
        <v>-1608643</v>
      </c>
      <c r="O15" s="5">
        <v>0</v>
      </c>
      <c r="P15" s="5">
        <v>-66686</v>
      </c>
      <c r="Q15" s="5">
        <v>-1605526</v>
      </c>
      <c r="R15" s="5">
        <f>-217416579/1000</f>
        <v>-217416.579</v>
      </c>
      <c r="S15" s="5">
        <v>-103633</v>
      </c>
      <c r="T15" s="38">
        <v>-4332177.4247099999</v>
      </c>
    </row>
    <row r="16" spans="1:20" s="5" customFormat="1" x14ac:dyDescent="0.2">
      <c r="A16" s="22" t="s">
        <v>50</v>
      </c>
      <c r="B16" s="5">
        <v>0</v>
      </c>
      <c r="C16" s="5">
        <v>0</v>
      </c>
      <c r="D16" s="5">
        <v>-73778</v>
      </c>
      <c r="E16" s="5">
        <v>-149815</v>
      </c>
      <c r="F16" s="5">
        <v>0</v>
      </c>
      <c r="G16" s="5">
        <v>0</v>
      </c>
      <c r="H16" s="5">
        <f>375641.96/1000</f>
        <v>375.64196000000004</v>
      </c>
      <c r="I16" s="5">
        <v>0</v>
      </c>
      <c r="J16" s="5">
        <v>-74606</v>
      </c>
      <c r="K16" s="5">
        <v>1666</v>
      </c>
      <c r="L16" s="5">
        <v>0</v>
      </c>
      <c r="M16" s="5">
        <v>0</v>
      </c>
      <c r="N16" s="5">
        <v>1253719</v>
      </c>
      <c r="O16" s="5">
        <f>2237805.4/1000</f>
        <v>2237.8053999999997</v>
      </c>
      <c r="P16" s="5">
        <v>28447</v>
      </c>
      <c r="Q16" s="5">
        <v>725684</v>
      </c>
      <c r="R16" s="5">
        <f>-93329200/1000</f>
        <v>-93329.2</v>
      </c>
      <c r="S16" s="5">
        <v>-80786</v>
      </c>
      <c r="T16" s="38">
        <v>1535900.5156399999</v>
      </c>
    </row>
    <row r="17" spans="1:20" s="5" customFormat="1" x14ac:dyDescent="0.2">
      <c r="A17" s="22" t="s">
        <v>49</v>
      </c>
      <c r="B17" s="5">
        <v>8.05687</v>
      </c>
      <c r="C17" s="5">
        <v>0</v>
      </c>
      <c r="D17" s="5">
        <v>56252</v>
      </c>
      <c r="E17" s="5">
        <v>2439</v>
      </c>
      <c r="F17" s="5">
        <v>87</v>
      </c>
      <c r="G17" s="5">
        <v>0</v>
      </c>
      <c r="H17" s="5">
        <v>0</v>
      </c>
      <c r="I17" s="5">
        <v>0</v>
      </c>
      <c r="J17" s="5">
        <v>0</v>
      </c>
      <c r="K17" s="5">
        <v>8444</v>
      </c>
      <c r="L17" s="5">
        <v>5400</v>
      </c>
      <c r="M17" s="5">
        <v>0</v>
      </c>
      <c r="N17" s="5">
        <v>876429</v>
      </c>
      <c r="O17" s="5">
        <f>(1591493.99+85729.37+18291306)/1000</f>
        <v>19968.52936</v>
      </c>
      <c r="P17" s="5">
        <v>69709</v>
      </c>
      <c r="Q17" s="5">
        <v>1002783</v>
      </c>
      <c r="R17" s="5">
        <f>119159113/1000</f>
        <v>119159.113</v>
      </c>
      <c r="S17" s="5">
        <v>85832</v>
      </c>
      <c r="T17" s="38">
        <v>2247249.3250299999</v>
      </c>
    </row>
    <row r="18" spans="1:20" ht="15" x14ac:dyDescent="0.25">
      <c r="A18" s="11"/>
      <c r="B18" s="20"/>
      <c r="C18" s="19"/>
      <c r="D18" s="20"/>
      <c r="E18" s="19"/>
      <c r="F18" s="20"/>
      <c r="G18" s="20"/>
      <c r="H18" s="20"/>
      <c r="I18" s="19"/>
      <c r="J18" s="21"/>
      <c r="K18" s="20"/>
      <c r="L18" s="19"/>
      <c r="M18" s="19"/>
      <c r="N18" s="19"/>
      <c r="O18" s="19"/>
      <c r="P18" s="20"/>
      <c r="Q18" s="19"/>
      <c r="R18" s="19"/>
      <c r="S18" s="19"/>
      <c r="T18" s="37"/>
    </row>
    <row r="19" spans="1:20" s="17" customFormat="1" ht="15" x14ac:dyDescent="0.25">
      <c r="A19" s="18" t="s">
        <v>48</v>
      </c>
      <c r="B19" s="17">
        <f t="shared" ref="B19:S19" si="0">+B4/B11</f>
        <v>1.6937774891366235</v>
      </c>
      <c r="C19" s="17">
        <f t="shared" si="0"/>
        <v>0.30243616672073154</v>
      </c>
      <c r="D19" s="17">
        <f t="shared" si="0"/>
        <v>0.65198398252639245</v>
      </c>
      <c r="E19" s="17">
        <f t="shared" si="0"/>
        <v>1.0040924196038412</v>
      </c>
      <c r="F19" s="17">
        <f t="shared" si="0"/>
        <v>1.5700583907755223</v>
      </c>
      <c r="G19" s="17">
        <f t="shared" si="0"/>
        <v>0.25500149207336958</v>
      </c>
      <c r="H19" s="17">
        <f t="shared" si="0"/>
        <v>1.0210640948527674</v>
      </c>
      <c r="I19" s="17">
        <f t="shared" si="0"/>
        <v>1.00773974843321</v>
      </c>
      <c r="J19" s="17">
        <f t="shared" si="0"/>
        <v>0.18228703821251746</v>
      </c>
      <c r="K19" s="17">
        <f t="shared" si="0"/>
        <v>0.58339488846210663</v>
      </c>
      <c r="L19" s="17">
        <f t="shared" si="0"/>
        <v>0.63219847881202462</v>
      </c>
      <c r="M19" s="17">
        <f t="shared" si="0"/>
        <v>0.28663070141782732</v>
      </c>
      <c r="N19" s="17">
        <f t="shared" si="0"/>
        <v>0.60349540794923495</v>
      </c>
      <c r="O19" s="17">
        <f t="shared" si="0"/>
        <v>0.73200600519112657</v>
      </c>
      <c r="P19" s="17">
        <f t="shared" si="0"/>
        <v>0.73929748130958761</v>
      </c>
      <c r="Q19" s="17">
        <f t="shared" ref="Q19" si="1">+Q4/Q11</f>
        <v>1.0602473487408943</v>
      </c>
      <c r="R19" s="17">
        <f t="shared" si="0"/>
        <v>0.33051610659279229</v>
      </c>
      <c r="S19" s="17">
        <f t="shared" si="0"/>
        <v>0.58319664108327762</v>
      </c>
      <c r="T19" s="39">
        <v>0.73188876824401206</v>
      </c>
    </row>
    <row r="20" spans="1:20" s="17" customFormat="1" ht="15" x14ac:dyDescent="0.25">
      <c r="A20" s="18" t="s">
        <v>47</v>
      </c>
      <c r="B20" s="17">
        <f t="shared" ref="B20:T20" si="2">+(B4+B6)/(B11+B12)</f>
        <v>1.6946395744572185</v>
      </c>
      <c r="C20" s="17">
        <f t="shared" si="2"/>
        <v>6.9224768620903321E-2</v>
      </c>
      <c r="D20" s="17">
        <f t="shared" si="2"/>
        <v>0.6271108210914994</v>
      </c>
      <c r="E20" s="17">
        <f t="shared" si="2"/>
        <v>0.56246028401908643</v>
      </c>
      <c r="F20" s="17">
        <f t="shared" si="2"/>
        <v>1.0534646889528447</v>
      </c>
      <c r="G20" s="17">
        <f t="shared" si="2"/>
        <v>0.25500149207336958</v>
      </c>
      <c r="H20" s="17">
        <f t="shared" si="2"/>
        <v>0.97204020554213044</v>
      </c>
      <c r="I20" s="17">
        <f t="shared" si="2"/>
        <v>0.86738765237371063</v>
      </c>
      <c r="J20" s="17">
        <f t="shared" si="2"/>
        <v>8.4403036069861936E-2</v>
      </c>
      <c r="K20" s="17">
        <f t="shared" si="2"/>
        <v>0.67178259058725531</v>
      </c>
      <c r="L20" s="17">
        <f t="shared" si="2"/>
        <v>0.80227776020246755</v>
      </c>
      <c r="M20" s="17">
        <f t="shared" si="2"/>
        <v>0.28663070141782732</v>
      </c>
      <c r="N20" s="17">
        <f t="shared" si="2"/>
        <v>0.31891630864345638</v>
      </c>
      <c r="O20" s="17">
        <f t="shared" si="2"/>
        <v>0.54960385464792294</v>
      </c>
      <c r="P20" s="17">
        <f t="shared" si="2"/>
        <v>0.26858470421319641</v>
      </c>
      <c r="Q20" s="17">
        <f t="shared" ref="Q20" si="3">+(Q4+Q6)/(Q11+Q12)</f>
        <v>0.73572106195132858</v>
      </c>
      <c r="R20" s="17">
        <f t="shared" si="2"/>
        <v>1.0518853047834225</v>
      </c>
      <c r="S20" s="17">
        <f t="shared" si="2"/>
        <v>0.6267573393647049</v>
      </c>
      <c r="T20" s="39">
        <v>0.47717764004051727</v>
      </c>
    </row>
    <row r="21" spans="1:20" s="17" customFormat="1" ht="15" x14ac:dyDescent="0.25">
      <c r="A21" s="18" t="s">
        <v>46</v>
      </c>
      <c r="B21" s="17">
        <f t="shared" ref="B21:T21" si="4">+B13</f>
        <v>1096.7698700000001</v>
      </c>
      <c r="C21" s="17">
        <f t="shared" si="4"/>
        <v>-48376.820310000003</v>
      </c>
      <c r="D21" s="17">
        <f t="shared" si="4"/>
        <v>1298</v>
      </c>
      <c r="E21" s="17">
        <f t="shared" si="4"/>
        <v>98257</v>
      </c>
      <c r="F21" s="17">
        <f t="shared" si="4"/>
        <v>21680</v>
      </c>
      <c r="G21" s="17">
        <f t="shared" si="4"/>
        <v>-3332.6007</v>
      </c>
      <c r="H21" s="17">
        <f t="shared" si="4"/>
        <v>352.58775000000003</v>
      </c>
      <c r="I21" s="17">
        <f t="shared" si="4"/>
        <v>62.13263999999981</v>
      </c>
      <c r="J21" s="17">
        <f t="shared" si="4"/>
        <v>-88706</v>
      </c>
      <c r="K21" s="17">
        <f t="shared" si="4"/>
        <v>11729</v>
      </c>
      <c r="L21" s="17">
        <f t="shared" si="4"/>
        <v>4730</v>
      </c>
      <c r="M21" s="17">
        <f t="shared" si="4"/>
        <v>724.35941000000003</v>
      </c>
      <c r="N21" s="17">
        <f t="shared" si="4"/>
        <v>1274232</v>
      </c>
      <c r="O21" s="17">
        <f t="shared" si="4"/>
        <v>26206.334760000002</v>
      </c>
      <c r="P21" s="17">
        <f t="shared" si="4"/>
        <v>112012</v>
      </c>
      <c r="Q21" s="17">
        <f t="shared" ref="Q21" si="5">+Q13</f>
        <v>2417133</v>
      </c>
      <c r="R21" s="17">
        <f t="shared" si="4"/>
        <v>40244.256000000001</v>
      </c>
      <c r="S21" s="17">
        <f t="shared" si="4"/>
        <v>-13487</v>
      </c>
      <c r="T21" s="39">
        <v>3863065.8809599997</v>
      </c>
    </row>
    <row r="22" spans="1:20" s="17" customFormat="1" ht="15" x14ac:dyDescent="0.25">
      <c r="A22" s="18" t="s">
        <v>45</v>
      </c>
      <c r="B22" s="17">
        <f t="shared" ref="B22:T22" si="6">((B11+B12))/B3</f>
        <v>0.58139771562442788</v>
      </c>
      <c r="C22" s="17">
        <f t="shared" si="6"/>
        <v>2.7936916089701076</v>
      </c>
      <c r="D22" s="17">
        <f t="shared" si="6"/>
        <v>0.98977630749842471</v>
      </c>
      <c r="E22" s="17">
        <f t="shared" si="6"/>
        <v>0.81713231790840335</v>
      </c>
      <c r="F22" s="17">
        <f t="shared" si="6"/>
        <v>0.76924386920980925</v>
      </c>
      <c r="G22" s="17">
        <f t="shared" si="6"/>
        <v>1.9065993774890517</v>
      </c>
      <c r="H22" s="17">
        <f t="shared" si="6"/>
        <v>0.83794459412620104</v>
      </c>
      <c r="I22" s="17">
        <f t="shared" si="6"/>
        <v>0.99476385062509221</v>
      </c>
      <c r="J22" s="17">
        <f t="shared" si="6"/>
        <v>2.871790002321116</v>
      </c>
      <c r="K22" s="17">
        <f t="shared" si="6"/>
        <v>0.80369545933823161</v>
      </c>
      <c r="L22" s="17">
        <f t="shared" si="6"/>
        <v>0.57202316322837499</v>
      </c>
      <c r="M22" s="17">
        <f t="shared" si="6"/>
        <v>0.86780635954054031</v>
      </c>
      <c r="N22" s="17">
        <f t="shared" si="6"/>
        <v>0.88889645526511807</v>
      </c>
      <c r="O22" s="17">
        <f t="shared" si="6"/>
        <v>0.78164567632227733</v>
      </c>
      <c r="P22" s="17">
        <f t="shared" si="6"/>
        <v>0.84863550063174398</v>
      </c>
      <c r="Q22" s="17">
        <f t="shared" ref="Q22" si="7">((Q11+Q12))/Q3</f>
        <v>0.67924925897651245</v>
      </c>
      <c r="R22" s="17">
        <f t="shared" si="6"/>
        <v>0.92386289803576782</v>
      </c>
      <c r="S22" s="17">
        <f t="shared" si="6"/>
        <v>1.0426339680853753</v>
      </c>
      <c r="T22" s="39">
        <v>0.82253638372817717</v>
      </c>
    </row>
    <row r="23" spans="1:20" s="17" customFormat="1" ht="15" x14ac:dyDescent="0.25">
      <c r="A23" s="18" t="s">
        <v>44</v>
      </c>
      <c r="B23" s="17">
        <f t="shared" ref="B23:S23" si="8">B3/B13</f>
        <v>2.388902395723179</v>
      </c>
      <c r="C23" s="17">
        <f t="shared" si="8"/>
        <v>-0.55750943751929272</v>
      </c>
      <c r="D23" s="17">
        <f t="shared" si="8"/>
        <v>97.812018489984595</v>
      </c>
      <c r="E23" s="17">
        <f t="shared" si="8"/>
        <v>5.4684348188933107</v>
      </c>
      <c r="F23" s="17">
        <f t="shared" si="8"/>
        <v>4.3335793357933579</v>
      </c>
      <c r="G23" s="17">
        <f t="shared" si="8"/>
        <v>-1.1030230384336175</v>
      </c>
      <c r="H23" s="17">
        <f t="shared" si="8"/>
        <v>6.1707290454645696</v>
      </c>
      <c r="I23" s="17">
        <f t="shared" si="8"/>
        <v>190.98003674075389</v>
      </c>
      <c r="J23" s="17">
        <f t="shared" si="8"/>
        <v>-0.53424796518837503</v>
      </c>
      <c r="K23" s="17">
        <f t="shared" si="8"/>
        <v>5.0941256714127379</v>
      </c>
      <c r="L23" s="17">
        <f t="shared" si="8"/>
        <v>2.3365750528541227</v>
      </c>
      <c r="M23" s="17">
        <f t="shared" si="8"/>
        <v>7.5646604218201556</v>
      </c>
      <c r="N23" s="17">
        <f t="shared" si="8"/>
        <v>9.0006129182126955</v>
      </c>
      <c r="O23" s="17">
        <f t="shared" si="8"/>
        <v>4.5797123828696753</v>
      </c>
      <c r="P23" s="17">
        <f t="shared" si="8"/>
        <v>6.6065689390422451</v>
      </c>
      <c r="Q23" s="17">
        <f t="shared" ref="Q23" si="9">Q3/Q13</f>
        <v>3.1176857045102606</v>
      </c>
      <c r="R23" s="17">
        <f t="shared" si="8"/>
        <v>13.134200990074211</v>
      </c>
      <c r="S23" s="17">
        <f t="shared" si="8"/>
        <v>-23.455475643211983</v>
      </c>
      <c r="T23" s="39">
        <v>5.634957863522235</v>
      </c>
    </row>
    <row r="24" spans="1:20" s="17" customFormat="1" ht="15" x14ac:dyDescent="0.25">
      <c r="A24" s="18" t="s">
        <v>43</v>
      </c>
      <c r="B24" s="17">
        <f t="shared" ref="B24:T24" si="10">((B11+B12))/B13</f>
        <v>1.3889023957231792</v>
      </c>
      <c r="C24" s="17">
        <f t="shared" si="10"/>
        <v>-1.5575094375192926</v>
      </c>
      <c r="D24" s="17">
        <f t="shared" si="10"/>
        <v>96.812018489984595</v>
      </c>
      <c r="E24" s="17">
        <f t="shared" si="10"/>
        <v>4.4684348188933107</v>
      </c>
      <c r="F24" s="17">
        <f t="shared" si="10"/>
        <v>3.3335793357933579</v>
      </c>
      <c r="G24" s="17">
        <f t="shared" si="10"/>
        <v>-2.103023038433617</v>
      </c>
      <c r="H24" s="17">
        <f t="shared" si="10"/>
        <v>5.1707290454645687</v>
      </c>
      <c r="I24" s="17">
        <f t="shared" si="10"/>
        <v>189.98003674075392</v>
      </c>
      <c r="J24" s="17">
        <f t="shared" si="10"/>
        <v>-1.5342479651883751</v>
      </c>
      <c r="K24" s="17">
        <f t="shared" si="10"/>
        <v>4.0941256714127379</v>
      </c>
      <c r="L24" s="17">
        <f t="shared" si="10"/>
        <v>1.3365750528541227</v>
      </c>
      <c r="M24" s="17">
        <f t="shared" si="10"/>
        <v>6.5646604218201574</v>
      </c>
      <c r="N24" s="17">
        <f t="shared" si="10"/>
        <v>8.0006129182126955</v>
      </c>
      <c r="O24" s="17">
        <f t="shared" si="10"/>
        <v>3.5797123828696753</v>
      </c>
      <c r="P24" s="17">
        <f t="shared" si="10"/>
        <v>5.6065689390422451</v>
      </c>
      <c r="Q24" s="17">
        <f t="shared" ref="Q24" si="11">((Q11+Q12))/Q13</f>
        <v>2.1176857045102606</v>
      </c>
      <c r="R24" s="17">
        <f t="shared" si="10"/>
        <v>12.134200990074211</v>
      </c>
      <c r="S24" s="17">
        <f t="shared" si="10"/>
        <v>-24.455475643211983</v>
      </c>
      <c r="T24" s="39">
        <v>4.6349578635222342</v>
      </c>
    </row>
    <row r="25" spans="1:20" s="17" customFormat="1" ht="15" x14ac:dyDescent="0.25">
      <c r="A25" s="18" t="s">
        <v>42</v>
      </c>
      <c r="B25" s="17">
        <f>SUM(B11:B12)/SUM(B14,B16:B17)</f>
        <v>0.97220327686355257</v>
      </c>
      <c r="C25" s="17">
        <f>SUM(C11:C12)/SUM(C14,C17)</f>
        <v>17.522640509302324</v>
      </c>
      <c r="D25" s="17">
        <f>SUM(D11:D12)/SUM(D14,D17)</f>
        <v>0.18794570211543984</v>
      </c>
      <c r="E25" s="17">
        <f>SUM(E11:E12)/SUM(E14,E17)</f>
        <v>1.6678315967012221</v>
      </c>
      <c r="F25" s="17">
        <f>SUM(F11:F12)/SUM(F14,F16:F17)</f>
        <v>14.207194810300766</v>
      </c>
      <c r="G25" s="17">
        <f>SUM(G11:G12)/SUM(G14,G16:G17)</f>
        <v>12.842261974566643</v>
      </c>
      <c r="H25" s="17">
        <f>SUM(H11:H12)/SUM(H14,H17)</f>
        <v>1.3780315343915344</v>
      </c>
      <c r="I25" s="17">
        <f>SUM(I11:I12)/SUM(I14,I17)</f>
        <v>1.0264314113043478</v>
      </c>
      <c r="J25" s="17">
        <f>SUM(J11:J12)/SUM(J14)</f>
        <v>6.0089628681177976</v>
      </c>
      <c r="K25" s="17">
        <f>SUM(K11:K12)/SUM(K14,K16:K17)</f>
        <v>1.5791896869244935</v>
      </c>
      <c r="L25" s="17">
        <f>SUM(L11:L12)/SUM(L14,L17)</f>
        <v>0.41051948051948051</v>
      </c>
      <c r="M25" s="17">
        <f>((SUM(M11:M12))/(SUM(M14,M16:M17)))</f>
        <v>2.1614425227272731</v>
      </c>
      <c r="N25" s="17">
        <f>((SUM(N11:N12))/(SUM(N14,N16:N17)))</f>
        <v>3.5362743788752549</v>
      </c>
      <c r="O25" s="17">
        <f>SUM(O11:O12)/SUM(O14,O17)</f>
        <v>3.9139297885567061</v>
      </c>
      <c r="P25" s="17">
        <f>SUM(P11:P12)/SUM(P14,P16:P17)</f>
        <v>3.5143258458404683</v>
      </c>
      <c r="Q25" s="17">
        <f>SUM(Q11:Q12)/SUM(Q14,Q16:Q17)</f>
        <v>1.2724737543003273</v>
      </c>
      <c r="R25" s="17">
        <f>((SUM(R11:R12))/(SUM(R14,R16:R17)))</f>
        <v>1.8952507508562564</v>
      </c>
      <c r="S25" s="17">
        <f>SUM(S11:S12)/SUM(S14,S17)</f>
        <v>1.9296035850513655</v>
      </c>
      <c r="T25" s="39">
        <v>2.1848219649405722</v>
      </c>
    </row>
    <row r="26" spans="1:20" x14ac:dyDescent="0.2">
      <c r="A26" s="16"/>
    </row>
  </sheetData>
  <mergeCells count="1">
    <mergeCell ref="A1:L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DRE 2009</vt:lpstr>
      <vt:lpstr>BP 2009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Jose Humberto Borges Junior</cp:lastModifiedBy>
  <dcterms:created xsi:type="dcterms:W3CDTF">2015-07-20T21:36:12Z</dcterms:created>
  <dcterms:modified xsi:type="dcterms:W3CDTF">2015-08-03T16:31:56Z</dcterms:modified>
</cp:coreProperties>
</file>