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C:\Users\gisele.oliveira\Desktop\Licitação 2025\Pregão 90001_2025 - Copeiragem Brasília\"/>
    </mc:Choice>
  </mc:AlternateContent>
  <xr:revisionPtr revIDLastSave="0" documentId="13_ncr:1_{FE2DE2A6-6B25-4895-BF16-DF03DB4BBB20}" xr6:coauthVersionLast="47" xr6:coauthVersionMax="47" xr10:uidLastSave="{00000000-0000-0000-0000-000000000000}"/>
  <bookViews>
    <workbookView xWindow="-110" yWindow="-110" windowWidth="19420" windowHeight="10300" tabRatio="725" xr2:uid="{00000000-000D-0000-FFFF-FFFF00000000}"/>
  </bookViews>
  <sheets>
    <sheet name="Geral" sheetId="19" r:id="rId1"/>
    <sheet name="Mão de obra" sheetId="16" r:id="rId2"/>
    <sheet name="Uniforme" sheetId="18" r:id="rId3"/>
    <sheet name="Materiais e utensílios" sheetId="17" r:id="rId4"/>
  </sheets>
  <definedNames>
    <definedName name="_xlnm.Print_Area" localSheetId="0">Geral!$B$3:$G$17</definedName>
    <definedName name="_xlnm.Print_Area" localSheetId="1">'Mão de obra'!$A$2:$F$117</definedName>
    <definedName name="_xlnm.Print_Area" localSheetId="3">'Materiais e utensílios'!$B$3:$H$55</definedName>
    <definedName name="_xlnm.Print_Area" localSheetId="2">Uniforme!$A$1:$E$21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7" l="1"/>
  <c r="E7" i="19"/>
  <c r="H52" i="17" l="1"/>
  <c r="H51" i="17"/>
  <c r="H50" i="17"/>
  <c r="H49" i="17"/>
  <c r="H48" i="17"/>
  <c r="H47" i="17"/>
  <c r="H46" i="17"/>
  <c r="H45" i="17"/>
  <c r="H44" i="17"/>
  <c r="H43" i="17"/>
  <c r="H42" i="17"/>
  <c r="H41" i="17"/>
  <c r="H40" i="17"/>
  <c r="H39" i="17"/>
  <c r="H38" i="17"/>
  <c r="H37" i="17"/>
  <c r="H36" i="17"/>
  <c r="H35" i="17"/>
  <c r="H34" i="17"/>
  <c r="H33" i="17"/>
  <c r="H32" i="17"/>
  <c r="H25" i="17"/>
  <c r="I25" i="17" s="1"/>
  <c r="F25" i="17"/>
  <c r="H24" i="17"/>
  <c r="I24" i="17" s="1"/>
  <c r="F24" i="17"/>
  <c r="H23" i="17"/>
  <c r="I23" i="17" s="1"/>
  <c r="F23" i="17"/>
  <c r="H22" i="17"/>
  <c r="I22" i="17" s="1"/>
  <c r="F22" i="17"/>
  <c r="H21" i="17"/>
  <c r="I21" i="17" s="1"/>
  <c r="F21" i="17"/>
  <c r="H20" i="17"/>
  <c r="I20" i="17" s="1"/>
  <c r="F20" i="17"/>
  <c r="H19" i="17"/>
  <c r="I19" i="17" s="1"/>
  <c r="F19" i="17"/>
  <c r="H18" i="17"/>
  <c r="I18" i="17" s="1"/>
  <c r="F18" i="17"/>
  <c r="H17" i="17"/>
  <c r="I17" i="17" s="1"/>
  <c r="F17" i="17"/>
  <c r="I16" i="17"/>
  <c r="H16" i="17"/>
  <c r="F16" i="17"/>
  <c r="H15" i="17"/>
  <c r="I15" i="17" s="1"/>
  <c r="F15" i="17"/>
  <c r="H14" i="17"/>
  <c r="I14" i="17" s="1"/>
  <c r="F14" i="17"/>
  <c r="H13" i="17"/>
  <c r="I13" i="17" s="1"/>
  <c r="F13" i="17"/>
  <c r="H12" i="17"/>
  <c r="I12" i="17" s="1"/>
  <c r="F12" i="17"/>
  <c r="H11" i="17"/>
  <c r="I11" i="17" s="1"/>
  <c r="F11" i="17"/>
  <c r="H10" i="17"/>
  <c r="I10" i="17" s="1"/>
  <c r="F10" i="17"/>
  <c r="H9" i="17"/>
  <c r="I9" i="17" s="1"/>
  <c r="F9" i="17"/>
  <c r="H8" i="17"/>
  <c r="I8" i="17" s="1"/>
  <c r="F8" i="17"/>
  <c r="H7" i="17"/>
  <c r="I7" i="17" s="1"/>
  <c r="F7" i="17"/>
  <c r="H6" i="17"/>
  <c r="I6" i="17" s="1"/>
  <c r="F6" i="17"/>
  <c r="H5" i="17"/>
  <c r="I5" i="17" s="1"/>
  <c r="F5" i="17"/>
  <c r="I4" i="17"/>
  <c r="H4" i="17"/>
  <c r="F4" i="17"/>
  <c r="I26" i="17" l="1"/>
  <c r="I27" i="17" s="1"/>
  <c r="I28" i="17" s="1"/>
  <c r="J21" i="17" l="1"/>
  <c r="J8" i="17"/>
  <c r="J20" i="17"/>
  <c r="J10" i="17"/>
  <c r="J11" i="17"/>
  <c r="J12" i="17"/>
  <c r="J13" i="17"/>
  <c r="J14" i="17"/>
  <c r="J15" i="17"/>
  <c r="J17" i="17"/>
  <c r="J23" i="17"/>
  <c r="J25" i="17"/>
  <c r="J6" i="17"/>
  <c r="J22" i="17"/>
  <c r="J7" i="17"/>
  <c r="J5" i="17"/>
  <c r="J9" i="17"/>
  <c r="J4" i="17"/>
  <c r="J16" i="17"/>
  <c r="J18" i="17"/>
  <c r="J19" i="17"/>
  <c r="J24" i="17"/>
  <c r="G13" i="19"/>
  <c r="F7" i="19" l="1"/>
  <c r="G7" i="19" s="1"/>
  <c r="F6" i="19"/>
  <c r="G6" i="19" l="1"/>
  <c r="G8" i="19" s="1"/>
  <c r="F8" i="19"/>
  <c r="G14" i="19" l="1"/>
  <c r="G15" i="19" s="1"/>
  <c r="K46" i="19"/>
  <c r="K45" i="19"/>
  <c r="H53" i="17" l="1"/>
  <c r="H54" i="17" s="1"/>
  <c r="H55" i="17" l="1"/>
  <c r="E17" i="18"/>
  <c r="E18" i="18"/>
  <c r="D17" i="18"/>
  <c r="D18" i="18"/>
  <c r="E90" i="16"/>
  <c r="D4" i="18"/>
  <c r="D3" i="18"/>
  <c r="D5" i="18"/>
  <c r="D6" i="18"/>
  <c r="D7" i="18"/>
  <c r="D8" i="18"/>
  <c r="D9" i="18"/>
  <c r="D14" i="18"/>
  <c r="D15" i="18"/>
  <c r="D16" i="18"/>
  <c r="F43" i="16" l="1"/>
  <c r="D43" i="16"/>
  <c r="E10" i="16"/>
  <c r="D20" i="18" l="1"/>
  <c r="E20" i="18" s="1"/>
  <c r="D19" i="18"/>
  <c r="E19" i="18" s="1"/>
  <c r="E16" i="18"/>
  <c r="E15" i="18"/>
  <c r="E14" i="18"/>
  <c r="E4" i="18"/>
  <c r="E5" i="18"/>
  <c r="E6" i="18"/>
  <c r="E7" i="18"/>
  <c r="E8" i="18"/>
  <c r="E9" i="18"/>
  <c r="E3" i="18"/>
  <c r="E10" i="18" l="1"/>
  <c r="D10" i="18"/>
  <c r="E21" i="18"/>
  <c r="C90" i="16" s="1"/>
  <c r="D21" i="18"/>
  <c r="E59" i="16"/>
  <c r="F53" i="17" l="1"/>
  <c r="F13" i="19" s="1"/>
  <c r="F14" i="19" s="1"/>
  <c r="F15" i="19" s="1"/>
  <c r="F54" i="17" l="1"/>
  <c r="F55" i="17" s="1"/>
  <c r="H26" i="17"/>
  <c r="F10" i="19" s="1"/>
  <c r="E100" i="16"/>
  <c r="E104" i="16" s="1"/>
  <c r="E39" i="16"/>
  <c r="E27" i="16" s="1"/>
  <c r="E28" i="16"/>
  <c r="E15" i="16"/>
  <c r="F21" i="16" s="1"/>
  <c r="F42" i="16" s="1"/>
  <c r="F47" i="16" s="1"/>
  <c r="E53" i="16" s="1"/>
  <c r="F11" i="19" l="1"/>
  <c r="F12" i="19" s="1"/>
  <c r="F16" i="19" s="1"/>
  <c r="G10" i="19"/>
  <c r="G11" i="19" s="1"/>
  <c r="G12" i="19" s="1"/>
  <c r="H27" i="17"/>
  <c r="H28" i="17" s="1"/>
  <c r="E21" i="16"/>
  <c r="F27" i="16" s="1"/>
  <c r="F74" i="16"/>
  <c r="F70" i="16"/>
  <c r="F62" i="16"/>
  <c r="F38" i="16"/>
  <c r="F34" i="16"/>
  <c r="F26" i="16"/>
  <c r="E108" i="16"/>
  <c r="F73" i="16"/>
  <c r="F69" i="16"/>
  <c r="F61" i="16"/>
  <c r="F72" i="16"/>
  <c r="F60" i="16"/>
  <c r="F58" i="16"/>
  <c r="F36" i="16"/>
  <c r="F32" i="16"/>
  <c r="F71" i="16"/>
  <c r="F35" i="16"/>
  <c r="F31" i="16"/>
  <c r="F37" i="16"/>
  <c r="F33" i="16"/>
  <c r="F25" i="16"/>
  <c r="F59" i="16"/>
  <c r="E63" i="16"/>
  <c r="G17" i="19" l="1"/>
  <c r="G16" i="19"/>
  <c r="F75" i="16"/>
  <c r="E83" i="16" s="1"/>
  <c r="F85" i="16" s="1"/>
  <c r="E86" i="16" s="1"/>
  <c r="E111" i="16" s="1"/>
  <c r="F39" i="16"/>
  <c r="E52" i="16" s="1"/>
  <c r="F28" i="16"/>
  <c r="E51" i="16" s="1"/>
  <c r="E94" i="16"/>
  <c r="E112" i="16" s="1"/>
  <c r="F63" i="16"/>
  <c r="E110" i="16" s="1"/>
  <c r="E54" i="16" l="1"/>
  <c r="F98" i="16" s="1"/>
  <c r="E109" i="16" l="1"/>
  <c r="E113" i="16" s="1"/>
  <c r="F99" i="16"/>
  <c r="F102" i="16" s="1"/>
  <c r="C100" i="16"/>
  <c r="F101" i="16" l="1"/>
  <c r="F103" i="16"/>
  <c r="C10" i="16"/>
  <c r="C15" i="16"/>
  <c r="C21" i="16" s="1"/>
  <c r="C104" i="16"/>
  <c r="C94" i="16"/>
  <c r="C112" i="16" s="1"/>
  <c r="C113" i="16" s="1"/>
  <c r="C59" i="16"/>
  <c r="C63" i="16" s="1"/>
  <c r="C39" i="16"/>
  <c r="C27" i="16" s="1"/>
  <c r="C28" i="16"/>
  <c r="F100" i="16" l="1"/>
  <c r="F104" i="16" s="1"/>
  <c r="E114" i="16" s="1"/>
  <c r="E115" i="16" s="1"/>
  <c r="D27" i="16"/>
  <c r="D21" i="16"/>
  <c r="D59" i="16" l="1"/>
  <c r="D42" i="16"/>
  <c r="D47" i="16" s="1"/>
  <c r="E116" i="16"/>
  <c r="E117" i="16" s="1"/>
  <c r="D72" i="16"/>
  <c r="D36" i="16"/>
  <c r="D32" i="16"/>
  <c r="D25" i="16"/>
  <c r="D70" i="16"/>
  <c r="D74" i="16"/>
  <c r="D62" i="16"/>
  <c r="D73" i="16"/>
  <c r="D61" i="16"/>
  <c r="D71" i="16"/>
  <c r="D69" i="16"/>
  <c r="D58" i="16"/>
  <c r="D60" i="16"/>
  <c r="D35" i="16"/>
  <c r="C108" i="16"/>
  <c r="D31" i="16"/>
  <c r="D38" i="16"/>
  <c r="D34" i="16"/>
  <c r="D26" i="16"/>
  <c r="D37" i="16"/>
  <c r="D33" i="16"/>
  <c r="C53" i="16" l="1"/>
  <c r="D39" i="16"/>
  <c r="C52" i="16" s="1"/>
  <c r="D75" i="16"/>
  <c r="C83" i="16" s="1"/>
  <c r="D63" i="16"/>
  <c r="C110" i="16" s="1"/>
  <c r="D28" i="16"/>
  <c r="C51" i="16" s="1"/>
  <c r="D85" i="16" l="1"/>
  <c r="C86" i="16" s="1"/>
  <c r="C111" i="16" s="1"/>
  <c r="C54" i="16"/>
  <c r="D98" i="16" l="1"/>
  <c r="C109" i="16"/>
  <c r="D99" i="16" l="1"/>
  <c r="D102" i="16" s="1"/>
  <c r="D103" i="16" l="1"/>
  <c r="D101" i="16"/>
  <c r="D100" i="16" l="1"/>
  <c r="D104" i="16" s="1"/>
  <c r="C114" i="16" s="1"/>
  <c r="C115" i="16" s="1"/>
  <c r="C116" i="16" l="1"/>
  <c r="C117" i="16" l="1"/>
</calcChain>
</file>

<file path=xl/sharedStrings.xml><?xml version="1.0" encoding="utf-8"?>
<sst xmlns="http://schemas.openxmlformats.org/spreadsheetml/2006/main" count="352" uniqueCount="212">
  <si>
    <t>Adicional Noturno</t>
  </si>
  <si>
    <t>%</t>
  </si>
  <si>
    <t>Outros (especificar)</t>
  </si>
  <si>
    <t>Lucro</t>
  </si>
  <si>
    <t>Data base da categoria (dia/mês/ano)</t>
  </si>
  <si>
    <t>Categoria profissional (vinculada à execução contratual)</t>
  </si>
  <si>
    <t>A</t>
  </si>
  <si>
    <t>B</t>
  </si>
  <si>
    <t>C</t>
  </si>
  <si>
    <t>D</t>
  </si>
  <si>
    <t>E</t>
  </si>
  <si>
    <t>F</t>
  </si>
  <si>
    <t>G</t>
  </si>
  <si>
    <t>H</t>
  </si>
  <si>
    <t>4.1</t>
  </si>
  <si>
    <t>4.2</t>
  </si>
  <si>
    <t>Salário Base</t>
  </si>
  <si>
    <t>PIS</t>
  </si>
  <si>
    <t>COFINS</t>
  </si>
  <si>
    <t>ISS</t>
  </si>
  <si>
    <t>Classificação Brasileira de Ocupações (CBO)</t>
  </si>
  <si>
    <t>Adicional de Hora Noturna Reduzida</t>
  </si>
  <si>
    <t>2.1</t>
  </si>
  <si>
    <t>2.2</t>
  </si>
  <si>
    <t>2.3</t>
  </si>
  <si>
    <t>Benefícios Mensais e Diários</t>
  </si>
  <si>
    <t>Aviso Prévio Indenizado</t>
  </si>
  <si>
    <t>Módulo 4 - Custo de Reposição do Profissional Ausente</t>
  </si>
  <si>
    <t>Total</t>
  </si>
  <si>
    <t>Composição da Remuneração</t>
  </si>
  <si>
    <t>Valor (R$)</t>
  </si>
  <si>
    <t>Módulo 2 - Encargos e Benefícios Anuais, Mensais e Diários</t>
  </si>
  <si>
    <t>13º (décimo terceiro) Salário, Férias e Adicional de Férias</t>
  </si>
  <si>
    <t>13º (décimo terceiro) Salário</t>
  </si>
  <si>
    <t>Férias e Adicional de Férias</t>
  </si>
  <si>
    <t>GPS, FGTS e outras contribuições</t>
  </si>
  <si>
    <t>INSS</t>
  </si>
  <si>
    <t>SENAI - SENAC</t>
  </si>
  <si>
    <t>SEBRAE</t>
  </si>
  <si>
    <t>INCRA</t>
  </si>
  <si>
    <t>FGTS</t>
  </si>
  <si>
    <t>Quadro-Resumo do Módulo 2 - Encargos e Benefícios anuais, mensais e diários</t>
  </si>
  <si>
    <t>Módulo 3 - Provisão para Rescisão</t>
  </si>
  <si>
    <t>Provisão para Rescisão</t>
  </si>
  <si>
    <t>Incidência do FGTS sobre o Aviso Prévio Indenizado</t>
  </si>
  <si>
    <t>Aviso Prévio Trabalhado</t>
  </si>
  <si>
    <t>Multa do FGTS e contribuição social sobre o Aviso Prévio Trabalhado</t>
  </si>
  <si>
    <t>Quadro-Resumo do Módulo 4 - Custo de Reposição do Profissional Ausente</t>
  </si>
  <si>
    <t>Custo de Reposição do Profissional Ausente</t>
  </si>
  <si>
    <t>Módulo 5 - Insumos Diversos</t>
  </si>
  <si>
    <t>Insumos Diversos</t>
  </si>
  <si>
    <t>Uniformes</t>
  </si>
  <si>
    <t>Módulo 6 - Custos Indiretos, Tributos e Lucro</t>
  </si>
  <si>
    <t>Mão de obra vinculada à execução contratual (valor por empregado)</t>
  </si>
  <si>
    <t>Módulo 1 - Composição da Remuneração</t>
  </si>
  <si>
    <t>Subtotal (A + B +C+ D+E)</t>
  </si>
  <si>
    <t>Módulo 6 – Custos Indiretos, Tributos e Lucro</t>
  </si>
  <si>
    <t xml:space="preserve">Valor Total por Empregado </t>
  </si>
  <si>
    <t>Auxilio Funeral</t>
  </si>
  <si>
    <t>ANEXO III - PLANILHA DE CUSTOS E FORMAÇÃO DE PREÇOS</t>
  </si>
  <si>
    <t>IDENTIFICAÇÃO DOS SERVIÇOS</t>
  </si>
  <si>
    <t>(Categoria Profissional / Mão de obra do preposto)</t>
  </si>
  <si>
    <t>Quantidade de postos</t>
  </si>
  <si>
    <t>DADOS COMPLEMENTARES PARA COMPOSIÇÃO DOS CUSTOS REFERENTE A MÃO DE OBRA</t>
  </si>
  <si>
    <t>Tipo de Serviço (mesmo serviço com características distintas)</t>
  </si>
  <si>
    <t>Salário mínimo oficial vigente da categoria</t>
  </si>
  <si>
    <t>Adicional de periculosidade</t>
  </si>
  <si>
    <t>Adcional de Insalubridade</t>
  </si>
  <si>
    <t>Incidência do submódulo 2.2 sobre 13º Salário, férias e Adicional de Férias</t>
  </si>
  <si>
    <t>Encargos Previdenciários (GPS), Fundo de Garantia por Tempo de Serviço (FGTS) e outras contribuições.</t>
  </si>
  <si>
    <t>Salário educação</t>
  </si>
  <si>
    <t>Seguro Acidente do Trabalho - SAT (FAP x RAT)</t>
  </si>
  <si>
    <t>SESC OU SESI</t>
  </si>
  <si>
    <t>Frequência</t>
  </si>
  <si>
    <t>Transporte (22 * X)-(salário base x 6%)</t>
  </si>
  <si>
    <t>Diária</t>
  </si>
  <si>
    <t>Mensal</t>
  </si>
  <si>
    <t xml:space="preserve"> Encargos e Benefícios Anuais, Mensais e Diários</t>
  </si>
  <si>
    <t>Incidência de GPS, FGTS e outras contribuições sobre o Aviso Prévio Trabalhado</t>
  </si>
  <si>
    <t>Substituto nas Ausências Legais</t>
  </si>
  <si>
    <t>Substituto na cobertura de Férias</t>
  </si>
  <si>
    <t>Substituto na cobertura de Ausências Legais</t>
  </si>
  <si>
    <t>Substituto na cobertura de Licença-Paternidade</t>
  </si>
  <si>
    <t>Substituto na cobertura de Ausência por acidente de trabalho</t>
  </si>
  <si>
    <t>Substituto na cobertura de Afastamento Maternidade</t>
  </si>
  <si>
    <t>Substituto na cobertura de Outras ausências (especificar)</t>
  </si>
  <si>
    <t>Substituto na Intrajornada</t>
  </si>
  <si>
    <t>Substituto na cobertura de Intervalo para repouso ou alimentação</t>
  </si>
  <si>
    <t>Materiais/Insumos</t>
  </si>
  <si>
    <t>Utensílios e equipamentos</t>
  </si>
  <si>
    <t>Custos Indiretos, Tributos e Lucro</t>
  </si>
  <si>
    <t>Custos indiretos</t>
  </si>
  <si>
    <t>Tributos</t>
  </si>
  <si>
    <t>Quadro-Resumo do Custo por Empregado</t>
  </si>
  <si>
    <t>Total Mensal</t>
  </si>
  <si>
    <t>Total Anual</t>
  </si>
  <si>
    <t>4.3</t>
  </si>
  <si>
    <t>Incidência submódulo 2.2 sobre 4.1</t>
  </si>
  <si>
    <t>Copeira</t>
  </si>
  <si>
    <t>Garçom</t>
  </si>
  <si>
    <t>Insumos</t>
  </si>
  <si>
    <t>Utensílios</t>
  </si>
  <si>
    <t>Especificações - material de consumo</t>
  </si>
  <si>
    <t>Unidade de medida</t>
  </si>
  <si>
    <t>Quantidade Mensal Estimada</t>
  </si>
  <si>
    <t>Quantidade Anual Estimada</t>
  </si>
  <si>
    <t>Açucar cristal - pacote 5kg</t>
  </si>
  <si>
    <t>Água Mineral acondicionada em garrafões de 20 litros</t>
  </si>
  <si>
    <t>Água Saniária, frasco comm 1 litro</t>
  </si>
  <si>
    <t>Álcool comum, fransco com 1 litro</t>
  </si>
  <si>
    <t>Café torrado e moído de 1ª qualidade com selo de pureza ABIC, em pacotes de 500 gramas</t>
  </si>
  <si>
    <t>Detergente líquido para lavação de loucas, neutro - frasco 500 ml</t>
  </si>
  <si>
    <t>Espoja de aço - pacote com 8 unidades</t>
  </si>
  <si>
    <t>Forro para bandeja redonda</t>
  </si>
  <si>
    <t>Multiuso - Frasco com 500 ml</t>
  </si>
  <si>
    <t>Pano de prato - unidade</t>
  </si>
  <si>
    <t>Pano para limpeza tipo perflez - pacote com 5</t>
  </si>
  <si>
    <t>Sabão em barra neutro, 200 gramas</t>
  </si>
  <si>
    <t>Sabão em pó - caixa 1 kg</t>
  </si>
  <si>
    <t>Saco de Algodão para limpeza de chão</t>
  </si>
  <si>
    <t>Saco para lixo tamanho, 60 litros, cor preta - pacote 50 unidades</t>
  </si>
  <si>
    <t>Coador para cafeteira elétrica</t>
  </si>
  <si>
    <t>Guardanapo de papel não reciclável de 1ª qualidade - medindo aproximadamente 20x33</t>
  </si>
  <si>
    <t>Kg</t>
  </si>
  <si>
    <t>Unidade</t>
  </si>
  <si>
    <t>Par</t>
  </si>
  <si>
    <t>Pacote</t>
  </si>
  <si>
    <t>Barra</t>
  </si>
  <si>
    <t>Caixa</t>
  </si>
  <si>
    <t>Valor Unitário</t>
  </si>
  <si>
    <t>Adoçante líquido, com Sacarina Sódica - frasco de 100 ml</t>
  </si>
  <si>
    <t>Esponja dupla face - unidade</t>
  </si>
  <si>
    <t>Copo Descartável para água, com capacidade para 200 ml - cento</t>
  </si>
  <si>
    <t>Especificações - Utensílios</t>
  </si>
  <si>
    <t>Quantidade Mínima</t>
  </si>
  <si>
    <t xml:space="preserve">Bebedouro elétrico </t>
  </si>
  <si>
    <t>Cafeteiraelétrica, naterial aço inox, aplicação industrial, capacidade de 4 litros</t>
  </si>
  <si>
    <t>Balde de plástico com capacidade de aprox. 20 litros</t>
  </si>
  <si>
    <t>Rodo de borracha com cabo</t>
  </si>
  <si>
    <t>Vassoura de pelo higiênica plastica com cabo</t>
  </si>
  <si>
    <t>Jarra de aço inoxidável - 2 litros</t>
  </si>
  <si>
    <t>Bandeja para servir rendonda de aço inoxidável - média</t>
  </si>
  <si>
    <t>Bandeja de mesa retangular de  aço inoxidável - média</t>
  </si>
  <si>
    <t>Porta-copo de aço inoxidável (base para copos) - unidade</t>
  </si>
  <si>
    <t>Colher de chá de aço inodiável</t>
  </si>
  <si>
    <t>Colher de café de aço inoxidável</t>
  </si>
  <si>
    <t>Xicara de café com pires de porcelana na cor branca (capacidade 80 ml)</t>
  </si>
  <si>
    <t>Copos de água de vidro transparente - 300 ml</t>
  </si>
  <si>
    <t>Escorredor de louca, em Aço inox, com capacidade mí8mina para 20 pratos</t>
  </si>
  <si>
    <t>Garrafa térnica de 1 litro</t>
  </si>
  <si>
    <t>Carrinho de serviços gerais tipo copa com 3 planos</t>
  </si>
  <si>
    <t>Superte Sipenser, com mecanismo regulador para liberação de uma unidade por vez, do tipo UNICOPO ou POUPA COPOS para copos de água de 200 ml</t>
  </si>
  <si>
    <t>Lixeira ou coletor com 2 tubos (PVC) para descarte copos de água de 200 mL. Latura mímina de 75 cm para cada tubo, com capacidade para 300 copos aproximadamente</t>
  </si>
  <si>
    <t>Valor uniário</t>
  </si>
  <si>
    <t>Forro para bandeja retangular</t>
  </si>
  <si>
    <t>Descrição</t>
  </si>
  <si>
    <t>Quantidade Anual</t>
  </si>
  <si>
    <t>Valor unitário</t>
  </si>
  <si>
    <t>Paletó Preto</t>
  </si>
  <si>
    <t>Camisa Social Branca</t>
  </si>
  <si>
    <t>Calça Social Preta</t>
  </si>
  <si>
    <t>Gravata Borboleta Preta</t>
  </si>
  <si>
    <t>Cinto Preto</t>
  </si>
  <si>
    <t>Par de Meias</t>
  </si>
  <si>
    <t>Par de Sapatos</t>
  </si>
  <si>
    <t>Valor Anual estimado</t>
  </si>
  <si>
    <t>Valor mensal estimado</t>
  </si>
  <si>
    <t>Bata Branca ou Azul</t>
  </si>
  <si>
    <t>Touca Branca</t>
  </si>
  <si>
    <t>Posto</t>
  </si>
  <si>
    <t>Efetivo</t>
  </si>
  <si>
    <t>Valor Mensal (R$)</t>
  </si>
  <si>
    <t>Valor Anual (R$)</t>
  </si>
  <si>
    <t>Garçom diurno</t>
  </si>
  <si>
    <t xml:space="preserve">Copeira </t>
  </si>
  <si>
    <t>VALOR TOTAL ANUAL</t>
  </si>
  <si>
    <t>PLANILHA CUSTO</t>
  </si>
  <si>
    <t>5134-05</t>
  </si>
  <si>
    <t>5134-25</t>
  </si>
  <si>
    <t>Auxílio-Refeição/Alimentação (22 * CCT clausula 16º)</t>
  </si>
  <si>
    <t>Assistência Médica e Familiar (CCT cláusula 18º)</t>
  </si>
  <si>
    <t>Assistência odontologica (CCT cláusula 19º)</t>
  </si>
  <si>
    <t>Avental inteiriço branco</t>
  </si>
  <si>
    <t>Avental de cintura meio corpo branco</t>
  </si>
  <si>
    <t>centro</t>
  </si>
  <si>
    <t>Garrafão</t>
  </si>
  <si>
    <t>Açucareiro de aço inox, com colher e tampa, capacidade de 200 ml a 330 ml.</t>
  </si>
  <si>
    <t>Bule de aço inox, para café, capacidade de 500 a 750 ml.</t>
  </si>
  <si>
    <t>Pá para lixo</t>
  </si>
  <si>
    <t>Luvas para lavagem de copos - 1 par</t>
  </si>
  <si>
    <t>Vida útil</t>
  </si>
  <si>
    <t>Depreciação mensal</t>
  </si>
  <si>
    <t>Depreciação anual</t>
  </si>
  <si>
    <t>Valor Unit. (R$) (Mão de obra + uniformes)</t>
  </si>
  <si>
    <t>Subtotal A (R$)</t>
  </si>
  <si>
    <t xml:space="preserve">Subtotal (R$) </t>
  </si>
  <si>
    <t>Custos dos utensílios</t>
  </si>
  <si>
    <t>Custos dos materiais de consumo</t>
  </si>
  <si>
    <t xml:space="preserve">Material de consumo </t>
  </si>
  <si>
    <t>Valor detalhado do contrato (por itens) (conforme Relatório de Pesquisa de Preços (10854496)</t>
  </si>
  <si>
    <t>BDI Material de consumo (17,65%)</t>
  </si>
  <si>
    <t xml:space="preserve">Total (Material de consumo + BDI Material de consumo (17,65%)) </t>
  </si>
  <si>
    <t>BDI Utensílios (17,65%)</t>
  </si>
  <si>
    <t xml:space="preserve">Total (Utensílios + BDI Utensílios (17,65%)) </t>
  </si>
  <si>
    <t>Percentual de BDI (módulo 6 da planilha de custo e formação de preços) 17,65%</t>
  </si>
  <si>
    <t>Valor Total Mensal</t>
  </si>
  <si>
    <t>Valor Total Anual</t>
  </si>
  <si>
    <t>% do custo do item</t>
  </si>
  <si>
    <t>Item</t>
  </si>
  <si>
    <t xml:space="preserve">Nota 1: Em virtude da Lei nº 13.932, de 11 de dezembro de 2019 que extinguiu a cobrança da contribuição social de 10% (dez por cento) devida pelos empregadores em caso de despedida sem justa causa, instituída pela Lei Complementar nº 110, de 29 de junho de 2001, essa rubrica foi retirada na memória de cálculo das alíneas "C" e "F" seguindo as orientações do Ministério da Economia publicada no Comprasnet https://www.comprasgovernamentais.gov.br/index.php/noticias/1238-extincao-contribuicao-social-sobre-o-fgts. Sendo assim os itens somados tem o percentual de 4%. </t>
  </si>
  <si>
    <t>Nota 2: a parcela mensal a título de aviso prévio trabalhado será no percentual máximo de 1,94% no primeiro ano, e, em caso de prorrogação do contrato, o percentual máximo dessa parcela será de 0,194% a cada ano de prorrogação, a ser incluído por ocasião da formulação do aditivo da prorrogação do contrato, conforme a Lei 12.506/2011.</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</si>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</sst>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R$&quot;\ #,##0.00;[Red]\-&quot;R$&quot;\ #,##0.00"/>
    <numFmt numFmtId="44" formatCode="_-&quot;R$&quot;\ * #,##0.00_-;\-&quot;R$&quot;\ * #,##0.00_-;_-&quot;R$&quot;\ * &quot;-&quot;??_-;_-@_-"/>
    <numFmt numFmtId="43" formatCode="_-* #,##0.00_-;\-* #,##0.00_-;_-* &quot;-&quot;??_-;_-@_-"/>
    <numFmt numFmtId="164" formatCode="_(&quot;R$ &quot;* #,##0.00_);_(&quot;R$ &quot;* \(#,##0.00\);_(&quot;R$ &quot;* &quot;-&quot;??_);_(@_)"/>
    <numFmt numFmtId="165" formatCode="_-&quot;R$&quot;* #,##0.00_-;\-&quot;R$&quot;* #,##0.00_-;_-&quot;R$&quot;* &quot;-&quot;??_-;_-@_-"/>
    <numFmt numFmtId="166" formatCode="&quot;R$&quot;\ #,##0.00"/>
    <numFmt numFmtId="167" formatCode="#,##0.0000"/>
  </numFmts>
  <fonts count="2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sz val="11"/>
      <name val="Calibri"/>
      <family val="2"/>
      <scheme val="minor"/>
    </font>
    <font>
      <b/>
      <sz val="11"/>
      <name val="Calibri"/>
      <family val="2"/>
      <scheme val="minor"/>
    </font>
    <font>
      <shadow/>
      <sz val="11"/>
      <name val="Calibri"/>
      <family val="2"/>
      <scheme val="minor"/>
    </font>
    <font>
      <b/>
      <sz val="11"/>
      <color theme="0" tint="-0.249977111117893"/>
      <name val="Calibri"/>
      <family val="2"/>
      <scheme val="minor"/>
    </font>
    <font>
      <sz val="11"/>
      <color rgb="FF000000"/>
      <name val="Calibri"/>
      <family val="2"/>
      <scheme val="minor"/>
    </font>
    <font>
      <sz val="11"/>
      <color rgb="FF000000"/>
      <name val="Arial"/>
      <family val="2"/>
    </font>
    <font>
      <b/>
      <sz val="10"/>
      <name val="Arial"/>
      <family val="2"/>
    </font>
    <font>
      <b/>
      <sz val="11"/>
      <color rgb="FF000000"/>
      <name val="Calibri"/>
      <family val="2"/>
      <charset val="1"/>
    </font>
    <font>
      <b/>
      <sz val="9"/>
      <name val="Calibri"/>
      <family val="2"/>
      <charset val="1"/>
    </font>
    <font>
      <b/>
      <sz val="11"/>
      <name val="Calibri"/>
      <family val="2"/>
      <charset val="1"/>
    </font>
    <font>
      <b/>
      <sz val="18"/>
      <name val="Calibri"/>
      <family val="2"/>
      <scheme val="minor"/>
    </font>
    <font>
      <sz val="12"/>
      <name val="Arial"/>
      <family val="2"/>
    </font>
    <font>
      <b/>
      <sz val="12"/>
      <name val="Arial"/>
      <family val="2"/>
    </font>
    <font>
      <sz val="11"/>
      <name val="Arial"/>
      <family val="2"/>
    </font>
    <font>
      <b/>
      <sz val="12"/>
      <color rgb="FFFF0000"/>
      <name val="Arial"/>
      <family val="2"/>
    </font>
    <font>
      <b/>
      <sz val="12"/>
      <name val="Times New Roman"/>
      <family val="1"/>
    </font>
    <font>
      <sz val="12"/>
      <color rgb="FFFF0000"/>
      <name val="Arial"/>
      <family val="2"/>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D9D9D9"/>
        <bgColor rgb="FFDCDCDC"/>
      </patternFill>
    </fill>
    <fill>
      <patternFill patternType="solid">
        <fgColor theme="2" tint="-9.9978637043366805E-2"/>
        <bgColor indexed="64"/>
      </patternFill>
    </fill>
    <fill>
      <patternFill patternType="solid">
        <fgColor theme="2" tint="-9.9978637043366805E-2"/>
        <bgColor rgb="FFDCDCDC"/>
      </patternFill>
    </fill>
    <fill>
      <patternFill patternType="solid">
        <fgColor theme="6" tint="0.79998168889431442"/>
        <bgColor indexed="64"/>
      </patternFill>
    </fill>
    <fill>
      <patternFill patternType="solid">
        <fgColor theme="2" tint="-9.9978637043366805E-2"/>
        <bgColor rgb="FFF7F277"/>
      </patternFill>
    </fill>
    <fill>
      <patternFill patternType="solid">
        <fgColor theme="7" tint="0.5999938962981048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s>
  <cellStyleXfs count="14">
    <xf numFmtId="0" fontId="0" fillId="0" borderId="0"/>
    <xf numFmtId="164" fontId="4" fillId="0" borderId="0" applyFill="0" applyBorder="0" applyAlignment="0" applyProtection="0"/>
    <xf numFmtId="9" fontId="4" fillId="0" borderId="0" applyFill="0" applyBorder="0" applyAlignment="0" applyProtection="0"/>
    <xf numFmtId="0" fontId="4"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9" fontId="2" fillId="0" borderId="0" applyFont="0" applyFill="0" applyBorder="0" applyAlignment="0" applyProtection="0"/>
    <xf numFmtId="0" fontId="1" fillId="0" borderId="0"/>
  </cellStyleXfs>
  <cellXfs count="302">
    <xf numFmtId="0" fontId="0" fillId="0" borderId="0" xfId="0"/>
    <xf numFmtId="43" fontId="0" fillId="0" borderId="0" xfId="0" applyNumberFormat="1"/>
    <xf numFmtId="164" fontId="4" fillId="0" borderId="0" xfId="1"/>
    <xf numFmtId="0" fontId="5" fillId="0" borderId="0" xfId="0" applyFont="1" applyAlignment="1">
      <alignment wrapText="1"/>
    </xf>
    <xf numFmtId="10" fontId="6" fillId="0" borderId="1" xfId="2" applyNumberFormat="1"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 xfId="2" applyNumberFormat="1"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vertical="center" wrapText="1"/>
    </xf>
    <xf numFmtId="43" fontId="9" fillId="3" borderId="27" xfId="6" applyFont="1" applyFill="1" applyBorder="1" applyAlignment="1">
      <alignment vertical="center" wrapText="1"/>
    </xf>
    <xf numFmtId="43" fontId="7" fillId="3" borderId="28" xfId="6" applyFont="1" applyFill="1" applyBorder="1" applyAlignment="1">
      <alignment vertical="center" wrapText="1"/>
    </xf>
    <xf numFmtId="0" fontId="7" fillId="0" borderId="0" xfId="0" applyFont="1" applyAlignment="1">
      <alignment vertical="center"/>
    </xf>
    <xf numFmtId="43" fontId="6" fillId="2" borderId="4" xfId="6" applyFont="1" applyFill="1" applyBorder="1" applyAlignment="1">
      <alignment horizontal="center" vertical="center" wrapText="1"/>
    </xf>
    <xf numFmtId="43" fontId="6" fillId="0" borderId="4" xfId="6" applyFont="1" applyFill="1" applyBorder="1" applyAlignment="1">
      <alignment horizontal="center" vertical="center" wrapText="1"/>
    </xf>
    <xf numFmtId="10" fontId="7" fillId="3" borderId="1" xfId="0" applyNumberFormat="1"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0" xfId="0" applyFont="1" applyFill="1" applyAlignment="1">
      <alignment vertical="center" wrapText="1"/>
    </xf>
    <xf numFmtId="0" fontId="7" fillId="2" borderId="0" xfId="0" applyFont="1" applyFill="1" applyAlignment="1">
      <alignment horizontal="center" vertical="center" wrapText="1"/>
    </xf>
    <xf numFmtId="0" fontId="7" fillId="2" borderId="23" xfId="0" applyFont="1" applyFill="1" applyBorder="1" applyAlignment="1">
      <alignment horizontal="center" vertical="center" wrapText="1"/>
    </xf>
    <xf numFmtId="43" fontId="6" fillId="0" borderId="4" xfId="6" applyFont="1" applyFill="1" applyBorder="1" applyAlignment="1" applyProtection="1">
      <alignment horizontal="center" vertical="center"/>
    </xf>
    <xf numFmtId="8" fontId="6" fillId="2" borderId="15" xfId="0" applyNumberFormat="1" applyFont="1" applyFill="1" applyBorder="1" applyAlignment="1">
      <alignment horizontal="center" vertical="center" wrapText="1"/>
    </xf>
    <xf numFmtId="43" fontId="6" fillId="0" borderId="4" xfId="6" applyFont="1" applyFill="1" applyBorder="1" applyAlignment="1" applyProtection="1"/>
    <xf numFmtId="0" fontId="6" fillId="0" borderId="16" xfId="0" applyFont="1" applyBorder="1" applyAlignment="1">
      <alignment horizontal="center" vertical="center"/>
    </xf>
    <xf numFmtId="0" fontId="6" fillId="0" borderId="1" xfId="0" applyFont="1" applyBorder="1" applyAlignment="1">
      <alignment vertical="center"/>
    </xf>
    <xf numFmtId="8" fontId="6" fillId="2" borderId="1" xfId="0" applyNumberFormat="1" applyFont="1" applyFill="1" applyBorder="1" applyAlignment="1">
      <alignment horizontal="center" vertical="center" wrapText="1"/>
    </xf>
    <xf numFmtId="43" fontId="6" fillId="0" borderId="4" xfId="6" applyFont="1" applyFill="1" applyBorder="1" applyAlignment="1" applyProtection="1">
      <alignment horizontal="center" vertical="center"/>
      <protection locked="0"/>
    </xf>
    <xf numFmtId="43" fontId="6" fillId="0" borderId="4" xfId="6" applyFont="1" applyFill="1" applyBorder="1" applyAlignment="1" applyProtection="1">
      <alignment horizontal="center" vertical="center" wrapText="1"/>
    </xf>
    <xf numFmtId="43" fontId="6" fillId="0" borderId="4" xfId="6" applyFont="1" applyFill="1" applyBorder="1" applyAlignment="1" applyProtection="1">
      <alignment horizontal="center" vertical="center" wrapText="1"/>
      <protection locked="0"/>
    </xf>
    <xf numFmtId="0" fontId="6" fillId="0" borderId="12" xfId="0" applyFont="1" applyBorder="1" applyAlignment="1">
      <alignment horizontal="center" vertical="center"/>
    </xf>
    <xf numFmtId="43" fontId="7" fillId="2" borderId="23" xfId="6" applyFont="1" applyFill="1" applyBorder="1" applyAlignment="1">
      <alignment horizontal="center" vertical="center" wrapText="1"/>
    </xf>
    <xf numFmtId="0" fontId="10" fillId="0" borderId="1" xfId="0" applyFont="1" applyBorder="1"/>
    <xf numFmtId="0" fontId="6" fillId="0" borderId="9" xfId="0" applyFont="1" applyBorder="1" applyAlignment="1">
      <alignment vertical="center" wrapText="1"/>
    </xf>
    <xf numFmtId="10" fontId="7" fillId="3" borderId="18" xfId="0" applyNumberFormat="1" applyFont="1" applyFill="1" applyBorder="1" applyAlignment="1">
      <alignment horizontal="center" vertical="center" wrapText="1"/>
    </xf>
    <xf numFmtId="0" fontId="6" fillId="0" borderId="0" xfId="0" applyFont="1" applyAlignment="1">
      <alignment horizontal="center" vertical="center"/>
    </xf>
    <xf numFmtId="10" fontId="7" fillId="2" borderId="0" xfId="0" applyNumberFormat="1" applyFont="1" applyFill="1" applyAlignment="1">
      <alignment horizontal="center" vertical="center" wrapText="1"/>
    </xf>
    <xf numFmtId="43" fontId="7" fillId="2" borderId="0" xfId="6" applyFont="1" applyFill="1" applyBorder="1" applyAlignment="1">
      <alignment horizontal="center" vertical="center" wrapText="1"/>
    </xf>
    <xf numFmtId="164" fontId="7" fillId="3" borderId="1" xfId="1" applyFont="1" applyFill="1" applyBorder="1" applyAlignment="1">
      <alignment horizontal="center" vertical="center" wrapText="1"/>
    </xf>
    <xf numFmtId="164" fontId="7" fillId="3" borderId="4" xfId="1"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Alignment="1">
      <alignment vertical="center" wrapText="1"/>
    </xf>
    <xf numFmtId="0" fontId="7" fillId="3" borderId="1" xfId="0" applyFont="1" applyFill="1" applyBorder="1" applyAlignment="1">
      <alignment vertical="center" wrapText="1"/>
    </xf>
    <xf numFmtId="43" fontId="6" fillId="0" borderId="1" xfId="6" applyFont="1" applyFill="1" applyBorder="1" applyAlignment="1">
      <alignment vertical="center" wrapText="1"/>
    </xf>
    <xf numFmtId="0" fontId="11" fillId="0" borderId="0" xfId="0" applyFont="1"/>
    <xf numFmtId="0" fontId="0" fillId="0" borderId="1" xfId="0" applyBorder="1"/>
    <xf numFmtId="164" fontId="7" fillId="2" borderId="0" xfId="1" applyFont="1" applyFill="1" applyBorder="1" applyAlignment="1">
      <alignment horizontal="center" vertical="center" wrapText="1"/>
    </xf>
    <xf numFmtId="0" fontId="0" fillId="2" borderId="0" xfId="0" applyFill="1"/>
    <xf numFmtId="0" fontId="0" fillId="0" borderId="0" xfId="0" applyAlignment="1">
      <alignment horizontal="left"/>
    </xf>
    <xf numFmtId="0" fontId="6" fillId="2" borderId="0" xfId="0" applyFont="1" applyFill="1" applyAlignment="1">
      <alignment horizontal="center" vertical="center"/>
    </xf>
    <xf numFmtId="0" fontId="6" fillId="0" borderId="20" xfId="0" applyFont="1" applyBorder="1" applyAlignment="1">
      <alignment horizontal="center" vertical="center" wrapText="1"/>
    </xf>
    <xf numFmtId="0" fontId="6" fillId="0" borderId="21" xfId="0" applyFont="1" applyBorder="1" applyAlignment="1">
      <alignment vertical="center" wrapText="1"/>
    </xf>
    <xf numFmtId="10" fontId="6" fillId="4" borderId="1" xfId="0" applyNumberFormat="1" applyFont="1" applyFill="1" applyBorder="1" applyAlignment="1">
      <alignment horizontal="center" vertical="center" wrapText="1"/>
    </xf>
    <xf numFmtId="43" fontId="6" fillId="4" borderId="4" xfId="6" applyFont="1" applyFill="1" applyBorder="1" applyAlignment="1" applyProtection="1">
      <alignment horizontal="center" vertical="center"/>
    </xf>
    <xf numFmtId="0" fontId="0" fillId="0" borderId="21" xfId="0" applyBorder="1"/>
    <xf numFmtId="165" fontId="6" fillId="0" borderId="31" xfId="1" applyNumberFormat="1" applyFont="1" applyFill="1" applyBorder="1" applyAlignment="1">
      <alignment horizontal="center" vertical="center" wrapText="1"/>
    </xf>
    <xf numFmtId="165" fontId="6" fillId="0" borderId="32" xfId="1" applyNumberFormat="1"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6" fillId="0" borderId="16" xfId="0" applyFont="1" applyBorder="1" applyAlignment="1">
      <alignment horizontal="center" vertical="center" wrapText="1"/>
    </xf>
    <xf numFmtId="0" fontId="7" fillId="3" borderId="4" xfId="0" applyFont="1" applyFill="1" applyBorder="1" applyAlignment="1">
      <alignment horizontal="center" vertical="center" wrapText="1"/>
    </xf>
    <xf numFmtId="0" fontId="7" fillId="3" borderId="24" xfId="0" applyFont="1" applyFill="1" applyBorder="1" applyAlignment="1">
      <alignment horizontal="center" vertical="center" wrapText="1"/>
    </xf>
    <xf numFmtId="43" fontId="7" fillId="3" borderId="19" xfId="6" applyFont="1" applyFill="1" applyBorder="1" applyAlignment="1">
      <alignment horizontal="center" vertical="center" wrapText="1"/>
    </xf>
    <xf numFmtId="43" fontId="6" fillId="0" borderId="0" xfId="6" applyFont="1" applyFill="1" applyBorder="1" applyAlignment="1">
      <alignment horizontal="center" vertical="center" wrapText="1"/>
    </xf>
    <xf numFmtId="43" fontId="6" fillId="0" borderId="23" xfId="6" applyFont="1" applyFill="1" applyBorder="1" applyAlignment="1">
      <alignment horizontal="center" vertical="center" wrapText="1"/>
    </xf>
    <xf numFmtId="43" fontId="7" fillId="3" borderId="4" xfId="6" applyFont="1" applyFill="1" applyBorder="1" applyAlignment="1">
      <alignment horizontal="center" vertical="center" wrapText="1"/>
    </xf>
    <xf numFmtId="0" fontId="6" fillId="0" borderId="1" xfId="0" applyFont="1" applyBorder="1" applyAlignment="1">
      <alignment horizontal="center" vertical="center" wrapText="1"/>
    </xf>
    <xf numFmtId="0" fontId="7" fillId="3" borderId="11" xfId="0" applyFont="1" applyFill="1" applyBorder="1" applyAlignment="1">
      <alignment vertical="center" wrapText="1"/>
    </xf>
    <xf numFmtId="0" fontId="7" fillId="3" borderId="5" xfId="0" applyFont="1" applyFill="1" applyBorder="1" applyAlignment="1">
      <alignment vertical="center" wrapText="1"/>
    </xf>
    <xf numFmtId="43" fontId="7" fillId="3" borderId="5" xfId="0" applyNumberFormat="1" applyFont="1" applyFill="1" applyBorder="1" applyAlignment="1">
      <alignment vertical="center" wrapText="1"/>
    </xf>
    <xf numFmtId="0" fontId="6" fillId="0" borderId="5" xfId="0" applyFont="1" applyBorder="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xf>
    <xf numFmtId="0" fontId="7" fillId="3" borderId="0" xfId="0" applyFont="1" applyFill="1" applyAlignment="1">
      <alignment horizontal="center" vertical="center" wrapText="1"/>
    </xf>
    <xf numFmtId="0" fontId="5" fillId="0" borderId="0" xfId="0" applyFont="1"/>
    <xf numFmtId="0" fontId="5" fillId="0" borderId="0" xfId="0" applyFont="1" applyAlignment="1">
      <alignment horizontal="center" wrapText="1"/>
    </xf>
    <xf numFmtId="0" fontId="0" fillId="0" borderId="0" xfId="0" applyAlignment="1">
      <alignment wrapText="1"/>
    </xf>
    <xf numFmtId="0" fontId="0" fillId="0" borderId="1" xfId="0" applyBorder="1" applyAlignment="1">
      <alignment horizontal="center"/>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164" fontId="4" fillId="0" borderId="1" xfId="1" applyBorder="1"/>
    <xf numFmtId="164" fontId="12" fillId="0" borderId="1" xfId="0" applyNumberFormat="1" applyFont="1" applyBorder="1"/>
    <xf numFmtId="164" fontId="4" fillId="0" borderId="0" xfId="1" applyFill="1"/>
    <xf numFmtId="0" fontId="14" fillId="6" borderId="2"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6" borderId="4" xfId="0" applyFont="1" applyFill="1" applyBorder="1" applyAlignment="1">
      <alignment horizontal="center" vertical="center" wrapText="1"/>
    </xf>
    <xf numFmtId="4" fontId="13" fillId="0" borderId="35" xfId="0" applyNumberFormat="1" applyFont="1" applyBorder="1" applyAlignment="1">
      <alignment horizontal="center" wrapText="1"/>
    </xf>
    <xf numFmtId="0" fontId="5" fillId="0" borderId="0" xfId="0" applyFont="1" applyAlignment="1">
      <alignment horizontal="center"/>
    </xf>
    <xf numFmtId="167" fontId="0" fillId="0" borderId="0" xfId="0" applyNumberFormat="1"/>
    <xf numFmtId="0" fontId="7" fillId="0" borderId="6" xfId="0" applyFont="1" applyBorder="1" applyAlignment="1">
      <alignment horizontal="center" vertical="center"/>
    </xf>
    <xf numFmtId="0" fontId="7" fillId="0" borderId="39" xfId="0" applyFont="1" applyBorder="1" applyAlignment="1">
      <alignment horizontal="center" vertical="center"/>
    </xf>
    <xf numFmtId="0" fontId="7" fillId="0" borderId="7" xfId="0" applyFont="1" applyBorder="1" applyAlignment="1">
      <alignment horizontal="center" vertical="center"/>
    </xf>
    <xf numFmtId="0" fontId="7" fillId="3" borderId="15"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39" xfId="0" applyFont="1" applyBorder="1" applyAlignment="1">
      <alignment horizontal="center" vertical="center" wrapText="1"/>
    </xf>
    <xf numFmtId="0" fontId="7" fillId="3" borderId="4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9" xfId="0" applyFont="1" applyFill="1" applyBorder="1" applyAlignment="1">
      <alignment horizontal="center" vertical="center" wrapText="1"/>
    </xf>
    <xf numFmtId="166" fontId="13" fillId="7" borderId="18" xfId="0" applyNumberFormat="1" applyFont="1" applyFill="1" applyBorder="1" applyAlignment="1">
      <alignment horizontal="center" vertical="center" wrapText="1"/>
    </xf>
    <xf numFmtId="166" fontId="13" fillId="7" borderId="36" xfId="0" applyNumberFormat="1" applyFont="1" applyFill="1" applyBorder="1" applyAlignment="1">
      <alignment horizontal="center" vertical="center" wrapText="1"/>
    </xf>
    <xf numFmtId="0" fontId="18" fillId="0" borderId="0" xfId="0" applyFont="1" applyAlignment="1">
      <alignment horizontal="center" vertical="center" wrapText="1"/>
    </xf>
    <xf numFmtId="166" fontId="22" fillId="4" borderId="43" xfId="0" applyNumberFormat="1" applyFont="1" applyFill="1" applyBorder="1" applyAlignment="1">
      <alignment horizontal="center" vertical="center" wrapText="1"/>
    </xf>
    <xf numFmtId="166" fontId="22" fillId="4" borderId="44" xfId="0" applyNumberFormat="1" applyFont="1" applyFill="1" applyBorder="1" applyAlignment="1">
      <alignment horizontal="center" vertical="center" wrapText="1"/>
    </xf>
    <xf numFmtId="166" fontId="20" fillId="0" borderId="0" xfId="0" applyNumberFormat="1" applyFont="1" applyAlignment="1">
      <alignment horizontal="center" vertical="center" wrapText="1"/>
    </xf>
    <xf numFmtId="166" fontId="22" fillId="4" borderId="39" xfId="0" applyNumberFormat="1" applyFont="1" applyFill="1" applyBorder="1" applyAlignment="1">
      <alignment horizontal="center" vertical="center" wrapText="1"/>
    </xf>
    <xf numFmtId="0" fontId="5" fillId="0" borderId="0" xfId="0" applyFont="1" applyAlignment="1">
      <alignment vertical="center"/>
    </xf>
    <xf numFmtId="166" fontId="0" fillId="0" borderId="1" xfId="0" applyNumberFormat="1" applyBorder="1" applyAlignment="1">
      <alignment horizontal="center" wrapText="1"/>
    </xf>
    <xf numFmtId="166" fontId="0" fillId="0" borderId="4" xfId="0" applyNumberFormat="1" applyBorder="1" applyAlignment="1">
      <alignment horizontal="center" wrapText="1"/>
    </xf>
    <xf numFmtId="0" fontId="0" fillId="0" borderId="16" xfId="0" applyBorder="1" applyAlignment="1">
      <alignment horizontal="center" vertical="center" wrapText="1"/>
    </xf>
    <xf numFmtId="166" fontId="0" fillId="0" borderId="1" xfId="0" applyNumberFormat="1" applyBorder="1" applyAlignment="1">
      <alignment horizontal="center" vertical="center" wrapText="1"/>
    </xf>
    <xf numFmtId="166" fontId="0" fillId="0" borderId="4" xfId="0" applyNumberFormat="1" applyBorder="1" applyAlignment="1">
      <alignment horizontal="center" vertical="center" wrapText="1"/>
    </xf>
    <xf numFmtId="166" fontId="13" fillId="0" borderId="1" xfId="0" applyNumberFormat="1" applyFont="1" applyBorder="1" applyAlignment="1">
      <alignment horizontal="center" vertical="center" wrapText="1"/>
    </xf>
    <xf numFmtId="166" fontId="13" fillId="0" borderId="4" xfId="0" applyNumberFormat="1" applyFont="1" applyBorder="1" applyAlignment="1">
      <alignment horizontal="center" vertical="center" wrapText="1"/>
    </xf>
    <xf numFmtId="166" fontId="0" fillId="7" borderId="21" xfId="0" applyNumberFormat="1" applyFill="1" applyBorder="1" applyAlignment="1">
      <alignment horizontal="center" wrapText="1"/>
    </xf>
    <xf numFmtId="166" fontId="0" fillId="10" borderId="1" xfId="0" applyNumberFormat="1" applyFill="1" applyBorder="1" applyAlignment="1">
      <alignment horizontal="center" wrapText="1"/>
    </xf>
    <xf numFmtId="166" fontId="13" fillId="7" borderId="19" xfId="0" applyNumberFormat="1" applyFont="1" applyFill="1" applyBorder="1" applyAlignment="1">
      <alignment horizontal="center" wrapText="1"/>
    </xf>
    <xf numFmtId="166" fontId="0" fillId="0" borderId="0" xfId="0" applyNumberFormat="1"/>
    <xf numFmtId="0" fontId="14" fillId="6" borderId="14"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8" borderId="3" xfId="0" applyFont="1" applyFill="1" applyBorder="1" applyAlignment="1">
      <alignment horizontal="center" vertical="center" wrapText="1"/>
    </xf>
    <xf numFmtId="166" fontId="0" fillId="7" borderId="22" xfId="0" applyNumberFormat="1" applyFill="1" applyBorder="1" applyAlignment="1">
      <alignment horizontal="center" wrapText="1"/>
    </xf>
    <xf numFmtId="0" fontId="5" fillId="0" borderId="0" xfId="0" applyFont="1" applyAlignment="1">
      <alignment horizontal="center" vertical="center"/>
    </xf>
    <xf numFmtId="166" fontId="19" fillId="0" borderId="0" xfId="1" applyNumberFormat="1" applyFont="1" applyFill="1" applyBorder="1" applyAlignment="1">
      <alignment horizontal="center" vertical="center" wrapText="1"/>
    </xf>
    <xf numFmtId="0" fontId="17" fillId="0" borderId="0" xfId="0" applyFont="1" applyAlignment="1">
      <alignment horizontal="center" vertical="center" wrapText="1"/>
    </xf>
    <xf numFmtId="166" fontId="19" fillId="0" borderId="0" xfId="0" applyNumberFormat="1" applyFont="1" applyAlignment="1">
      <alignment horizontal="center" vertical="center" wrapText="1"/>
    </xf>
    <xf numFmtId="166" fontId="22" fillId="0" borderId="0" xfId="0" applyNumberFormat="1" applyFont="1" applyAlignment="1">
      <alignment horizontal="center" wrapText="1"/>
    </xf>
    <xf numFmtId="166" fontId="22" fillId="0" borderId="0" xfId="0" applyNumberFormat="1" applyFont="1" applyAlignment="1">
      <alignment horizontal="center" vertical="center" wrapText="1"/>
    </xf>
    <xf numFmtId="166" fontId="20" fillId="0" borderId="0" xfId="0" applyNumberFormat="1" applyFont="1" applyAlignment="1">
      <alignment horizontal="center" wrapText="1"/>
    </xf>
    <xf numFmtId="0" fontId="5" fillId="0" borderId="0" xfId="0" applyFont="1" applyAlignment="1">
      <alignment horizontal="center" vertical="center" wrapText="1"/>
    </xf>
    <xf numFmtId="0" fontId="17" fillId="0" borderId="0" xfId="0" applyFont="1" applyAlignment="1">
      <alignment horizontal="center" wrapText="1"/>
    </xf>
    <xf numFmtId="0" fontId="19" fillId="0" borderId="0" xfId="0" applyFont="1" applyAlignment="1">
      <alignment horizontal="center" wrapText="1"/>
    </xf>
    <xf numFmtId="2" fontId="5" fillId="0" borderId="0" xfId="0" applyNumberFormat="1" applyFont="1" applyAlignment="1">
      <alignment horizontal="center" vertical="center"/>
    </xf>
    <xf numFmtId="166" fontId="5" fillId="0" borderId="0" xfId="0" applyNumberFormat="1" applyFont="1"/>
    <xf numFmtId="0" fontId="19" fillId="0" borderId="0" xfId="0" applyFont="1" applyAlignment="1">
      <alignment horizontal="center" vertical="center" wrapText="1"/>
    </xf>
    <xf numFmtId="43" fontId="5" fillId="0" borderId="0" xfId="0" applyNumberFormat="1" applyFont="1"/>
    <xf numFmtId="0" fontId="18" fillId="11" borderId="37" xfId="0" applyFont="1" applyFill="1" applyBorder="1" applyAlignment="1">
      <alignment horizontal="center" vertical="center" wrapText="1"/>
    </xf>
    <xf numFmtId="0" fontId="18" fillId="5" borderId="43" xfId="0" applyFont="1" applyFill="1" applyBorder="1" applyAlignment="1">
      <alignment horizontal="center" vertical="center" wrapText="1"/>
    </xf>
    <xf numFmtId="166" fontId="19" fillId="0" borderId="37" xfId="0" applyNumberFormat="1" applyFont="1" applyBorder="1" applyAlignment="1">
      <alignment horizontal="center" vertical="center" wrapText="1"/>
    </xf>
    <xf numFmtId="166" fontId="19" fillId="0" borderId="24" xfId="0" applyNumberFormat="1" applyFont="1" applyBorder="1" applyAlignment="1">
      <alignment horizontal="center" vertical="center" wrapText="1"/>
    </xf>
    <xf numFmtId="166" fontId="19" fillId="0" borderId="28" xfId="0" applyNumberFormat="1" applyFont="1" applyBorder="1" applyAlignment="1">
      <alignment horizontal="center" vertical="center" wrapText="1"/>
    </xf>
    <xf numFmtId="166" fontId="22" fillId="4" borderId="47" xfId="0" applyNumberFormat="1" applyFont="1" applyFill="1" applyBorder="1" applyAlignment="1">
      <alignment horizontal="center" vertical="center" wrapText="1"/>
    </xf>
    <xf numFmtId="0" fontId="19" fillId="0" borderId="44"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166" fontId="19" fillId="0" borderId="44" xfId="1" applyNumberFormat="1" applyFont="1" applyBorder="1" applyAlignment="1">
      <alignment horizontal="center" vertical="center" wrapText="1"/>
    </xf>
    <xf numFmtId="166" fontId="19" fillId="0" borderId="45" xfId="1" applyNumberFormat="1" applyFont="1" applyBorder="1" applyAlignment="1">
      <alignment horizontal="center" vertical="center" wrapText="1"/>
    </xf>
    <xf numFmtId="166" fontId="19" fillId="0" borderId="46" xfId="1" applyNumberFormat="1" applyFont="1" applyBorder="1" applyAlignment="1">
      <alignment horizontal="center" vertical="center" wrapText="1"/>
    </xf>
    <xf numFmtId="166" fontId="19" fillId="9" borderId="44" xfId="1" applyNumberFormat="1" applyFont="1" applyFill="1" applyBorder="1" applyAlignment="1">
      <alignment horizontal="center" vertical="center" wrapText="1"/>
    </xf>
    <xf numFmtId="166" fontId="19" fillId="9" borderId="45" xfId="1" applyNumberFormat="1" applyFont="1" applyFill="1" applyBorder="1" applyAlignment="1">
      <alignment horizontal="center" vertical="center" wrapText="1"/>
    </xf>
    <xf numFmtId="166" fontId="19" fillId="9" borderId="46" xfId="1" applyNumberFormat="1" applyFont="1" applyFill="1" applyBorder="1" applyAlignment="1">
      <alignment horizontal="center" vertical="center" wrapText="1"/>
    </xf>
    <xf numFmtId="0" fontId="17" fillId="0" borderId="44" xfId="0" applyFont="1" applyBorder="1" applyAlignment="1">
      <alignment vertical="center" wrapText="1"/>
    </xf>
    <xf numFmtId="0" fontId="17" fillId="0" borderId="45" xfId="0" applyFont="1" applyBorder="1" applyAlignment="1">
      <alignment wrapText="1"/>
    </xf>
    <xf numFmtId="0" fontId="17" fillId="0" borderId="45" xfId="0" applyFont="1" applyBorder="1" applyAlignment="1">
      <alignment vertical="center" wrapText="1"/>
    </xf>
    <xf numFmtId="0" fontId="17" fillId="0" borderId="46" xfId="0" applyFont="1" applyBorder="1" applyAlignment="1">
      <alignment wrapText="1"/>
    </xf>
    <xf numFmtId="0" fontId="17" fillId="0" borderId="44" xfId="0" applyFont="1" applyBorder="1" applyAlignment="1">
      <alignment horizontal="center" vertical="center"/>
    </xf>
    <xf numFmtId="0" fontId="17" fillId="0" borderId="45" xfId="0" applyFont="1" applyBorder="1" applyAlignment="1">
      <alignment horizontal="center"/>
    </xf>
    <xf numFmtId="0" fontId="17" fillId="0" borderId="45" xfId="0" applyFont="1" applyBorder="1" applyAlignment="1">
      <alignment horizontal="center" vertical="center"/>
    </xf>
    <xf numFmtId="0" fontId="17" fillId="0" borderId="46" xfId="0" applyFont="1" applyBorder="1" applyAlignment="1">
      <alignment horizontal="center"/>
    </xf>
    <xf numFmtId="0" fontId="17" fillId="0" borderId="44" xfId="0" applyFont="1" applyBorder="1" applyAlignment="1">
      <alignment horizontal="center"/>
    </xf>
    <xf numFmtId="0" fontId="17" fillId="0" borderId="44" xfId="0" applyFont="1" applyBorder="1" applyAlignment="1">
      <alignment wrapText="1"/>
    </xf>
    <xf numFmtId="0" fontId="17" fillId="0" borderId="44" xfId="0" applyFont="1" applyBorder="1" applyAlignment="1">
      <alignment horizontal="center" wrapText="1"/>
    </xf>
    <xf numFmtId="0" fontId="17" fillId="0" borderId="45" xfId="0" applyFont="1" applyBorder="1" applyAlignment="1">
      <alignment horizontal="center" wrapText="1"/>
    </xf>
    <xf numFmtId="0" fontId="17" fillId="0" borderId="46" xfId="0" applyFont="1" applyBorder="1" applyAlignment="1">
      <alignment horizontal="center" wrapText="1"/>
    </xf>
    <xf numFmtId="0" fontId="19" fillId="0" borderId="44" xfId="0" applyFont="1" applyBorder="1" applyAlignment="1">
      <alignment horizontal="center" wrapText="1"/>
    </xf>
    <xf numFmtId="0" fontId="19" fillId="0" borderId="45" xfId="0" applyFont="1" applyBorder="1" applyAlignment="1">
      <alignment horizontal="center" wrapText="1"/>
    </xf>
    <xf numFmtId="0" fontId="19" fillId="11" borderId="45" xfId="0" applyFont="1" applyFill="1" applyBorder="1" applyAlignment="1">
      <alignment horizontal="center" wrapText="1"/>
    </xf>
    <xf numFmtId="0" fontId="19" fillId="0" borderId="46" xfId="0" applyFont="1" applyBorder="1" applyAlignment="1">
      <alignment horizontal="center" wrapText="1"/>
    </xf>
    <xf numFmtId="0" fontId="19" fillId="0" borderId="29" xfId="0" applyFont="1" applyBorder="1" applyAlignment="1">
      <alignment horizontal="center" wrapText="1"/>
    </xf>
    <xf numFmtId="0" fontId="19" fillId="0" borderId="11" xfId="0" applyFont="1" applyBorder="1" applyAlignment="1">
      <alignment horizontal="center" wrapText="1"/>
    </xf>
    <xf numFmtId="0" fontId="19" fillId="11" borderId="11" xfId="0" applyFont="1" applyFill="1" applyBorder="1" applyAlignment="1">
      <alignment horizontal="center" wrapText="1"/>
    </xf>
    <xf numFmtId="0" fontId="19" fillId="0" borderId="25" xfId="0" applyFont="1" applyBorder="1" applyAlignment="1">
      <alignment horizontal="center" wrapText="1"/>
    </xf>
    <xf numFmtId="2" fontId="17" fillId="0" borderId="24" xfId="0" applyNumberFormat="1" applyFont="1" applyBorder="1" applyAlignment="1">
      <alignment horizontal="center" vertical="center"/>
    </xf>
    <xf numFmtId="2" fontId="17" fillId="0" borderId="28" xfId="0" applyNumberFormat="1" applyFont="1" applyBorder="1" applyAlignment="1">
      <alignment horizontal="center" vertical="center"/>
    </xf>
    <xf numFmtId="166" fontId="19" fillId="0" borderId="45" xfId="1" applyNumberFormat="1" applyFont="1" applyFill="1" applyBorder="1" applyAlignment="1">
      <alignment horizontal="center" vertical="center" wrapText="1"/>
    </xf>
    <xf numFmtId="0" fontId="18" fillId="5" borderId="43" xfId="0" applyFont="1" applyFill="1" applyBorder="1" applyAlignment="1">
      <alignment horizontal="center" vertical="center"/>
    </xf>
    <xf numFmtId="0" fontId="5" fillId="0" borderId="48" xfId="0" applyFont="1" applyBorder="1" applyAlignment="1">
      <alignment horizontal="center"/>
    </xf>
    <xf numFmtId="0" fontId="5" fillId="0" borderId="49" xfId="0" applyFont="1" applyBorder="1" applyAlignment="1">
      <alignment wrapText="1"/>
    </xf>
    <xf numFmtId="0" fontId="5" fillId="0" borderId="49" xfId="0" applyFont="1" applyBorder="1" applyAlignment="1">
      <alignment horizontal="center" wrapText="1"/>
    </xf>
    <xf numFmtId="166" fontId="20" fillId="4" borderId="43" xfId="0" applyNumberFormat="1" applyFont="1" applyFill="1" applyBorder="1" applyAlignment="1">
      <alignment horizontal="center" vertical="center" wrapText="1"/>
    </xf>
    <xf numFmtId="0" fontId="5" fillId="0" borderId="49" xfId="0" applyFont="1" applyBorder="1" applyAlignment="1">
      <alignment vertical="center" wrapText="1"/>
    </xf>
    <xf numFmtId="0" fontId="5" fillId="0" borderId="0" xfId="0" applyFont="1" applyAlignment="1">
      <alignment vertical="center" wrapText="1"/>
    </xf>
    <xf numFmtId="0" fontId="5" fillId="0" borderId="50" xfId="0" applyFont="1" applyBorder="1" applyAlignment="1">
      <alignment vertical="center" wrapText="1"/>
    </xf>
    <xf numFmtId="0" fontId="17" fillId="0" borderId="45" xfId="0" applyFont="1" applyBorder="1" applyAlignment="1">
      <alignment horizontal="center" vertical="center" wrapText="1"/>
    </xf>
    <xf numFmtId="0" fontId="17" fillId="0" borderId="45" xfId="0" applyFont="1" applyBorder="1" applyAlignment="1">
      <alignment horizontal="left" vertical="center" wrapText="1"/>
    </xf>
    <xf numFmtId="0" fontId="17" fillId="0" borderId="46" xfId="0" applyFont="1" applyBorder="1" applyAlignment="1">
      <alignment horizontal="left" vertical="center" wrapText="1"/>
    </xf>
    <xf numFmtId="0" fontId="19" fillId="0" borderId="11" xfId="0" applyFont="1" applyBorder="1" applyAlignment="1">
      <alignment horizontal="center" vertical="center" wrapText="1"/>
    </xf>
    <xf numFmtId="0" fontId="0" fillId="0" borderId="16" xfId="0" applyBorder="1" applyAlignment="1">
      <alignment horizontal="center" wrapText="1"/>
    </xf>
    <xf numFmtId="0" fontId="13" fillId="0" borderId="17" xfId="0" applyFont="1" applyBorder="1" applyAlignment="1">
      <alignment horizontal="center" wrapText="1"/>
    </xf>
    <xf numFmtId="0" fontId="13" fillId="0" borderId="34" xfId="0" applyFont="1" applyBorder="1" applyAlignment="1">
      <alignment horizontal="center" wrapText="1"/>
    </xf>
    <xf numFmtId="0" fontId="0" fillId="4" borderId="7" xfId="0" applyFill="1" applyBorder="1" applyAlignment="1">
      <alignment horizontal="center"/>
    </xf>
    <xf numFmtId="0" fontId="0" fillId="4" borderId="6" xfId="0" applyFill="1" applyBorder="1" applyAlignment="1">
      <alignment horizontal="center"/>
    </xf>
    <xf numFmtId="0" fontId="0" fillId="4" borderId="39" xfId="0" applyFill="1"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0" fillId="0" borderId="39" xfId="0" applyBorder="1" applyAlignment="1">
      <alignment horizontal="center"/>
    </xf>
    <xf numFmtId="0" fontId="14" fillId="6" borderId="14" xfId="0" applyFont="1" applyFill="1" applyBorder="1" applyAlignment="1">
      <alignment horizontal="center" vertical="center" wrapText="1"/>
    </xf>
    <xf numFmtId="0" fontId="0" fillId="0" borderId="1" xfId="0" applyBorder="1" applyAlignment="1">
      <alignment horizontal="center" vertical="center" wrapText="1"/>
    </xf>
    <xf numFmtId="0" fontId="13" fillId="0" borderId="16" xfId="0" applyFont="1" applyBorder="1" applyAlignment="1">
      <alignment horizontal="center" vertical="center" wrapText="1"/>
    </xf>
    <xf numFmtId="0" fontId="15" fillId="6" borderId="16" xfId="0" applyFont="1" applyFill="1" applyBorder="1" applyAlignment="1">
      <alignment horizontal="center" vertical="center" wrapText="1"/>
    </xf>
    <xf numFmtId="0" fontId="6" fillId="0" borderId="29"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4" xfId="0" applyFont="1" applyBorder="1" applyAlignment="1">
      <alignment horizontal="center" vertical="center" wrapText="1"/>
    </xf>
    <xf numFmtId="166" fontId="4" fillId="0" borderId="11" xfId="1" applyNumberFormat="1" applyFill="1" applyBorder="1" applyAlignment="1">
      <alignment horizontal="center" vertical="center" wrapText="1"/>
    </xf>
    <xf numFmtId="166" fontId="4" fillId="0" borderId="24" xfId="1" applyNumberFormat="1" applyFill="1" applyBorder="1" applyAlignment="1">
      <alignment horizontal="center" vertical="center" wrapText="1"/>
    </xf>
    <xf numFmtId="16" fontId="6" fillId="0" borderId="25" xfId="0" applyNumberFormat="1" applyFont="1" applyBorder="1" applyAlignment="1">
      <alignment horizontal="center" vertical="center" wrapText="1"/>
    </xf>
    <xf numFmtId="16" fontId="6" fillId="0" borderId="28" xfId="0" applyNumberFormat="1" applyFont="1" applyBorder="1" applyAlignment="1">
      <alignment horizontal="center" vertical="center" wrapText="1"/>
    </xf>
    <xf numFmtId="166" fontId="6" fillId="0" borderId="11" xfId="0" applyNumberFormat="1" applyFont="1" applyBorder="1" applyAlignment="1">
      <alignment horizontal="center" vertical="center" wrapText="1"/>
    </xf>
    <xf numFmtId="166" fontId="6" fillId="0" borderId="24" xfId="0" applyNumberFormat="1" applyFont="1" applyBorder="1" applyAlignment="1">
      <alignment horizontal="center" vertical="center" wrapText="1"/>
    </xf>
    <xf numFmtId="43" fontId="7" fillId="3" borderId="1" xfId="6" applyFont="1" applyFill="1" applyBorder="1" applyAlignment="1">
      <alignment horizontal="center" vertical="center" wrapText="1"/>
    </xf>
    <xf numFmtId="43" fontId="7" fillId="3" borderId="4" xfId="6" applyFont="1" applyFill="1" applyBorder="1" applyAlignment="1">
      <alignment horizontal="center" vertical="center" wrapText="1"/>
    </xf>
    <xf numFmtId="166" fontId="6" fillId="0" borderId="1" xfId="0" applyNumberFormat="1" applyFont="1" applyBorder="1" applyAlignment="1">
      <alignment horizontal="center" vertical="center" wrapText="1"/>
    </xf>
    <xf numFmtId="166" fontId="6" fillId="0" borderId="4" xfId="0" applyNumberFormat="1" applyFont="1" applyBorder="1" applyAlignment="1">
      <alignment horizontal="center" vertical="center" wrapText="1"/>
    </xf>
    <xf numFmtId="166" fontId="6" fillId="0" borderId="1" xfId="0" applyNumberFormat="1" applyFont="1" applyBorder="1" applyAlignment="1">
      <alignment horizontal="right" vertical="center" wrapText="1"/>
    </xf>
    <xf numFmtId="166" fontId="6" fillId="0" borderId="4" xfId="0" applyNumberFormat="1" applyFont="1" applyBorder="1" applyAlignment="1">
      <alignment horizontal="right" vertical="center" wrapText="1"/>
    </xf>
    <xf numFmtId="166" fontId="7" fillId="3" borderId="18" xfId="6" applyNumberFormat="1" applyFont="1" applyFill="1" applyBorder="1" applyAlignment="1">
      <alignment horizontal="center" vertical="center" wrapText="1"/>
    </xf>
    <xf numFmtId="166" fontId="7" fillId="3" borderId="19" xfId="6"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33" xfId="0" applyFont="1" applyFill="1" applyBorder="1" applyAlignment="1">
      <alignment horizontal="center" vertical="center" wrapText="1"/>
    </xf>
    <xf numFmtId="43" fontId="6" fillId="0" borderId="1" xfId="0" applyNumberFormat="1" applyFont="1" applyBorder="1" applyAlignment="1">
      <alignment horizontal="center" vertical="center" wrapText="1"/>
    </xf>
    <xf numFmtId="0" fontId="6" fillId="0" borderId="4" xfId="0" applyFont="1" applyBorder="1" applyAlignment="1">
      <alignment horizontal="center" vertical="center" wrapText="1"/>
    </xf>
    <xf numFmtId="165" fontId="6" fillId="0" borderId="1" xfId="1" applyNumberFormat="1" applyFont="1" applyFill="1" applyBorder="1" applyAlignment="1">
      <alignment horizontal="center" vertical="center" wrapText="1"/>
    </xf>
    <xf numFmtId="165" fontId="6" fillId="0" borderId="4" xfId="1" applyNumberFormat="1" applyFont="1" applyFill="1" applyBorder="1" applyAlignment="1">
      <alignment horizontal="center" vertical="center" wrapText="1"/>
    </xf>
    <xf numFmtId="165" fontId="6" fillId="0" borderId="9" xfId="1" applyNumberFormat="1" applyFont="1" applyFill="1" applyBorder="1" applyAlignment="1">
      <alignment horizontal="center" vertical="center" wrapText="1"/>
    </xf>
    <xf numFmtId="165" fontId="6" fillId="0" borderId="24" xfId="1" applyNumberFormat="1" applyFont="1" applyFill="1" applyBorder="1" applyAlignment="1">
      <alignment horizontal="center" vertical="center" wrapText="1"/>
    </xf>
    <xf numFmtId="43" fontId="7" fillId="3" borderId="27" xfId="6" applyFont="1" applyFill="1" applyBorder="1" applyAlignment="1">
      <alignment horizontal="center" vertical="center" wrapText="1"/>
    </xf>
    <xf numFmtId="43" fontId="7" fillId="3" borderId="28" xfId="6" applyFont="1" applyFill="1" applyBorder="1" applyAlignment="1">
      <alignment horizontal="center" vertical="center" wrapText="1"/>
    </xf>
    <xf numFmtId="43" fontId="6" fillId="0" borderId="21" xfId="0" applyNumberFormat="1" applyFont="1" applyBorder="1" applyAlignment="1">
      <alignment horizontal="center" vertical="center" wrapText="1"/>
    </xf>
    <xf numFmtId="0" fontId="6" fillId="0" borderId="22" xfId="0" applyFont="1" applyBorder="1" applyAlignment="1">
      <alignment horizontal="center" vertical="center" wrapText="1"/>
    </xf>
    <xf numFmtId="43" fontId="6" fillId="3" borderId="14"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43" fontId="6" fillId="0" borderId="9" xfId="6" applyFont="1" applyFill="1" applyBorder="1" applyAlignment="1">
      <alignment horizontal="center" vertical="center" wrapText="1"/>
    </xf>
    <xf numFmtId="43" fontId="6" fillId="0" borderId="24" xfId="6" applyFont="1" applyFill="1" applyBorder="1" applyAlignment="1">
      <alignment horizontal="center" vertical="center" wrapText="1"/>
    </xf>
    <xf numFmtId="0" fontId="7" fillId="3" borderId="38" xfId="0" applyFont="1" applyFill="1" applyBorder="1" applyAlignment="1">
      <alignment horizontal="center" vertical="center" wrapText="1"/>
    </xf>
    <xf numFmtId="0" fontId="7" fillId="3" borderId="41" xfId="0" applyFont="1" applyFill="1" applyBorder="1" applyAlignment="1">
      <alignment horizontal="center" vertical="center" wrapText="1"/>
    </xf>
    <xf numFmtId="43" fontId="6" fillId="0" borderId="9" xfId="0" applyNumberFormat="1" applyFont="1" applyBorder="1" applyAlignment="1">
      <alignment horizontal="center" vertical="center" wrapText="1"/>
    </xf>
    <xf numFmtId="43" fontId="6" fillId="0" borderId="24" xfId="0" applyNumberFormat="1" applyFont="1" applyBorder="1" applyAlignment="1">
      <alignment horizontal="center" vertical="center" wrapText="1"/>
    </xf>
    <xf numFmtId="43" fontId="7" fillId="3" borderId="27" xfId="0" applyNumberFormat="1" applyFont="1" applyFill="1" applyBorder="1" applyAlignment="1">
      <alignment horizontal="center" vertical="center" wrapText="1"/>
    </xf>
    <xf numFmtId="43" fontId="7" fillId="3" borderId="28" xfId="0" applyNumberFormat="1" applyFont="1" applyFill="1" applyBorder="1" applyAlignment="1">
      <alignment horizontal="center" vertical="center" wrapText="1"/>
    </xf>
    <xf numFmtId="43" fontId="6" fillId="0" borderId="0" xfId="6" applyFont="1" applyFill="1" applyBorder="1" applyAlignment="1">
      <alignment horizontal="center" vertical="center" wrapText="1"/>
    </xf>
    <xf numFmtId="43" fontId="6" fillId="0" borderId="23" xfId="6" applyFont="1" applyFill="1" applyBorder="1" applyAlignment="1">
      <alignment horizontal="center" vertical="center" wrapText="1"/>
    </xf>
    <xf numFmtId="0" fontId="6" fillId="3" borderId="7"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39" xfId="0" applyFont="1" applyFill="1" applyBorder="1" applyAlignment="1">
      <alignment horizontal="left" vertical="top" wrapText="1"/>
    </xf>
    <xf numFmtId="0" fontId="7" fillId="3" borderId="1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14" xfId="0" applyFont="1" applyBorder="1" applyAlignment="1">
      <alignment horizontal="center" vertical="center"/>
    </xf>
    <xf numFmtId="0" fontId="7" fillId="0" borderId="40" xfId="0" applyFont="1" applyBorder="1" applyAlignment="1">
      <alignment horizontal="center" vertical="center"/>
    </xf>
    <xf numFmtId="0" fontId="7" fillId="0" borderId="0" xfId="0" applyFont="1" applyAlignment="1">
      <alignment horizontal="left"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xf>
    <xf numFmtId="0" fontId="7" fillId="3" borderId="13" xfId="0" applyFont="1" applyFill="1" applyBorder="1" applyAlignment="1">
      <alignment horizontal="center"/>
    </xf>
    <xf numFmtId="0" fontId="7" fillId="3" borderId="8" xfId="0" applyFont="1" applyFill="1" applyBorder="1" applyAlignment="1">
      <alignment horizontal="center"/>
    </xf>
    <xf numFmtId="0" fontId="7" fillId="3" borderId="0" xfId="0" applyFont="1" applyFill="1" applyAlignment="1">
      <alignment horizontal="center"/>
    </xf>
    <xf numFmtId="0" fontId="6" fillId="0" borderId="11" xfId="0" applyFont="1" applyBorder="1" applyAlignment="1">
      <alignment horizontal="left"/>
    </xf>
    <xf numFmtId="0" fontId="6" fillId="0" borderId="5" xfId="0" applyFont="1" applyBorder="1" applyAlignment="1">
      <alignment horizontal="left"/>
    </xf>
    <xf numFmtId="0" fontId="7" fillId="3" borderId="21" xfId="0" applyFont="1" applyFill="1" applyBorder="1" applyAlignment="1">
      <alignment horizontal="center" vertical="center" wrapText="1"/>
    </xf>
    <xf numFmtId="0" fontId="16" fillId="0" borderId="1" xfId="0" applyFont="1" applyBorder="1" applyAlignment="1">
      <alignment horizontal="center"/>
    </xf>
    <xf numFmtId="0" fontId="16" fillId="0" borderId="4" xfId="0" applyFont="1" applyBorder="1" applyAlignment="1">
      <alignment horizontal="center"/>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12" fillId="0" borderId="1" xfId="0" applyFont="1" applyBorder="1" applyAlignment="1">
      <alignment horizontal="center"/>
    </xf>
    <xf numFmtId="0" fontId="12" fillId="0" borderId="9" xfId="0" applyFont="1" applyBorder="1" applyAlignment="1">
      <alignment horizontal="center"/>
    </xf>
    <xf numFmtId="0" fontId="12" fillId="0" borderId="5" xfId="0" applyFont="1" applyBorder="1" applyAlignment="1">
      <alignment horizontal="center"/>
    </xf>
    <xf numFmtId="0" fontId="12" fillId="0" borderId="10" xfId="0" applyFont="1" applyBorder="1" applyAlignment="1">
      <alignment horizontal="center"/>
    </xf>
    <xf numFmtId="0" fontId="18" fillId="0" borderId="7" xfId="0" applyFont="1" applyBorder="1" applyAlignment="1">
      <alignment horizontal="center" vertical="center"/>
    </xf>
    <xf numFmtId="0" fontId="21" fillId="0" borderId="6" xfId="0" applyFont="1" applyBorder="1" applyAlignment="1">
      <alignment horizontal="center" vertical="center"/>
    </xf>
    <xf numFmtId="0" fontId="21" fillId="0" borderId="39" xfId="0" applyFont="1" applyBorder="1" applyAlignment="1">
      <alignment horizontal="center" vertical="center"/>
    </xf>
    <xf numFmtId="0" fontId="18"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39" xfId="0" applyFont="1" applyBorder="1" applyAlignment="1">
      <alignment horizontal="center" vertical="center" wrapText="1"/>
    </xf>
    <xf numFmtId="0" fontId="17" fillId="0" borderId="0" xfId="0" applyFont="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39" xfId="0" applyFont="1" applyBorder="1" applyAlignment="1">
      <alignment horizontal="center" vertical="center"/>
    </xf>
  </cellXfs>
  <cellStyles count="14">
    <cellStyle name="Moeda" xfId="1" builtinId="4"/>
    <cellStyle name="Moeda 2" xfId="8" xr:uid="{BCAD86AC-69DB-41BC-8567-B6F546AA4765}"/>
    <cellStyle name="Normal" xfId="0" builtinId="0"/>
    <cellStyle name="Normal 2" xfId="3" xr:uid="{00000000-0005-0000-0000-000002000000}"/>
    <cellStyle name="Normal 2 2" xfId="9" xr:uid="{10C59BE5-F593-4EDA-8528-FC9501E0915F}"/>
    <cellStyle name="Normal 3" xfId="7" xr:uid="{2202C122-640C-4696-8D06-5EB9BA3A4476}"/>
    <cellStyle name="Normal 3 2" xfId="11" xr:uid="{8F1C7A07-52F3-42E6-BAC8-51404E4BB8D5}"/>
    <cellStyle name="Normal 4" xfId="13" xr:uid="{D58F866E-D69B-454A-A87D-97AF32B057A3}"/>
    <cellStyle name="Normal 5" xfId="4" xr:uid="{00000000-0005-0000-0000-000003000000}"/>
    <cellStyle name="Porcentagem" xfId="2" builtinId="5"/>
    <cellStyle name="Porcentagem 2" xfId="12" xr:uid="{200105AC-3B89-495D-87B9-CA1AB673388B}"/>
    <cellStyle name="Vírgula" xfId="6" builtinId="3"/>
    <cellStyle name="Vírgula 2" xfId="5" xr:uid="{00000000-0005-0000-0000-000006000000}"/>
    <cellStyle name="Vírgula 3" xfId="10" xr:uid="{B33E4824-5499-4673-ACFC-E42F1559287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8FB6E-A314-41DA-B974-6221A7654641}">
  <dimension ref="B2:L110"/>
  <sheetViews>
    <sheetView tabSelected="1" topLeftCell="A5" workbookViewId="0">
      <selection activeCell="K11" sqref="K11"/>
    </sheetView>
  </sheetViews>
  <sheetFormatPr defaultRowHeight="12.5" x14ac:dyDescent="0.25"/>
  <cols>
    <col min="5" max="7" width="18.7265625" customWidth="1"/>
    <col min="8" max="8" width="11.453125" customWidth="1"/>
    <col min="9" max="9" width="13.1796875" bestFit="1" customWidth="1"/>
    <col min="11" max="11" width="12" bestFit="1" customWidth="1"/>
    <col min="14" max="16" width="18.7265625" customWidth="1"/>
  </cols>
  <sheetData>
    <row r="2" spans="2:12" ht="13" thickBot="1" x14ac:dyDescent="0.3">
      <c r="G2" s="88"/>
    </row>
    <row r="3" spans="2:12" ht="13" thickBot="1" x14ac:dyDescent="0.3">
      <c r="B3" s="190" t="s">
        <v>199</v>
      </c>
      <c r="C3" s="191"/>
      <c r="D3" s="191"/>
      <c r="E3" s="191"/>
      <c r="F3" s="191"/>
      <c r="G3" s="192"/>
    </row>
    <row r="4" spans="2:12" ht="13" thickBot="1" x14ac:dyDescent="0.3">
      <c r="B4" s="193" t="s">
        <v>176</v>
      </c>
      <c r="C4" s="194"/>
      <c r="D4" s="194"/>
      <c r="E4" s="194"/>
      <c r="F4" s="194"/>
      <c r="G4" s="195"/>
    </row>
    <row r="5" spans="2:12" ht="24" x14ac:dyDescent="0.25">
      <c r="B5" s="83" t="s">
        <v>169</v>
      </c>
      <c r="C5" s="196" t="s">
        <v>170</v>
      </c>
      <c r="D5" s="196"/>
      <c r="E5" s="118" t="s">
        <v>193</v>
      </c>
      <c r="F5" s="119" t="s">
        <v>171</v>
      </c>
      <c r="G5" s="120" t="s">
        <v>172</v>
      </c>
    </row>
    <row r="6" spans="2:12" ht="25" x14ac:dyDescent="0.25">
      <c r="B6" s="109" t="s">
        <v>173</v>
      </c>
      <c r="C6" s="197">
        <v>6</v>
      </c>
      <c r="D6" s="197"/>
      <c r="E6" s="110">
        <v>6418.77</v>
      </c>
      <c r="F6" s="110">
        <f>E6*C6</f>
        <v>38512.620000000003</v>
      </c>
      <c r="G6" s="111">
        <f>F6*12</f>
        <v>462151.44000000006</v>
      </c>
    </row>
    <row r="7" spans="2:12" x14ac:dyDescent="0.25">
      <c r="B7" s="109" t="s">
        <v>174</v>
      </c>
      <c r="C7" s="197">
        <v>3</v>
      </c>
      <c r="D7" s="197"/>
      <c r="E7" s="107">
        <f>4760.97</f>
        <v>4760.97</v>
      </c>
      <c r="F7" s="110">
        <f>E7*C7</f>
        <v>14282.91</v>
      </c>
      <c r="G7" s="111">
        <f>F7*12</f>
        <v>171394.91999999998</v>
      </c>
    </row>
    <row r="8" spans="2:12" ht="14.5" x14ac:dyDescent="0.25">
      <c r="B8" s="198" t="s">
        <v>194</v>
      </c>
      <c r="C8" s="198"/>
      <c r="D8" s="198"/>
      <c r="E8" s="198"/>
      <c r="F8" s="112">
        <f>SUM(F6:F7)</f>
        <v>52795.53</v>
      </c>
      <c r="G8" s="113">
        <f>SUM(G6:G7)</f>
        <v>633546.3600000001</v>
      </c>
    </row>
    <row r="9" spans="2:12" ht="14.5" x14ac:dyDescent="0.25">
      <c r="B9" s="199" t="s">
        <v>100</v>
      </c>
      <c r="C9" s="199"/>
      <c r="D9" s="199"/>
      <c r="E9" s="199"/>
      <c r="F9" s="84" t="s">
        <v>171</v>
      </c>
      <c r="G9" s="85" t="s">
        <v>172</v>
      </c>
    </row>
    <row r="10" spans="2:12" x14ac:dyDescent="0.25">
      <c r="B10" s="187" t="s">
        <v>198</v>
      </c>
      <c r="C10" s="187"/>
      <c r="D10" s="187"/>
      <c r="E10" s="187"/>
      <c r="F10" s="107">
        <f>'Materiais e utensílios'!H26</f>
        <v>12562.039059999999</v>
      </c>
      <c r="G10" s="108">
        <f>F10*12</f>
        <v>150744.46872</v>
      </c>
    </row>
    <row r="11" spans="2:12" x14ac:dyDescent="0.25">
      <c r="B11" s="187" t="s">
        <v>200</v>
      </c>
      <c r="C11" s="187"/>
      <c r="D11" s="187"/>
      <c r="E11" s="187"/>
      <c r="F11" s="107">
        <f>F10*0.1765</f>
        <v>2217.1998940899998</v>
      </c>
      <c r="G11" s="108">
        <f>G10*0.1765</f>
        <v>26606.39872908</v>
      </c>
      <c r="L11" s="117"/>
    </row>
    <row r="12" spans="2:12" x14ac:dyDescent="0.25">
      <c r="B12" s="187" t="s">
        <v>201</v>
      </c>
      <c r="C12" s="187"/>
      <c r="D12" s="187"/>
      <c r="E12" s="187"/>
      <c r="F12" s="115">
        <f>F10+F11</f>
        <v>14779.238954089999</v>
      </c>
      <c r="G12" s="121">
        <f>G10+G11</f>
        <v>177350.86744907999</v>
      </c>
    </row>
    <row r="13" spans="2:12" x14ac:dyDescent="0.25">
      <c r="B13" s="187" t="s">
        <v>101</v>
      </c>
      <c r="C13" s="187"/>
      <c r="D13" s="187"/>
      <c r="E13" s="187"/>
      <c r="F13" s="107">
        <f>'Materiais e utensílios'!F53</f>
        <v>1311.4349999999999</v>
      </c>
      <c r="G13" s="108">
        <f>1311.44*12</f>
        <v>15737.28</v>
      </c>
    </row>
    <row r="14" spans="2:12" x14ac:dyDescent="0.25">
      <c r="B14" s="187" t="s">
        <v>202</v>
      </c>
      <c r="C14" s="187"/>
      <c r="D14" s="187"/>
      <c r="E14" s="187"/>
      <c r="F14" s="107">
        <f>F13*0.1765</f>
        <v>231.46827749999997</v>
      </c>
      <c r="G14" s="108">
        <f>G13*0.1765</f>
        <v>2777.6299199999999</v>
      </c>
    </row>
    <row r="15" spans="2:12" x14ac:dyDescent="0.25">
      <c r="B15" s="187" t="s">
        <v>203</v>
      </c>
      <c r="C15" s="187"/>
      <c r="D15" s="187"/>
      <c r="E15" s="187"/>
      <c r="F15" s="114">
        <f>F13+F14</f>
        <v>1542.9032774999998</v>
      </c>
      <c r="G15" s="121">
        <f>G13+G14</f>
        <v>18514.909920000002</v>
      </c>
    </row>
    <row r="16" spans="2:12" ht="15" thickBot="1" x14ac:dyDescent="0.4">
      <c r="B16" s="188" t="s">
        <v>195</v>
      </c>
      <c r="C16" s="188"/>
      <c r="D16" s="188"/>
      <c r="E16" s="188"/>
      <c r="F16" s="99">
        <f>F8+F12+F15</f>
        <v>69117.672231589997</v>
      </c>
      <c r="G16" s="116">
        <f>G8+G12+G15</f>
        <v>829412.1373690801</v>
      </c>
      <c r="I16" s="117"/>
    </row>
    <row r="17" spans="2:11" ht="15" thickBot="1" x14ac:dyDescent="0.4">
      <c r="B17" s="189" t="s">
        <v>175</v>
      </c>
      <c r="C17" s="189"/>
      <c r="D17" s="189"/>
      <c r="E17" s="189"/>
      <c r="F17" s="86"/>
      <c r="G17" s="100">
        <f>G8+G12+G15</f>
        <v>829412.1373690801</v>
      </c>
      <c r="H17" t="s">
        <v>211</v>
      </c>
      <c r="I17" s="117" t="s">
        <v>211</v>
      </c>
      <c r="J17" s="117" t="s">
        <v>211</v>
      </c>
    </row>
    <row r="27" spans="2:11" x14ac:dyDescent="0.25">
      <c r="K27" s="117"/>
    </row>
    <row r="28" spans="2:11" x14ac:dyDescent="0.25">
      <c r="K28" s="117"/>
    </row>
    <row r="29" spans="2:11" ht="15" customHeight="1" x14ac:dyDescent="0.25"/>
    <row r="31" spans="2:11" ht="12.75" customHeight="1" x14ac:dyDescent="0.25"/>
    <row r="32" spans="2:11" ht="12.75" customHeight="1" x14ac:dyDescent="0.25"/>
    <row r="33" spans="11:11" ht="15.75" customHeight="1" x14ac:dyDescent="0.25"/>
    <row r="34" spans="11:11" ht="15.75" customHeight="1" x14ac:dyDescent="0.25"/>
    <row r="35" spans="11:11" ht="12.75" customHeight="1" x14ac:dyDescent="0.25"/>
    <row r="36" spans="11:11" ht="12.75" customHeight="1" x14ac:dyDescent="0.25"/>
    <row r="37" spans="11:11" ht="15.75" customHeight="1" x14ac:dyDescent="0.25"/>
    <row r="38" spans="11:11" ht="15.75" customHeight="1" x14ac:dyDescent="0.25"/>
    <row r="43" spans="11:11" ht="15" customHeight="1" x14ac:dyDescent="0.25"/>
    <row r="45" spans="11:11" ht="12.75" customHeight="1" x14ac:dyDescent="0.25">
      <c r="K45" s="117" t="e">
        <f>#REF!/6</f>
        <v>#REF!</v>
      </c>
    </row>
    <row r="46" spans="11:11" x14ac:dyDescent="0.25">
      <c r="K46" s="117" t="e">
        <f>#REF!/3</f>
        <v>#REF!</v>
      </c>
    </row>
    <row r="47" spans="11:11" ht="15.75" customHeight="1" x14ac:dyDescent="0.25"/>
    <row r="48" spans="11:11" ht="15.75" customHeight="1" x14ac:dyDescent="0.25"/>
    <row r="49" ht="12.75" customHeight="1" x14ac:dyDescent="0.25"/>
    <row r="50" ht="12.75" customHeight="1" x14ac:dyDescent="0.25"/>
    <row r="51" ht="12.75" customHeight="1" x14ac:dyDescent="0.25"/>
    <row r="53" ht="12.75" customHeight="1" x14ac:dyDescent="0.25"/>
    <row r="54" ht="12.75" customHeight="1" x14ac:dyDescent="0.25"/>
    <row r="55" ht="15.75" customHeight="1" x14ac:dyDescent="0.25"/>
    <row r="56" ht="15.75" customHeight="1" x14ac:dyDescent="0.25"/>
    <row r="57" ht="15" customHeight="1" x14ac:dyDescent="0.25"/>
    <row r="59" ht="12.75" customHeight="1" x14ac:dyDescent="0.25"/>
    <row r="61" ht="15.75" customHeight="1" x14ac:dyDescent="0.25"/>
    <row r="62" ht="26.25" customHeight="1" x14ac:dyDescent="0.25"/>
    <row r="65" ht="15" customHeight="1" x14ac:dyDescent="0.25"/>
    <row r="67" ht="12.75" customHeight="1" x14ac:dyDescent="0.25"/>
    <row r="68" ht="12.75" customHeight="1" x14ac:dyDescent="0.25"/>
    <row r="69" ht="12.75" customHeight="1" x14ac:dyDescent="0.25"/>
    <row r="71" ht="12.75" customHeight="1" x14ac:dyDescent="0.25"/>
    <row r="72" ht="12.75" customHeight="1" x14ac:dyDescent="0.25"/>
    <row r="73" ht="15.75" customHeight="1" x14ac:dyDescent="0.25"/>
    <row r="74" ht="15.75" customHeight="1" x14ac:dyDescent="0.25"/>
    <row r="83" ht="15" customHeight="1" x14ac:dyDescent="0.25"/>
    <row r="85" ht="12.75" customHeight="1" x14ac:dyDescent="0.25"/>
    <row r="86" ht="12.75" customHeight="1" x14ac:dyDescent="0.25"/>
    <row r="87" ht="12.75" customHeight="1" x14ac:dyDescent="0.25"/>
    <row r="89" ht="12.75" customHeight="1" x14ac:dyDescent="0.25"/>
    <row r="90" ht="12.75" customHeight="1" x14ac:dyDescent="0.25"/>
    <row r="91" ht="15.75" customHeight="1" x14ac:dyDescent="0.25"/>
    <row r="92" ht="15.75" customHeight="1" x14ac:dyDescent="0.25"/>
    <row r="101" ht="15" customHeight="1" x14ac:dyDescent="0.25"/>
    <row r="103" ht="12.75" customHeight="1" x14ac:dyDescent="0.25"/>
    <row r="104" ht="12.75" customHeight="1" x14ac:dyDescent="0.25"/>
    <row r="105" ht="12.75" customHeight="1" x14ac:dyDescent="0.25"/>
    <row r="107" ht="12.75" customHeight="1" x14ac:dyDescent="0.25"/>
    <row r="108" ht="12.75" customHeight="1" x14ac:dyDescent="0.25"/>
    <row r="109" ht="15.75" customHeight="1" x14ac:dyDescent="0.25"/>
    <row r="110" ht="15.75" customHeight="1" x14ac:dyDescent="0.25"/>
  </sheetData>
  <mergeCells count="15">
    <mergeCell ref="B15:E15"/>
    <mergeCell ref="B16:E16"/>
    <mergeCell ref="B17:E17"/>
    <mergeCell ref="B3:G3"/>
    <mergeCell ref="B4:G4"/>
    <mergeCell ref="C5:D5"/>
    <mergeCell ref="C6:D6"/>
    <mergeCell ref="C7:D7"/>
    <mergeCell ref="B8:E8"/>
    <mergeCell ref="B9:E9"/>
    <mergeCell ref="B10:E10"/>
    <mergeCell ref="B11:E11"/>
    <mergeCell ref="B12:E12"/>
    <mergeCell ref="B13:E13"/>
    <mergeCell ref="B14:E14"/>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9"/>
  <sheetViews>
    <sheetView tabSelected="1" topLeftCell="A103" workbookViewId="0">
      <selection activeCell="K11" sqref="K11"/>
    </sheetView>
  </sheetViews>
  <sheetFormatPr defaultRowHeight="12.5" x14ac:dyDescent="0.25"/>
  <cols>
    <col min="1" max="1" width="3.81640625" bestFit="1" customWidth="1"/>
    <col min="2" max="2" width="70.1796875" bestFit="1" customWidth="1"/>
    <col min="3" max="3" width="11.7265625" customWidth="1"/>
    <col min="4" max="4" width="19.7265625" customWidth="1"/>
    <col min="5" max="5" width="11.7265625" customWidth="1"/>
    <col min="6" max="6" width="19.7265625" customWidth="1"/>
    <col min="7" max="7" width="10.26953125" bestFit="1" customWidth="1"/>
    <col min="9" max="9" width="14.26953125" bestFit="1" customWidth="1"/>
  </cols>
  <sheetData>
    <row r="1" spans="1:6" ht="13" thickBot="1" x14ac:dyDescent="0.3"/>
    <row r="2" spans="1:6" ht="37.5" customHeight="1" thickBot="1" x14ac:dyDescent="0.3">
      <c r="A2" s="261" t="s">
        <v>59</v>
      </c>
      <c r="B2" s="262"/>
      <c r="C2" s="262"/>
      <c r="D2" s="262"/>
      <c r="E2" s="89"/>
      <c r="F2" s="90"/>
    </row>
    <row r="3" spans="1:6" ht="14.5" x14ac:dyDescent="0.35">
      <c r="A3" s="263" t="s">
        <v>60</v>
      </c>
      <c r="B3" s="264"/>
      <c r="C3" s="265"/>
      <c r="D3" s="265"/>
      <c r="E3" s="72"/>
      <c r="F3" s="72"/>
    </row>
    <row r="4" spans="1:6" ht="23.5" x14ac:dyDescent="0.55000000000000004">
      <c r="A4" s="266" t="s">
        <v>61</v>
      </c>
      <c r="B4" s="267"/>
      <c r="C4" s="269" t="s">
        <v>98</v>
      </c>
      <c r="D4" s="270"/>
      <c r="E4" s="269" t="s">
        <v>99</v>
      </c>
      <c r="F4" s="270"/>
    </row>
    <row r="5" spans="1:6" ht="14.5" x14ac:dyDescent="0.35">
      <c r="A5" s="266" t="s">
        <v>62</v>
      </c>
      <c r="B5" s="267"/>
      <c r="C5" s="271">
        <v>3</v>
      </c>
      <c r="D5" s="272"/>
      <c r="E5" s="271">
        <v>6</v>
      </c>
      <c r="F5" s="272"/>
    </row>
    <row r="6" spans="1:6" ht="15" thickBot="1" x14ac:dyDescent="0.3">
      <c r="A6" s="245" t="s">
        <v>63</v>
      </c>
      <c r="B6" s="246"/>
      <c r="C6" s="268"/>
      <c r="D6" s="268"/>
      <c r="E6" s="73"/>
      <c r="F6" s="73"/>
    </row>
    <row r="7" spans="1:6" ht="14.5" x14ac:dyDescent="0.25">
      <c r="A7" s="59">
        <v>1</v>
      </c>
      <c r="B7" s="32" t="s">
        <v>64</v>
      </c>
      <c r="C7" s="200"/>
      <c r="D7" s="201"/>
      <c r="E7" s="200"/>
      <c r="F7" s="201"/>
    </row>
    <row r="8" spans="1:6" ht="14.5" x14ac:dyDescent="0.25">
      <c r="A8" s="59">
        <v>2</v>
      </c>
      <c r="B8" s="32" t="s">
        <v>20</v>
      </c>
      <c r="C8" s="202" t="s">
        <v>178</v>
      </c>
      <c r="D8" s="203"/>
      <c r="E8" s="202" t="s">
        <v>177</v>
      </c>
      <c r="F8" s="203"/>
    </row>
    <row r="9" spans="1:6" ht="14.5" x14ac:dyDescent="0.25">
      <c r="A9" s="59">
        <v>3</v>
      </c>
      <c r="B9" s="32" t="s">
        <v>65</v>
      </c>
      <c r="C9" s="208">
        <v>1629.62</v>
      </c>
      <c r="D9" s="209"/>
      <c r="E9" s="204">
        <v>2405.96</v>
      </c>
      <c r="F9" s="205"/>
    </row>
    <row r="10" spans="1:6" ht="14.5" x14ac:dyDescent="0.25">
      <c r="A10" s="59">
        <v>4</v>
      </c>
      <c r="B10" s="32" t="s">
        <v>5</v>
      </c>
      <c r="C10" s="202" t="str">
        <f>C4</f>
        <v>Copeira</v>
      </c>
      <c r="D10" s="203"/>
      <c r="E10" s="202" t="str">
        <f>E4</f>
        <v>Garçom</v>
      </c>
      <c r="F10" s="203"/>
    </row>
    <row r="11" spans="1:6" ht="15" thickBot="1" x14ac:dyDescent="0.3">
      <c r="A11" s="7">
        <v>5</v>
      </c>
      <c r="B11" s="32" t="s">
        <v>4</v>
      </c>
      <c r="C11" s="206">
        <v>45292</v>
      </c>
      <c r="D11" s="207"/>
      <c r="E11" s="206">
        <v>45292</v>
      </c>
      <c r="F11" s="207"/>
    </row>
    <row r="12" spans="1:6" ht="15" thickBot="1" x14ac:dyDescent="0.3">
      <c r="A12" s="8"/>
      <c r="B12" s="8"/>
      <c r="C12" s="8"/>
      <c r="D12" s="8"/>
      <c r="E12" s="8"/>
      <c r="F12" s="8"/>
    </row>
    <row r="13" spans="1:6" ht="15" thickBot="1" x14ac:dyDescent="0.3">
      <c r="A13" s="257" t="s">
        <v>54</v>
      </c>
      <c r="B13" s="258"/>
      <c r="C13" s="258"/>
      <c r="D13" s="259"/>
      <c r="E13" s="91"/>
      <c r="F13" s="90"/>
    </row>
    <row r="14" spans="1:6" ht="15" customHeight="1" x14ac:dyDescent="0.25">
      <c r="A14" s="56">
        <v>1</v>
      </c>
      <c r="B14" s="57" t="s">
        <v>29</v>
      </c>
      <c r="C14" s="277" t="s">
        <v>30</v>
      </c>
      <c r="D14" s="278"/>
      <c r="E14" s="234" t="s">
        <v>30</v>
      </c>
      <c r="F14" s="235"/>
    </row>
    <row r="15" spans="1:6" ht="14.5" x14ac:dyDescent="0.25">
      <c r="A15" s="59" t="s">
        <v>6</v>
      </c>
      <c r="B15" s="9" t="s">
        <v>16</v>
      </c>
      <c r="C15" s="232">
        <f>C9</f>
        <v>1629.62</v>
      </c>
      <c r="D15" s="233"/>
      <c r="E15" s="232">
        <f>E9</f>
        <v>2405.96</v>
      </c>
      <c r="F15" s="233"/>
    </row>
    <row r="16" spans="1:6" ht="14.5" x14ac:dyDescent="0.25">
      <c r="A16" s="59" t="s">
        <v>7</v>
      </c>
      <c r="B16" s="9" t="s">
        <v>66</v>
      </c>
      <c r="C16" s="232"/>
      <c r="D16" s="233"/>
      <c r="E16" s="232"/>
      <c r="F16" s="233"/>
    </row>
    <row r="17" spans="1:6" ht="14.5" x14ac:dyDescent="0.25">
      <c r="A17" s="59" t="s">
        <v>8</v>
      </c>
      <c r="B17" s="9" t="s">
        <v>67</v>
      </c>
      <c r="C17" s="232"/>
      <c r="D17" s="233"/>
      <c r="E17" s="232"/>
      <c r="F17" s="233"/>
    </row>
    <row r="18" spans="1:6" ht="14.5" x14ac:dyDescent="0.25">
      <c r="A18" s="59" t="s">
        <v>9</v>
      </c>
      <c r="B18" s="9" t="s">
        <v>0</v>
      </c>
      <c r="C18" s="232"/>
      <c r="D18" s="233"/>
      <c r="E18" s="232"/>
      <c r="F18" s="233"/>
    </row>
    <row r="19" spans="1:6" ht="14.5" x14ac:dyDescent="0.25">
      <c r="A19" s="59" t="s">
        <v>10</v>
      </c>
      <c r="B19" s="9" t="s">
        <v>21</v>
      </c>
      <c r="C19" s="232"/>
      <c r="D19" s="233"/>
      <c r="E19" s="232"/>
      <c r="F19" s="233"/>
    </row>
    <row r="20" spans="1:6" ht="14.5" x14ac:dyDescent="0.25">
      <c r="A20" s="59" t="s">
        <v>11</v>
      </c>
      <c r="B20" s="9" t="s">
        <v>2</v>
      </c>
      <c r="C20" s="232"/>
      <c r="D20" s="233"/>
      <c r="E20" s="232"/>
      <c r="F20" s="233"/>
    </row>
    <row r="21" spans="1:6" ht="15.75" customHeight="1" thickBot="1" x14ac:dyDescent="0.3">
      <c r="A21" s="273" t="s">
        <v>28</v>
      </c>
      <c r="B21" s="274"/>
      <c r="C21" s="10">
        <f>SUM(C15:C20)</f>
        <v>1629.62</v>
      </c>
      <c r="D21" s="11">
        <f>SUM(C15:D20)</f>
        <v>1629.62</v>
      </c>
      <c r="E21" s="10">
        <f>SUM(E15:E20)</f>
        <v>2405.96</v>
      </c>
      <c r="F21" s="11">
        <f>SUM(E15:F20)</f>
        <v>2405.96</v>
      </c>
    </row>
    <row r="22" spans="1:6" ht="15" thickBot="1" x14ac:dyDescent="0.3">
      <c r="B22" s="12"/>
      <c r="C22" s="12"/>
      <c r="D22" s="12"/>
      <c r="E22" s="12"/>
      <c r="F22" s="12"/>
    </row>
    <row r="23" spans="1:6" ht="15" thickBot="1" x14ac:dyDescent="0.3">
      <c r="A23" s="257" t="s">
        <v>31</v>
      </c>
      <c r="B23" s="258"/>
      <c r="C23" s="258"/>
      <c r="D23" s="259"/>
      <c r="E23" s="91"/>
      <c r="F23" s="90"/>
    </row>
    <row r="24" spans="1:6" ht="14.5" x14ac:dyDescent="0.25">
      <c r="A24" s="56" t="s">
        <v>22</v>
      </c>
      <c r="B24" s="57" t="s">
        <v>32</v>
      </c>
      <c r="C24" s="57" t="s">
        <v>1</v>
      </c>
      <c r="D24" s="60" t="s">
        <v>30</v>
      </c>
      <c r="E24" s="92" t="s">
        <v>1</v>
      </c>
      <c r="F24" s="93" t="s">
        <v>30</v>
      </c>
    </row>
    <row r="25" spans="1:6" ht="14.5" x14ac:dyDescent="0.25">
      <c r="A25" s="59" t="s">
        <v>6</v>
      </c>
      <c r="B25" s="9" t="s">
        <v>33</v>
      </c>
      <c r="C25" s="4">
        <v>8.3299999999999999E-2</v>
      </c>
      <c r="D25" s="13">
        <f>C25*D21</f>
        <v>135.74734599999999</v>
      </c>
      <c r="E25" s="4">
        <v>8.3299999999999999E-2</v>
      </c>
      <c r="F25" s="13">
        <f>E25*F21</f>
        <v>200.41646800000001</v>
      </c>
    </row>
    <row r="26" spans="1:6" ht="14.5" x14ac:dyDescent="0.25">
      <c r="A26" s="59" t="s">
        <v>7</v>
      </c>
      <c r="B26" s="9" t="s">
        <v>34</v>
      </c>
      <c r="C26" s="5">
        <v>0.121</v>
      </c>
      <c r="D26" s="14">
        <f>C26*D21</f>
        <v>197.18401999999998</v>
      </c>
      <c r="E26" s="5">
        <v>0.121</v>
      </c>
      <c r="F26" s="14">
        <f>E26*F21</f>
        <v>291.12115999999997</v>
      </c>
    </row>
    <row r="27" spans="1:6" ht="14.5" x14ac:dyDescent="0.25">
      <c r="A27" s="59" t="s">
        <v>8</v>
      </c>
      <c r="B27" s="9" t="s">
        <v>68</v>
      </c>
      <c r="C27" s="5">
        <f>(C25+C26)*C39</f>
        <v>7.5182399999999996E-2</v>
      </c>
      <c r="D27" s="14">
        <f>C27*C21</f>
        <v>122.51874268799999</v>
      </c>
      <c r="E27" s="5">
        <f>(E25+E26)*E39</f>
        <v>7.5182399999999996E-2</v>
      </c>
      <c r="F27" s="14">
        <f>E27*E21</f>
        <v>180.88584710399999</v>
      </c>
    </row>
    <row r="28" spans="1:6" ht="15" customHeight="1" x14ac:dyDescent="0.25">
      <c r="A28" s="275" t="s">
        <v>28</v>
      </c>
      <c r="B28" s="276"/>
      <c r="C28" s="15">
        <f>SUM(C25:C26)</f>
        <v>0.20429999999999998</v>
      </c>
      <c r="D28" s="65">
        <f>SUM(D25:D27)</f>
        <v>455.45010868799994</v>
      </c>
      <c r="E28" s="15">
        <f>SUM(E25:E26)</f>
        <v>0.20429999999999998</v>
      </c>
      <c r="F28" s="65">
        <f>SUM(F25:F27)</f>
        <v>672.42347510399998</v>
      </c>
    </row>
    <row r="29" spans="1:6" ht="14.5" x14ac:dyDescent="0.25">
      <c r="A29" s="16"/>
      <c r="B29" s="17"/>
      <c r="C29" s="18"/>
      <c r="D29" s="19"/>
      <c r="E29" s="18"/>
      <c r="F29" s="19"/>
    </row>
    <row r="30" spans="1:6" ht="29" x14ac:dyDescent="0.25">
      <c r="A30" s="56" t="s">
        <v>23</v>
      </c>
      <c r="B30" s="57" t="s">
        <v>69</v>
      </c>
      <c r="C30" s="57" t="s">
        <v>1</v>
      </c>
      <c r="D30" s="60" t="s">
        <v>30</v>
      </c>
      <c r="E30" s="57" t="s">
        <v>1</v>
      </c>
      <c r="F30" s="60" t="s">
        <v>30</v>
      </c>
    </row>
    <row r="31" spans="1:6" ht="14.5" x14ac:dyDescent="0.25">
      <c r="A31" s="59" t="s">
        <v>6</v>
      </c>
      <c r="B31" s="9" t="s">
        <v>36</v>
      </c>
      <c r="C31" s="5">
        <v>0.2</v>
      </c>
      <c r="D31" s="20">
        <f>C31*D21</f>
        <v>325.92399999999998</v>
      </c>
      <c r="E31" s="5">
        <v>0.2</v>
      </c>
      <c r="F31" s="20">
        <f>E31*F21</f>
        <v>481.19200000000001</v>
      </c>
    </row>
    <row r="32" spans="1:6" ht="14.5" x14ac:dyDescent="0.25">
      <c r="A32" s="59" t="s">
        <v>7</v>
      </c>
      <c r="B32" s="9" t="s">
        <v>70</v>
      </c>
      <c r="C32" s="5">
        <v>2.5000000000000001E-2</v>
      </c>
      <c r="D32" s="20">
        <f>C32*D21</f>
        <v>40.740499999999997</v>
      </c>
      <c r="E32" s="5">
        <v>2.5000000000000001E-2</v>
      </c>
      <c r="F32" s="20">
        <f>E32*F21</f>
        <v>60.149000000000001</v>
      </c>
    </row>
    <row r="33" spans="1:6" ht="14.5" x14ac:dyDescent="0.25">
      <c r="A33" s="59" t="s">
        <v>8</v>
      </c>
      <c r="B33" s="9" t="s">
        <v>71</v>
      </c>
      <c r="C33" s="51">
        <v>0.03</v>
      </c>
      <c r="D33" s="52">
        <f>C33*D21</f>
        <v>48.888599999999997</v>
      </c>
      <c r="E33" s="51">
        <v>0.03</v>
      </c>
      <c r="F33" s="52">
        <f>E33*F21</f>
        <v>72.178799999999995</v>
      </c>
    </row>
    <row r="34" spans="1:6" ht="14.5" x14ac:dyDescent="0.25">
      <c r="A34" s="59" t="s">
        <v>9</v>
      </c>
      <c r="B34" s="9" t="s">
        <v>72</v>
      </c>
      <c r="C34" s="5">
        <v>1.4999999999999999E-2</v>
      </c>
      <c r="D34" s="20">
        <f>C34*D21</f>
        <v>24.444299999999998</v>
      </c>
      <c r="E34" s="5">
        <v>1.4999999999999999E-2</v>
      </c>
      <c r="F34" s="20">
        <f>E34*F21</f>
        <v>36.089399999999998</v>
      </c>
    </row>
    <row r="35" spans="1:6" ht="14.5" x14ac:dyDescent="0.25">
      <c r="A35" s="59" t="s">
        <v>10</v>
      </c>
      <c r="B35" s="9" t="s">
        <v>37</v>
      </c>
      <c r="C35" s="5">
        <v>0.01</v>
      </c>
      <c r="D35" s="20">
        <f>C35*D21</f>
        <v>16.296199999999999</v>
      </c>
      <c r="E35" s="5">
        <v>0.01</v>
      </c>
      <c r="F35" s="20">
        <f>E35*F21</f>
        <v>24.0596</v>
      </c>
    </row>
    <row r="36" spans="1:6" ht="14.5" x14ac:dyDescent="0.25">
      <c r="A36" s="59" t="s">
        <v>11</v>
      </c>
      <c r="B36" s="9" t="s">
        <v>38</v>
      </c>
      <c r="C36" s="5">
        <v>6.0000000000000001E-3</v>
      </c>
      <c r="D36" s="20">
        <f>C36*D21</f>
        <v>9.7777200000000004</v>
      </c>
      <c r="E36" s="5">
        <v>6.0000000000000001E-3</v>
      </c>
      <c r="F36" s="20">
        <f>E36*F21</f>
        <v>14.43576</v>
      </c>
    </row>
    <row r="37" spans="1:6" ht="14.5" x14ac:dyDescent="0.25">
      <c r="A37" s="59" t="s">
        <v>12</v>
      </c>
      <c r="B37" s="9" t="s">
        <v>39</v>
      </c>
      <c r="C37" s="5">
        <v>2E-3</v>
      </c>
      <c r="D37" s="20">
        <f>C37*D21</f>
        <v>3.2592399999999997</v>
      </c>
      <c r="E37" s="5">
        <v>2E-3</v>
      </c>
      <c r="F37" s="20">
        <f>E37*F21</f>
        <v>4.8119199999999998</v>
      </c>
    </row>
    <row r="38" spans="1:6" ht="14.5" x14ac:dyDescent="0.25">
      <c r="A38" s="59" t="s">
        <v>13</v>
      </c>
      <c r="B38" s="9" t="s">
        <v>40</v>
      </c>
      <c r="C38" s="5">
        <v>0.08</v>
      </c>
      <c r="D38" s="20">
        <f>C38*D21</f>
        <v>130.36959999999999</v>
      </c>
      <c r="E38" s="5">
        <v>0.08</v>
      </c>
      <c r="F38" s="20">
        <f>E38*F21</f>
        <v>192.4768</v>
      </c>
    </row>
    <row r="39" spans="1:6" ht="14.5" x14ac:dyDescent="0.25">
      <c r="A39" s="245" t="s">
        <v>28</v>
      </c>
      <c r="B39" s="246"/>
      <c r="C39" s="15">
        <f t="shared" ref="C39" si="0">SUM(C31:C38)</f>
        <v>0.36800000000000005</v>
      </c>
      <c r="D39" s="65">
        <f>SUM(D31:D38)</f>
        <v>599.70015999999987</v>
      </c>
      <c r="E39" s="15">
        <f t="shared" ref="E39" si="1">SUM(E31:E38)</f>
        <v>0.36800000000000005</v>
      </c>
      <c r="F39" s="65">
        <f>SUM(F31:F38)</f>
        <v>885.39328</v>
      </c>
    </row>
    <row r="40" spans="1:6" ht="14.5" x14ac:dyDescent="0.25">
      <c r="A40" s="16"/>
      <c r="B40" s="17"/>
      <c r="C40" s="18"/>
      <c r="D40" s="19"/>
      <c r="E40" s="18"/>
      <c r="F40" s="19"/>
    </row>
    <row r="41" spans="1:6" ht="14.5" x14ac:dyDescent="0.25">
      <c r="A41" s="56" t="s">
        <v>24</v>
      </c>
      <c r="B41" s="58" t="s">
        <v>25</v>
      </c>
      <c r="C41" s="57" t="s">
        <v>73</v>
      </c>
      <c r="D41" s="61" t="s">
        <v>30</v>
      </c>
      <c r="E41" s="57" t="s">
        <v>73</v>
      </c>
      <c r="F41" s="61" t="s">
        <v>30</v>
      </c>
    </row>
    <row r="42" spans="1:6" ht="14.5" x14ac:dyDescent="0.35">
      <c r="A42" s="59" t="s">
        <v>6</v>
      </c>
      <c r="B42" s="9" t="s">
        <v>74</v>
      </c>
      <c r="C42" s="21" t="s">
        <v>75</v>
      </c>
      <c r="D42" s="22">
        <f>(5.5*2*22)-(D21*0.06)</f>
        <v>144.22280000000001</v>
      </c>
      <c r="E42" s="21" t="s">
        <v>75</v>
      </c>
      <c r="F42" s="22">
        <f>(5.5*2*22)-(F21*0.06)</f>
        <v>97.642400000000009</v>
      </c>
    </row>
    <row r="43" spans="1:6" ht="14.5" x14ac:dyDescent="0.25">
      <c r="A43" s="23" t="s">
        <v>7</v>
      </c>
      <c r="B43" s="24" t="s">
        <v>179</v>
      </c>
      <c r="C43" s="25" t="s">
        <v>75</v>
      </c>
      <c r="D43" s="26">
        <f>42.2*22</f>
        <v>928.40000000000009</v>
      </c>
      <c r="E43" s="25" t="s">
        <v>75</v>
      </c>
      <c r="F43" s="26">
        <f>42.2*22</f>
        <v>928.40000000000009</v>
      </c>
    </row>
    <row r="44" spans="1:6" ht="14.5" x14ac:dyDescent="0.25">
      <c r="A44" s="59" t="s">
        <v>8</v>
      </c>
      <c r="B44" s="9" t="s">
        <v>180</v>
      </c>
      <c r="C44" s="66" t="s">
        <v>76</v>
      </c>
      <c r="D44" s="27">
        <v>0</v>
      </c>
      <c r="E44" s="66" t="s">
        <v>76</v>
      </c>
      <c r="F44" s="27">
        <v>0</v>
      </c>
    </row>
    <row r="45" spans="1:6" ht="14.5" x14ac:dyDescent="0.25">
      <c r="A45" s="59" t="s">
        <v>9</v>
      </c>
      <c r="B45" s="9" t="s">
        <v>58</v>
      </c>
      <c r="C45" s="66" t="s">
        <v>76</v>
      </c>
      <c r="D45" s="28">
        <v>3.3</v>
      </c>
      <c r="E45" s="66" t="s">
        <v>76</v>
      </c>
      <c r="F45" s="28">
        <v>3.3</v>
      </c>
    </row>
    <row r="46" spans="1:6" ht="14.5" x14ac:dyDescent="0.25">
      <c r="A46" s="59" t="s">
        <v>10</v>
      </c>
      <c r="B46" s="70" t="s">
        <v>181</v>
      </c>
      <c r="C46" s="66" t="s">
        <v>76</v>
      </c>
      <c r="D46" s="28">
        <v>12.81</v>
      </c>
      <c r="E46" s="66" t="s">
        <v>76</v>
      </c>
      <c r="F46" s="28">
        <v>12.81</v>
      </c>
    </row>
    <row r="47" spans="1:6" ht="15" customHeight="1" x14ac:dyDescent="0.25">
      <c r="A47" s="67" t="s">
        <v>28</v>
      </c>
      <c r="B47" s="68"/>
      <c r="C47" s="68"/>
      <c r="D47" s="69">
        <f>SUM(D42:D46)</f>
        <v>1088.7328</v>
      </c>
      <c r="E47" s="68"/>
      <c r="F47" s="69">
        <f>SUM(F42:F46)</f>
        <v>1042.1523999999999</v>
      </c>
    </row>
    <row r="48" spans="1:6" ht="15" thickBot="1" x14ac:dyDescent="0.3">
      <c r="A48" s="29"/>
      <c r="B48" s="18"/>
      <c r="C48" s="18"/>
      <c r="D48" s="30"/>
      <c r="E48" s="18"/>
      <c r="F48" s="30"/>
    </row>
    <row r="49" spans="1:6" ht="15" thickBot="1" x14ac:dyDescent="0.3">
      <c r="A49" s="283" t="s">
        <v>41</v>
      </c>
      <c r="B49" s="284"/>
      <c r="C49" s="284"/>
      <c r="D49" s="285"/>
      <c r="E49" s="94"/>
      <c r="F49" s="95"/>
    </row>
    <row r="50" spans="1:6" ht="15" customHeight="1" x14ac:dyDescent="0.25">
      <c r="A50" s="56">
        <v>2</v>
      </c>
      <c r="B50" s="57" t="s">
        <v>77</v>
      </c>
      <c r="C50" s="277" t="s">
        <v>30</v>
      </c>
      <c r="D50" s="278"/>
      <c r="E50" s="234" t="s">
        <v>30</v>
      </c>
      <c r="F50" s="235"/>
    </row>
    <row r="51" spans="1:6" ht="14.5" x14ac:dyDescent="0.35">
      <c r="A51" s="59" t="s">
        <v>22</v>
      </c>
      <c r="B51" s="31" t="s">
        <v>32</v>
      </c>
      <c r="C51" s="236">
        <f>D28</f>
        <v>455.45010868799994</v>
      </c>
      <c r="D51" s="237"/>
      <c r="E51" s="236">
        <f>F28</f>
        <v>672.42347510399998</v>
      </c>
      <c r="F51" s="237"/>
    </row>
    <row r="52" spans="1:6" ht="14.5" x14ac:dyDescent="0.25">
      <c r="A52" s="59" t="s">
        <v>23</v>
      </c>
      <c r="B52" s="9" t="s">
        <v>35</v>
      </c>
      <c r="C52" s="236">
        <f>D39</f>
        <v>599.70015999999987</v>
      </c>
      <c r="D52" s="237"/>
      <c r="E52" s="236">
        <f>F39</f>
        <v>885.39328</v>
      </c>
      <c r="F52" s="237"/>
    </row>
    <row r="53" spans="1:6" ht="14.5" x14ac:dyDescent="0.25">
      <c r="A53" s="59" t="s">
        <v>24</v>
      </c>
      <c r="B53" s="9" t="s">
        <v>25</v>
      </c>
      <c r="C53" s="236">
        <f>D47</f>
        <v>1088.7328</v>
      </c>
      <c r="D53" s="237"/>
      <c r="E53" s="236">
        <f>F47</f>
        <v>1042.1523999999999</v>
      </c>
      <c r="F53" s="237"/>
    </row>
    <row r="54" spans="1:6" ht="15" thickBot="1" x14ac:dyDescent="0.3">
      <c r="A54" s="255" t="s">
        <v>28</v>
      </c>
      <c r="B54" s="256"/>
      <c r="C54" s="238">
        <f>SUM(C51:D53)</f>
        <v>2143.8830686880001</v>
      </c>
      <c r="D54" s="239"/>
      <c r="E54" s="238">
        <f>SUM(E51:F53)</f>
        <v>2599.969155104</v>
      </c>
      <c r="F54" s="239"/>
    </row>
    <row r="55" spans="1:6" ht="13" thickBot="1" x14ac:dyDescent="0.3"/>
    <row r="56" spans="1:6" ht="15" thickBot="1" x14ac:dyDescent="0.3">
      <c r="A56" s="286" t="s">
        <v>42</v>
      </c>
      <c r="B56" s="287"/>
      <c r="C56" s="287"/>
      <c r="D56" s="287"/>
      <c r="E56" s="91"/>
      <c r="F56" s="90"/>
    </row>
    <row r="57" spans="1:6" ht="14.5" x14ac:dyDescent="0.25">
      <c r="A57" s="56">
        <v>3</v>
      </c>
      <c r="B57" s="58" t="s">
        <v>43</v>
      </c>
      <c r="C57" s="57" t="s">
        <v>1</v>
      </c>
      <c r="D57" s="60" t="s">
        <v>30</v>
      </c>
      <c r="E57" s="92" t="s">
        <v>1</v>
      </c>
      <c r="F57" s="93" t="s">
        <v>30</v>
      </c>
    </row>
    <row r="58" spans="1:6" ht="14.5" x14ac:dyDescent="0.25">
      <c r="A58" s="59" t="s">
        <v>6</v>
      </c>
      <c r="B58" s="32" t="s">
        <v>26</v>
      </c>
      <c r="C58" s="5">
        <v>4.1999999999999997E-3</v>
      </c>
      <c r="D58" s="14">
        <f>C58*D$21</f>
        <v>6.844403999999999</v>
      </c>
      <c r="E58" s="5">
        <v>4.1999999999999997E-3</v>
      </c>
      <c r="F58" s="14">
        <f>E58*F$21</f>
        <v>10.105032</v>
      </c>
    </row>
    <row r="59" spans="1:6" ht="14.5" x14ac:dyDescent="0.25">
      <c r="A59" s="59" t="s">
        <v>7</v>
      </c>
      <c r="B59" s="32" t="s">
        <v>44</v>
      </c>
      <c r="C59" s="5">
        <f>C58*0.08</f>
        <v>3.3599999999999998E-4</v>
      </c>
      <c r="D59" s="14">
        <f>C59*D$21</f>
        <v>0.54755231999999998</v>
      </c>
      <c r="E59" s="5">
        <f>E58*0.08</f>
        <v>3.3599999999999998E-4</v>
      </c>
      <c r="F59" s="14">
        <f>E59*F$21</f>
        <v>0.80840255999999999</v>
      </c>
    </row>
    <row r="60" spans="1:6" ht="14.5" x14ac:dyDescent="0.25">
      <c r="A60" s="59" t="s">
        <v>9</v>
      </c>
      <c r="B60" s="32" t="s">
        <v>45</v>
      </c>
      <c r="C60" s="5">
        <v>1.9400000000000001E-2</v>
      </c>
      <c r="D60" s="14">
        <f t="shared" ref="D60:D62" si="2">C60*D$21</f>
        <v>31.614628</v>
      </c>
      <c r="E60" s="5">
        <v>1.9400000000000001E-2</v>
      </c>
      <c r="F60" s="14">
        <f t="shared" ref="F60:F62" si="3">E60*F$21</f>
        <v>46.675623999999999</v>
      </c>
    </row>
    <row r="61" spans="1:6" ht="14.5" x14ac:dyDescent="0.25">
      <c r="A61" s="59" t="s">
        <v>10</v>
      </c>
      <c r="B61" s="32" t="s">
        <v>78</v>
      </c>
      <c r="C61" s="5">
        <v>7.0000000000000001E-3</v>
      </c>
      <c r="D61" s="14">
        <f t="shared" si="2"/>
        <v>11.40734</v>
      </c>
      <c r="E61" s="5">
        <v>7.0000000000000001E-3</v>
      </c>
      <c r="F61" s="14">
        <f t="shared" si="3"/>
        <v>16.841720000000002</v>
      </c>
    </row>
    <row r="62" spans="1:6" ht="14.5" x14ac:dyDescent="0.25">
      <c r="A62" s="59" t="s">
        <v>11</v>
      </c>
      <c r="B62" s="32" t="s">
        <v>46</v>
      </c>
      <c r="C62" s="5">
        <v>0.04</v>
      </c>
      <c r="D62" s="14">
        <f t="shared" si="2"/>
        <v>65.184799999999996</v>
      </c>
      <c r="E62" s="5">
        <v>0.04</v>
      </c>
      <c r="F62" s="14">
        <f t="shared" si="3"/>
        <v>96.238399999999999</v>
      </c>
    </row>
    <row r="63" spans="1:6" ht="15" thickBot="1" x14ac:dyDescent="0.3">
      <c r="A63" s="273" t="s">
        <v>28</v>
      </c>
      <c r="B63" s="274"/>
      <c r="C63" s="33">
        <f>SUM(C58:C62)</f>
        <v>7.0935999999999999E-2</v>
      </c>
      <c r="D63" s="62">
        <f>SUM(D58:D62)</f>
        <v>115.59872432</v>
      </c>
      <c r="E63" s="33">
        <f>SUM(E58:E62)</f>
        <v>7.0935999999999999E-2</v>
      </c>
      <c r="F63" s="62">
        <f>SUM(F58:F62)</f>
        <v>170.66917855999998</v>
      </c>
    </row>
    <row r="64" spans="1:6" ht="78" customHeight="1" thickBot="1" x14ac:dyDescent="0.3">
      <c r="A64" s="242" t="s">
        <v>209</v>
      </c>
      <c r="B64" s="243"/>
      <c r="C64" s="243"/>
      <c r="D64" s="243"/>
      <c r="E64" s="243"/>
      <c r="F64" s="244"/>
    </row>
    <row r="65" spans="1:6" ht="45" customHeight="1" thickBot="1" x14ac:dyDescent="0.3">
      <c r="A65" s="242" t="s">
        <v>210</v>
      </c>
      <c r="B65" s="243"/>
      <c r="C65" s="243"/>
      <c r="D65" s="243"/>
      <c r="E65" s="243"/>
      <c r="F65" s="244"/>
    </row>
    <row r="66" spans="1:6" ht="15" thickBot="1" x14ac:dyDescent="0.3">
      <c r="A66" s="34"/>
      <c r="B66" s="18"/>
      <c r="C66" s="35"/>
      <c r="D66" s="36"/>
      <c r="E66" s="35"/>
      <c r="F66" s="36"/>
    </row>
    <row r="67" spans="1:6" ht="15" thickBot="1" x14ac:dyDescent="0.3">
      <c r="A67" s="286" t="s">
        <v>27</v>
      </c>
      <c r="B67" s="287"/>
      <c r="C67" s="287"/>
      <c r="D67" s="287"/>
      <c r="E67" s="91"/>
      <c r="F67" s="90"/>
    </row>
    <row r="68" spans="1:6" ht="14.5" x14ac:dyDescent="0.25">
      <c r="A68" s="56" t="s">
        <v>14</v>
      </c>
      <c r="B68" s="57" t="s">
        <v>79</v>
      </c>
      <c r="C68" s="57" t="s">
        <v>1</v>
      </c>
      <c r="D68" s="57" t="s">
        <v>30</v>
      </c>
      <c r="E68" s="92" t="s">
        <v>1</v>
      </c>
      <c r="F68" s="92" t="s">
        <v>30</v>
      </c>
    </row>
    <row r="69" spans="1:6" ht="14.5" x14ac:dyDescent="0.25">
      <c r="A69" s="59" t="s">
        <v>6</v>
      </c>
      <c r="B69" s="9" t="s">
        <v>80</v>
      </c>
      <c r="C69" s="6">
        <v>6.1999999999999998E-3</v>
      </c>
      <c r="D69" s="14">
        <f>C69*D$21</f>
        <v>10.103643999999999</v>
      </c>
      <c r="E69" s="6">
        <v>6.1999999999999998E-3</v>
      </c>
      <c r="F69" s="14">
        <f>E69*F$21</f>
        <v>14.916952</v>
      </c>
    </row>
    <row r="70" spans="1:6" ht="14.5" x14ac:dyDescent="0.25">
      <c r="A70" s="59" t="s">
        <v>7</v>
      </c>
      <c r="B70" s="9" t="s">
        <v>81</v>
      </c>
      <c r="C70" s="6">
        <v>2.8E-3</v>
      </c>
      <c r="D70" s="14">
        <f t="shared" ref="D70:D74" si="4">C70*D$21</f>
        <v>4.5629359999999997</v>
      </c>
      <c r="E70" s="6">
        <v>2.8E-3</v>
      </c>
      <c r="F70" s="14">
        <f t="shared" ref="F70:F71" si="5">E70*F$21</f>
        <v>6.736688</v>
      </c>
    </row>
    <row r="71" spans="1:6" ht="14.5" x14ac:dyDescent="0.25">
      <c r="A71" s="59" t="s">
        <v>8</v>
      </c>
      <c r="B71" s="9" t="s">
        <v>82</v>
      </c>
      <c r="C71" s="6">
        <v>2.0000000000000001E-4</v>
      </c>
      <c r="D71" s="14">
        <f t="shared" si="4"/>
        <v>0.32592399999999999</v>
      </c>
      <c r="E71" s="6">
        <v>2.0000000000000001E-4</v>
      </c>
      <c r="F71" s="14">
        <f t="shared" si="5"/>
        <v>0.48119200000000001</v>
      </c>
    </row>
    <row r="72" spans="1:6" ht="14.5" x14ac:dyDescent="0.25">
      <c r="A72" s="59" t="s">
        <v>9</v>
      </c>
      <c r="B72" s="9" t="s">
        <v>83</v>
      </c>
      <c r="C72" s="6">
        <v>3.3E-3</v>
      </c>
      <c r="D72" s="14">
        <f>C72*D$21</f>
        <v>5.3777459999999992</v>
      </c>
      <c r="E72" s="6">
        <v>3.3E-3</v>
      </c>
      <c r="F72" s="14">
        <f>E72*F$21</f>
        <v>7.9396680000000002</v>
      </c>
    </row>
    <row r="73" spans="1:6" ht="14.5" x14ac:dyDescent="0.25">
      <c r="A73" s="59" t="s">
        <v>10</v>
      </c>
      <c r="B73" s="9" t="s">
        <v>84</v>
      </c>
      <c r="C73" s="6">
        <v>6.9999999999999999E-4</v>
      </c>
      <c r="D73" s="14">
        <f t="shared" si="4"/>
        <v>1.1407339999999999</v>
      </c>
      <c r="E73" s="6">
        <v>6.9999999999999999E-4</v>
      </c>
      <c r="F73" s="14">
        <f t="shared" ref="F73:F74" si="6">E73*F$21</f>
        <v>1.684172</v>
      </c>
    </row>
    <row r="74" spans="1:6" ht="15" customHeight="1" x14ac:dyDescent="0.25">
      <c r="A74" s="59" t="s">
        <v>11</v>
      </c>
      <c r="B74" s="9" t="s">
        <v>85</v>
      </c>
      <c r="C74" s="6">
        <v>0</v>
      </c>
      <c r="D74" s="14">
        <f t="shared" si="4"/>
        <v>0</v>
      </c>
      <c r="E74" s="6">
        <v>0</v>
      </c>
      <c r="F74" s="14">
        <f t="shared" si="6"/>
        <v>0</v>
      </c>
    </row>
    <row r="75" spans="1:6" ht="14.5" x14ac:dyDescent="0.25">
      <c r="A75" s="245" t="s">
        <v>28</v>
      </c>
      <c r="B75" s="246"/>
      <c r="C75" s="37"/>
      <c r="D75" s="38">
        <f>SUM(D69:D74)</f>
        <v>21.510983999999997</v>
      </c>
      <c r="E75" s="37"/>
      <c r="F75" s="38">
        <f>SUM(F69:F74)</f>
        <v>31.758672000000001</v>
      </c>
    </row>
    <row r="76" spans="1:6" ht="14.5" x14ac:dyDescent="0.25">
      <c r="A76" s="39"/>
      <c r="B76" s="40"/>
      <c r="C76" s="240"/>
      <c r="D76" s="241"/>
      <c r="E76" s="240"/>
      <c r="F76" s="241"/>
    </row>
    <row r="77" spans="1:6" ht="14.5" x14ac:dyDescent="0.25">
      <c r="A77" s="56" t="s">
        <v>15</v>
      </c>
      <c r="B77" s="57" t="s">
        <v>86</v>
      </c>
      <c r="C77" s="41"/>
      <c r="D77" s="57" t="s">
        <v>30</v>
      </c>
      <c r="E77" s="41"/>
      <c r="F77" s="57" t="s">
        <v>30</v>
      </c>
    </row>
    <row r="78" spans="1:6" ht="15" customHeight="1" x14ac:dyDescent="0.25">
      <c r="A78" s="59" t="s">
        <v>6</v>
      </c>
      <c r="B78" s="9" t="s">
        <v>87</v>
      </c>
      <c r="C78" s="42"/>
      <c r="D78" s="14"/>
      <c r="E78" s="42"/>
      <c r="F78" s="14"/>
    </row>
    <row r="79" spans="1:6" ht="14.5" x14ac:dyDescent="0.25">
      <c r="A79" s="275" t="s">
        <v>28</v>
      </c>
      <c r="B79" s="279"/>
      <c r="C79" s="279"/>
      <c r="D79" s="279"/>
      <c r="E79" s="73"/>
      <c r="F79" s="73"/>
    </row>
    <row r="80" spans="1:6" ht="15" customHeight="1" thickBot="1" x14ac:dyDescent="0.35">
      <c r="A80" s="39"/>
      <c r="B80" s="43"/>
      <c r="C80" s="63"/>
      <c r="D80" s="64"/>
      <c r="E80" s="63"/>
      <c r="F80" s="64"/>
    </row>
    <row r="81" spans="1:6" ht="15" customHeight="1" thickBot="1" x14ac:dyDescent="0.3">
      <c r="A81" s="280" t="s">
        <v>47</v>
      </c>
      <c r="B81" s="281"/>
      <c r="C81" s="281"/>
      <c r="D81" s="282"/>
      <c r="E81" s="94"/>
      <c r="F81" s="95"/>
    </row>
    <row r="82" spans="1:6" ht="14.5" x14ac:dyDescent="0.25">
      <c r="A82" s="96">
        <v>4</v>
      </c>
      <c r="B82" s="92" t="s">
        <v>48</v>
      </c>
      <c r="C82" s="218" t="s">
        <v>30</v>
      </c>
      <c r="D82" s="219"/>
      <c r="E82" s="218" t="s">
        <v>30</v>
      </c>
      <c r="F82" s="219"/>
    </row>
    <row r="83" spans="1:6" ht="14.5" x14ac:dyDescent="0.25">
      <c r="A83" s="59" t="s">
        <v>14</v>
      </c>
      <c r="B83" s="44" t="s">
        <v>79</v>
      </c>
      <c r="C83" s="222">
        <f>D75</f>
        <v>21.510983999999997</v>
      </c>
      <c r="D83" s="223"/>
      <c r="E83" s="222">
        <f>F75</f>
        <v>31.758672000000001</v>
      </c>
      <c r="F83" s="223"/>
    </row>
    <row r="84" spans="1:6" ht="14.5" x14ac:dyDescent="0.25">
      <c r="A84" s="59" t="s">
        <v>15</v>
      </c>
      <c r="B84" s="44" t="s">
        <v>86</v>
      </c>
      <c r="C84" s="224"/>
      <c r="D84" s="225"/>
      <c r="E84" s="224"/>
      <c r="F84" s="225"/>
    </row>
    <row r="85" spans="1:6" ht="14.5" x14ac:dyDescent="0.25">
      <c r="A85" s="59" t="s">
        <v>96</v>
      </c>
      <c r="B85" s="53" t="s">
        <v>97</v>
      </c>
      <c r="C85" s="54"/>
      <c r="D85" s="55">
        <f>C83*C39</f>
        <v>7.9160421119999995</v>
      </c>
      <c r="E85" s="54"/>
      <c r="F85" s="55">
        <f>E83*E39</f>
        <v>11.687191296000002</v>
      </c>
    </row>
    <row r="86" spans="1:6" s="46" customFormat="1" ht="15" thickBot="1" x14ac:dyDescent="0.3">
      <c r="A86" s="255" t="s">
        <v>28</v>
      </c>
      <c r="B86" s="256"/>
      <c r="C86" s="226">
        <f>SUM(C83:D85)</f>
        <v>29.427026111999997</v>
      </c>
      <c r="D86" s="227"/>
      <c r="E86" s="226">
        <f>SUM(E83:F85)</f>
        <v>43.445863295999999</v>
      </c>
      <c r="F86" s="227"/>
    </row>
    <row r="87" spans="1:6" s="46" customFormat="1" ht="15" thickBot="1" x14ac:dyDescent="0.3">
      <c r="A87" s="18"/>
      <c r="B87" s="18"/>
      <c r="C87" s="45"/>
      <c r="D87" s="45"/>
      <c r="E87" s="45"/>
      <c r="F87" s="45"/>
    </row>
    <row r="88" spans="1:6" ht="15" customHeight="1" thickBot="1" x14ac:dyDescent="0.3">
      <c r="A88" s="257" t="s">
        <v>49</v>
      </c>
      <c r="B88" s="258"/>
      <c r="C88" s="258"/>
      <c r="D88" s="259"/>
      <c r="E88" s="91"/>
      <c r="F88" s="90"/>
    </row>
    <row r="89" spans="1:6" ht="14.5" x14ac:dyDescent="0.25">
      <c r="A89" s="56">
        <v>5</v>
      </c>
      <c r="B89" s="57" t="s">
        <v>50</v>
      </c>
      <c r="C89" s="246" t="s">
        <v>30</v>
      </c>
      <c r="D89" s="254"/>
      <c r="E89" s="218" t="s">
        <v>30</v>
      </c>
      <c r="F89" s="219"/>
    </row>
    <row r="90" spans="1:6" ht="14.5" x14ac:dyDescent="0.25">
      <c r="A90" s="59" t="s">
        <v>6</v>
      </c>
      <c r="B90" s="9" t="s">
        <v>51</v>
      </c>
      <c r="C90" s="212">
        <f>Uniforme!E21</f>
        <v>64.936666666666667</v>
      </c>
      <c r="D90" s="213"/>
      <c r="E90" s="212">
        <f>Uniforme!E10</f>
        <v>150.48333333333332</v>
      </c>
      <c r="F90" s="213"/>
    </row>
    <row r="91" spans="1:6" ht="14.5" x14ac:dyDescent="0.25">
      <c r="A91" s="59" t="s">
        <v>7</v>
      </c>
      <c r="B91" s="9" t="s">
        <v>88</v>
      </c>
      <c r="C91" s="214"/>
      <c r="D91" s="215"/>
      <c r="E91" s="214"/>
      <c r="F91" s="215"/>
    </row>
    <row r="92" spans="1:6" ht="14.5" x14ac:dyDescent="0.25">
      <c r="A92" s="59" t="s">
        <v>8</v>
      </c>
      <c r="B92" s="9" t="s">
        <v>89</v>
      </c>
      <c r="C92" s="212"/>
      <c r="D92" s="213"/>
      <c r="E92" s="212"/>
      <c r="F92" s="213"/>
    </row>
    <row r="93" spans="1:6" ht="14.5" x14ac:dyDescent="0.25">
      <c r="A93" s="59" t="s">
        <v>9</v>
      </c>
      <c r="B93" s="9" t="s">
        <v>2</v>
      </c>
      <c r="C93" s="212"/>
      <c r="D93" s="213"/>
      <c r="E93" s="212"/>
      <c r="F93" s="213"/>
    </row>
    <row r="94" spans="1:6" ht="15" thickBot="1" x14ac:dyDescent="0.3">
      <c r="A94" s="255" t="s">
        <v>28</v>
      </c>
      <c r="B94" s="256"/>
      <c r="C94" s="216">
        <f>SUM(C90:D93)</f>
        <v>64.936666666666667</v>
      </c>
      <c r="D94" s="217"/>
      <c r="E94" s="216">
        <f>SUM(E90:F93)</f>
        <v>150.48333333333332</v>
      </c>
      <c r="F94" s="217"/>
    </row>
    <row r="95" spans="1:6" s="47" customFormat="1" ht="15" thickBot="1" x14ac:dyDescent="0.3">
      <c r="A95" s="260"/>
      <c r="B95" s="260"/>
      <c r="C95" s="260"/>
      <c r="D95" s="260"/>
      <c r="E95" s="71"/>
      <c r="F95" s="71"/>
    </row>
    <row r="96" spans="1:6" ht="15" thickBot="1" x14ac:dyDescent="0.3">
      <c r="A96" s="257" t="s">
        <v>52</v>
      </c>
      <c r="B96" s="258"/>
      <c r="C96" s="258"/>
      <c r="D96" s="259"/>
      <c r="E96" s="91"/>
      <c r="F96" s="90"/>
    </row>
    <row r="97" spans="1:9" ht="14.5" x14ac:dyDescent="0.25">
      <c r="A97" s="56">
        <v>6</v>
      </c>
      <c r="B97" s="57" t="s">
        <v>90</v>
      </c>
      <c r="C97" s="57" t="s">
        <v>1</v>
      </c>
      <c r="D97" s="60" t="s">
        <v>30</v>
      </c>
      <c r="E97" s="92" t="s">
        <v>1</v>
      </c>
      <c r="F97" s="93" t="s">
        <v>30</v>
      </c>
    </row>
    <row r="98" spans="1:9" ht="14.5" x14ac:dyDescent="0.25">
      <c r="A98" s="59" t="s">
        <v>6</v>
      </c>
      <c r="B98" s="9" t="s">
        <v>91</v>
      </c>
      <c r="C98" s="5">
        <v>0.03</v>
      </c>
      <c r="D98" s="13">
        <f>C98*(D21+C54+D63+C86+C94)</f>
        <v>119.5039645736</v>
      </c>
      <c r="E98" s="5">
        <v>0.03</v>
      </c>
      <c r="F98" s="13">
        <f>E98*(F21+E54+F63+E86+E94)</f>
        <v>161.11582590880002</v>
      </c>
    </row>
    <row r="99" spans="1:9" ht="14.5" x14ac:dyDescent="0.25">
      <c r="A99" s="59" t="s">
        <v>7</v>
      </c>
      <c r="B99" s="9" t="s">
        <v>3</v>
      </c>
      <c r="C99" s="5">
        <v>0.06</v>
      </c>
      <c r="D99" s="13">
        <f>C99*(D21+C54+D63+C86+C94+D98)</f>
        <v>246.17816702161599</v>
      </c>
      <c r="E99" s="5">
        <v>0.06</v>
      </c>
      <c r="F99" s="13">
        <f>E99*(F21+E54+F63+E86+E94+F98)</f>
        <v>331.89860137212804</v>
      </c>
      <c r="I99" s="82"/>
    </row>
    <row r="100" spans="1:9" ht="14.5" x14ac:dyDescent="0.25">
      <c r="A100" s="59" t="s">
        <v>8</v>
      </c>
      <c r="B100" s="9" t="s">
        <v>92</v>
      </c>
      <c r="C100" s="5">
        <f t="shared" ref="C100" si="7">SUM(C101:C103)</f>
        <v>8.6499999999999994E-2</v>
      </c>
      <c r="D100" s="14">
        <f>SUM(D101:D103)</f>
        <v>411.82404915548204</v>
      </c>
      <c r="E100" s="5">
        <f t="shared" ref="E100" si="8">SUM(E101:E103)</f>
        <v>8.6499999999999994E-2</v>
      </c>
      <c r="F100" s="14">
        <f>SUM(F101:F103)</f>
        <v>555.22318481682942</v>
      </c>
    </row>
    <row r="101" spans="1:9" ht="14.5" x14ac:dyDescent="0.25">
      <c r="A101" s="59"/>
      <c r="B101" s="9" t="s">
        <v>17</v>
      </c>
      <c r="C101" s="5">
        <v>6.4999999999999997E-3</v>
      </c>
      <c r="D101" s="14">
        <f>C101*(D21+C54+D63+C86+C94+D98+D99)/(1-C100)</f>
        <v>30.946315832492871</v>
      </c>
      <c r="E101" s="5">
        <v>6.4999999999999997E-3</v>
      </c>
      <c r="F101" s="14">
        <f>E101*(F21+E54+F63+E86+E94+F98+F99)/(1-E100)</f>
        <v>41.721973425542089</v>
      </c>
    </row>
    <row r="102" spans="1:9" ht="15.75" customHeight="1" x14ac:dyDescent="0.25">
      <c r="A102" s="59"/>
      <c r="B102" s="9" t="s">
        <v>18</v>
      </c>
      <c r="C102" s="5">
        <v>0.03</v>
      </c>
      <c r="D102" s="14">
        <f>C102*(D21+C54+D63+C86+C94+D98+D99)/(1-C100)</f>
        <v>142.82914999612095</v>
      </c>
      <c r="E102" s="5">
        <v>0.03</v>
      </c>
      <c r="F102" s="14">
        <f>E102*(F21+E54+F63+E86+E94+F98+F99)/(1-E100)</f>
        <v>192.56295427173274</v>
      </c>
    </row>
    <row r="103" spans="1:9" ht="15.75" customHeight="1" x14ac:dyDescent="0.25">
      <c r="A103" s="59"/>
      <c r="B103" s="9" t="s">
        <v>19</v>
      </c>
      <c r="C103" s="5">
        <v>0.05</v>
      </c>
      <c r="D103" s="14">
        <f>C103*(D21+C54+D63+C86+C94+D98+D99)/(1-C100)</f>
        <v>238.04858332686825</v>
      </c>
      <c r="E103" s="5">
        <v>0.05</v>
      </c>
      <c r="F103" s="14">
        <f>E103*(F21+E54+F63+E86+E94+F98+F99)/(1-E100)</f>
        <v>320.93825711955458</v>
      </c>
    </row>
    <row r="104" spans="1:9" s="46" customFormat="1" ht="15" customHeight="1" thickBot="1" x14ac:dyDescent="0.3">
      <c r="A104" s="255" t="s">
        <v>28</v>
      </c>
      <c r="B104" s="256"/>
      <c r="C104" s="33">
        <f>SUM(C98,C100,C99)</f>
        <v>0.17649999999999999</v>
      </c>
      <c r="D104" s="62">
        <f>SUM(D98:D100)</f>
        <v>777.50618075069804</v>
      </c>
      <c r="E104" s="33">
        <f>SUM(E98,E100,E99)</f>
        <v>0.17649999999999999</v>
      </c>
      <c r="F104" s="62">
        <f>SUM(F98:F100)</f>
        <v>1048.2376120977574</v>
      </c>
    </row>
    <row r="105" spans="1:9" ht="15" customHeight="1" thickBot="1" x14ac:dyDescent="0.3">
      <c r="A105" s="48"/>
      <c r="B105" s="18"/>
      <c r="C105" s="35"/>
      <c r="D105" s="36"/>
      <c r="E105" s="35"/>
      <c r="F105" s="36"/>
    </row>
    <row r="106" spans="1:9" ht="15" customHeight="1" thickBot="1" x14ac:dyDescent="0.3">
      <c r="A106" s="247" t="s">
        <v>93</v>
      </c>
      <c r="B106" s="248"/>
      <c r="C106" s="248"/>
      <c r="D106" s="249"/>
      <c r="E106" s="97"/>
      <c r="F106" s="98"/>
    </row>
    <row r="107" spans="1:9" s="47" customFormat="1" ht="15" customHeight="1" x14ac:dyDescent="0.25">
      <c r="A107" s="245" t="s">
        <v>53</v>
      </c>
      <c r="B107" s="246"/>
      <c r="C107" s="246" t="s">
        <v>30</v>
      </c>
      <c r="D107" s="254"/>
      <c r="E107" s="218" t="s">
        <v>30</v>
      </c>
      <c r="F107" s="219"/>
    </row>
    <row r="108" spans="1:9" ht="14.5" x14ac:dyDescent="0.25">
      <c r="A108" s="59" t="s">
        <v>6</v>
      </c>
      <c r="B108" s="9" t="s">
        <v>54</v>
      </c>
      <c r="C108" s="220">
        <f>D21</f>
        <v>1629.62</v>
      </c>
      <c r="D108" s="221"/>
      <c r="E108" s="220">
        <f>F21</f>
        <v>2405.96</v>
      </c>
      <c r="F108" s="221"/>
    </row>
    <row r="109" spans="1:9" ht="14.5" x14ac:dyDescent="0.25">
      <c r="A109" s="59" t="s">
        <v>7</v>
      </c>
      <c r="B109" s="9" t="s">
        <v>31</v>
      </c>
      <c r="C109" s="220">
        <f>C54</f>
        <v>2143.8830686880001</v>
      </c>
      <c r="D109" s="221"/>
      <c r="E109" s="220">
        <f>E54</f>
        <v>2599.969155104</v>
      </c>
      <c r="F109" s="221"/>
    </row>
    <row r="110" spans="1:9" ht="15" customHeight="1" x14ac:dyDescent="0.25">
      <c r="A110" s="59" t="s">
        <v>8</v>
      </c>
      <c r="B110" s="9" t="s">
        <v>42</v>
      </c>
      <c r="C110" s="220">
        <f>D63</f>
        <v>115.59872432</v>
      </c>
      <c r="D110" s="221"/>
      <c r="E110" s="220">
        <f>F63</f>
        <v>170.66917855999998</v>
      </c>
      <c r="F110" s="221"/>
    </row>
    <row r="111" spans="1:9" ht="30" customHeight="1" x14ac:dyDescent="0.25">
      <c r="A111" s="59" t="s">
        <v>9</v>
      </c>
      <c r="B111" s="9" t="s">
        <v>27</v>
      </c>
      <c r="C111" s="220">
        <f>C86</f>
        <v>29.427026111999997</v>
      </c>
      <c r="D111" s="221"/>
      <c r="E111" s="220">
        <f>E86</f>
        <v>43.445863295999999</v>
      </c>
      <c r="F111" s="221"/>
    </row>
    <row r="112" spans="1:9" ht="15" customHeight="1" x14ac:dyDescent="0.25">
      <c r="A112" s="59" t="s">
        <v>10</v>
      </c>
      <c r="B112" s="9" t="s">
        <v>49</v>
      </c>
      <c r="C112" s="220">
        <f>C94</f>
        <v>64.936666666666667</v>
      </c>
      <c r="D112" s="221"/>
      <c r="E112" s="220">
        <f>E94</f>
        <v>150.48333333333332</v>
      </c>
      <c r="F112" s="221"/>
      <c r="G112" s="1" t="s">
        <v>211</v>
      </c>
      <c r="H112" s="1" t="s">
        <v>211</v>
      </c>
    </row>
    <row r="113" spans="1:7" ht="16.5" customHeight="1" x14ac:dyDescent="0.25">
      <c r="A113" s="250" t="s">
        <v>55</v>
      </c>
      <c r="B113" s="251"/>
      <c r="C113" s="220">
        <f>SUM(C108:D112)</f>
        <v>3983.4654857866667</v>
      </c>
      <c r="D113" s="221"/>
      <c r="E113" s="220">
        <f>SUM(E108:F112)</f>
        <v>5370.5275302933342</v>
      </c>
      <c r="F113" s="221"/>
      <c r="G113" s="1" t="s">
        <v>211</v>
      </c>
    </row>
    <row r="114" spans="1:7" ht="15" customHeight="1" thickBot="1" x14ac:dyDescent="0.3">
      <c r="A114" s="49" t="s">
        <v>11</v>
      </c>
      <c r="B114" s="50" t="s">
        <v>56</v>
      </c>
      <c r="C114" s="228">
        <f>D104</f>
        <v>777.50618075069804</v>
      </c>
      <c r="D114" s="229"/>
      <c r="E114" s="228">
        <f>F104</f>
        <v>1048.2376120977574</v>
      </c>
      <c r="F114" s="229"/>
    </row>
    <row r="115" spans="1:7" ht="15" customHeight="1" x14ac:dyDescent="0.25">
      <c r="A115" s="252" t="s">
        <v>57</v>
      </c>
      <c r="B115" s="253"/>
      <c r="C115" s="230">
        <f>SUM(C113,C114)</f>
        <v>4760.9716665373644</v>
      </c>
      <c r="D115" s="231"/>
      <c r="E115" s="230">
        <f>SUM(E113,E114)</f>
        <v>6418.765142391092</v>
      </c>
      <c r="F115" s="231"/>
      <c r="G115" s="1"/>
    </row>
    <row r="116" spans="1:7" ht="15" customHeight="1" x14ac:dyDescent="0.25">
      <c r="A116" s="245" t="s">
        <v>94</v>
      </c>
      <c r="B116" s="246"/>
      <c r="C116" s="210">
        <f>C115*C5</f>
        <v>14282.914999612094</v>
      </c>
      <c r="D116" s="211"/>
      <c r="E116" s="210">
        <f>E115*E5</f>
        <v>38512.590854346548</v>
      </c>
      <c r="F116" s="211"/>
    </row>
    <row r="117" spans="1:7" ht="14.5" x14ac:dyDescent="0.25">
      <c r="A117" s="245" t="s">
        <v>95</v>
      </c>
      <c r="B117" s="246"/>
      <c r="C117" s="210">
        <f>C116*12</f>
        <v>171394.97999534511</v>
      </c>
      <c r="D117" s="211"/>
      <c r="E117" s="210">
        <f>E116*12</f>
        <v>462151.09025215858</v>
      </c>
      <c r="F117" s="211"/>
    </row>
    <row r="119" spans="1:7" x14ac:dyDescent="0.25">
      <c r="D119" s="1"/>
      <c r="F119" s="1"/>
    </row>
  </sheetData>
  <mergeCells count="114">
    <mergeCell ref="E4:F4"/>
    <mergeCell ref="E5:F5"/>
    <mergeCell ref="C76:D76"/>
    <mergeCell ref="C82:D82"/>
    <mergeCell ref="C83:D83"/>
    <mergeCell ref="A79:D79"/>
    <mergeCell ref="A81:D81"/>
    <mergeCell ref="A75:B75"/>
    <mergeCell ref="A49:D49"/>
    <mergeCell ref="A54:B54"/>
    <mergeCell ref="A56:D56"/>
    <mergeCell ref="A63:B63"/>
    <mergeCell ref="A67:D67"/>
    <mergeCell ref="C50:D50"/>
    <mergeCell ref="C51:D51"/>
    <mergeCell ref="C52:D52"/>
    <mergeCell ref="C53:D53"/>
    <mergeCell ref="C54:D54"/>
    <mergeCell ref="E14:F14"/>
    <mergeCell ref="E15:F15"/>
    <mergeCell ref="E16:F16"/>
    <mergeCell ref="E17:F17"/>
    <mergeCell ref="E18:F18"/>
    <mergeCell ref="C84:D84"/>
    <mergeCell ref="C86:D86"/>
    <mergeCell ref="C89:D89"/>
    <mergeCell ref="C90:D90"/>
    <mergeCell ref="C91:D91"/>
    <mergeCell ref="A2:D2"/>
    <mergeCell ref="A3:D3"/>
    <mergeCell ref="A4:B4"/>
    <mergeCell ref="A5:B5"/>
    <mergeCell ref="A6:D6"/>
    <mergeCell ref="C4:D4"/>
    <mergeCell ref="C5:D5"/>
    <mergeCell ref="A39:B39"/>
    <mergeCell ref="A13:D13"/>
    <mergeCell ref="A21:B21"/>
    <mergeCell ref="A23:D23"/>
    <mergeCell ref="A28:B28"/>
    <mergeCell ref="C19:D19"/>
    <mergeCell ref="C20:D20"/>
    <mergeCell ref="C14:D14"/>
    <mergeCell ref="C15:D15"/>
    <mergeCell ref="C16:D16"/>
    <mergeCell ref="C17:D17"/>
    <mergeCell ref="C18:D18"/>
    <mergeCell ref="C93:D93"/>
    <mergeCell ref="C94:D94"/>
    <mergeCell ref="C107:D107"/>
    <mergeCell ref="A86:B86"/>
    <mergeCell ref="A88:D88"/>
    <mergeCell ref="A95:D95"/>
    <mergeCell ref="A94:B94"/>
    <mergeCell ref="A96:D96"/>
    <mergeCell ref="A104:B104"/>
    <mergeCell ref="C92:D92"/>
    <mergeCell ref="A117:B117"/>
    <mergeCell ref="A106:D106"/>
    <mergeCell ref="A107:B107"/>
    <mergeCell ref="A113:B113"/>
    <mergeCell ref="A116:B116"/>
    <mergeCell ref="A115:B115"/>
    <mergeCell ref="C113:D113"/>
    <mergeCell ref="C114:D114"/>
    <mergeCell ref="C115:D115"/>
    <mergeCell ref="C116:D116"/>
    <mergeCell ref="C117:D117"/>
    <mergeCell ref="C108:D108"/>
    <mergeCell ref="C109:D109"/>
    <mergeCell ref="C110:D110"/>
    <mergeCell ref="C111:D111"/>
    <mergeCell ref="C112:D112"/>
    <mergeCell ref="E19:F19"/>
    <mergeCell ref="E20:F20"/>
    <mergeCell ref="E50:F50"/>
    <mergeCell ref="E51:F51"/>
    <mergeCell ref="E52:F52"/>
    <mergeCell ref="E53:F53"/>
    <mergeCell ref="E54:F54"/>
    <mergeCell ref="E76:F76"/>
    <mergeCell ref="E82:F82"/>
    <mergeCell ref="A64:F64"/>
    <mergeCell ref="A65:F65"/>
    <mergeCell ref="E83:F83"/>
    <mergeCell ref="E84:F84"/>
    <mergeCell ref="E86:F86"/>
    <mergeCell ref="E89:F89"/>
    <mergeCell ref="E111:F111"/>
    <mergeCell ref="E112:F112"/>
    <mergeCell ref="E113:F113"/>
    <mergeCell ref="E114:F114"/>
    <mergeCell ref="E115:F115"/>
    <mergeCell ref="E116:F116"/>
    <mergeCell ref="E117:F117"/>
    <mergeCell ref="E90:F90"/>
    <mergeCell ref="E91:F91"/>
    <mergeCell ref="E92:F92"/>
    <mergeCell ref="E93:F93"/>
    <mergeCell ref="E94:F94"/>
    <mergeCell ref="E107:F107"/>
    <mergeCell ref="E108:F108"/>
    <mergeCell ref="E109:F109"/>
    <mergeCell ref="E110:F110"/>
    <mergeCell ref="E7:F7"/>
    <mergeCell ref="E8:F8"/>
    <mergeCell ref="E9:F9"/>
    <mergeCell ref="E10:F10"/>
    <mergeCell ref="E11:F11"/>
    <mergeCell ref="C7:D7"/>
    <mergeCell ref="C8:D8"/>
    <mergeCell ref="C9:D9"/>
    <mergeCell ref="C10:D10"/>
    <mergeCell ref="C11:D11"/>
  </mergeCells>
  <pageMargins left="0.511811024" right="0.511811024" top="0.78740157499999996" bottom="0.78740157499999996" header="0.31496062000000002" footer="0.31496062000000002"/>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1"/>
  <sheetViews>
    <sheetView tabSelected="1" topLeftCell="A2" workbookViewId="0">
      <selection activeCell="K11" sqref="K11"/>
    </sheetView>
  </sheetViews>
  <sheetFormatPr defaultRowHeight="12.5" x14ac:dyDescent="0.25"/>
  <cols>
    <col min="1" max="1" width="32.26953125" bestFit="1" customWidth="1"/>
    <col min="2" max="2" width="11.453125" customWidth="1"/>
    <col min="3" max="3" width="11.81640625" bestFit="1" customWidth="1"/>
    <col min="4" max="4" width="11.81640625" customWidth="1"/>
    <col min="5" max="5" width="14" customWidth="1"/>
    <col min="8" max="8" width="14.26953125" bestFit="1" customWidth="1"/>
  </cols>
  <sheetData>
    <row r="1" spans="1:8" ht="13" x14ac:dyDescent="0.3">
      <c r="A1" s="288" t="s">
        <v>99</v>
      </c>
      <c r="B1" s="288"/>
      <c r="C1" s="288"/>
      <c r="D1" s="288"/>
      <c r="E1" s="288"/>
    </row>
    <row r="2" spans="1:8" s="76" customFormat="1" ht="26" x14ac:dyDescent="0.25">
      <c r="A2" s="78" t="s">
        <v>155</v>
      </c>
      <c r="B2" s="79" t="s">
        <v>156</v>
      </c>
      <c r="C2" s="79" t="s">
        <v>157</v>
      </c>
      <c r="D2" s="79" t="s">
        <v>165</v>
      </c>
      <c r="E2" s="79" t="s">
        <v>166</v>
      </c>
    </row>
    <row r="3" spans="1:8" x14ac:dyDescent="0.25">
      <c r="A3" s="44" t="s">
        <v>158</v>
      </c>
      <c r="B3" s="77">
        <v>2</v>
      </c>
      <c r="C3" s="80">
        <v>226.49</v>
      </c>
      <c r="D3" s="80">
        <f>B3*C3</f>
        <v>452.98</v>
      </c>
      <c r="E3" s="80">
        <f>D3/12</f>
        <v>37.748333333333335</v>
      </c>
    </row>
    <row r="4" spans="1:8" x14ac:dyDescent="0.25">
      <c r="A4" s="44" t="s">
        <v>159</v>
      </c>
      <c r="B4" s="77">
        <v>6</v>
      </c>
      <c r="C4" s="80">
        <v>93.1</v>
      </c>
      <c r="D4" s="80">
        <f t="shared" ref="D4:D9" si="0">B4*C4</f>
        <v>558.59999999999991</v>
      </c>
      <c r="E4" s="80">
        <f t="shared" ref="E4:E9" si="1">D4/12</f>
        <v>46.54999999999999</v>
      </c>
    </row>
    <row r="5" spans="1:8" x14ac:dyDescent="0.25">
      <c r="A5" s="44" t="s">
        <v>160</v>
      </c>
      <c r="B5" s="77">
        <v>4</v>
      </c>
      <c r="C5" s="80">
        <v>74.930000000000007</v>
      </c>
      <c r="D5" s="80">
        <f t="shared" si="0"/>
        <v>299.72000000000003</v>
      </c>
      <c r="E5" s="80">
        <f t="shared" si="1"/>
        <v>24.97666666666667</v>
      </c>
    </row>
    <row r="6" spans="1:8" x14ac:dyDescent="0.25">
      <c r="A6" s="44" t="s">
        <v>161</v>
      </c>
      <c r="B6" s="77">
        <v>2</v>
      </c>
      <c r="C6" s="80">
        <v>21.84</v>
      </c>
      <c r="D6" s="80">
        <f t="shared" si="0"/>
        <v>43.68</v>
      </c>
      <c r="E6" s="80">
        <f t="shared" si="1"/>
        <v>3.64</v>
      </c>
    </row>
    <row r="7" spans="1:8" x14ac:dyDescent="0.25">
      <c r="A7" s="44" t="s">
        <v>162</v>
      </c>
      <c r="B7" s="77">
        <v>2</v>
      </c>
      <c r="C7" s="80">
        <v>34.630000000000003</v>
      </c>
      <c r="D7" s="80">
        <f t="shared" si="0"/>
        <v>69.260000000000005</v>
      </c>
      <c r="E7" s="80">
        <f t="shared" si="1"/>
        <v>5.7716666666666674</v>
      </c>
    </row>
    <row r="8" spans="1:8" x14ac:dyDescent="0.25">
      <c r="A8" s="44" t="s">
        <v>163</v>
      </c>
      <c r="B8" s="77">
        <v>6</v>
      </c>
      <c r="C8" s="80">
        <v>15.8</v>
      </c>
      <c r="D8" s="80">
        <f t="shared" si="0"/>
        <v>94.800000000000011</v>
      </c>
      <c r="E8" s="80">
        <f t="shared" si="1"/>
        <v>7.9000000000000012</v>
      </c>
    </row>
    <row r="9" spans="1:8" x14ac:dyDescent="0.25">
      <c r="A9" s="44" t="s">
        <v>164</v>
      </c>
      <c r="B9" s="77">
        <v>2</v>
      </c>
      <c r="C9" s="80">
        <v>143.38</v>
      </c>
      <c r="D9" s="80">
        <f t="shared" si="0"/>
        <v>286.76</v>
      </c>
      <c r="E9" s="80">
        <f t="shared" si="1"/>
        <v>23.896666666666665</v>
      </c>
    </row>
    <row r="10" spans="1:8" ht="13" x14ac:dyDescent="0.3">
      <c r="A10" s="289" t="s">
        <v>28</v>
      </c>
      <c r="B10" s="290"/>
      <c r="C10" s="291"/>
      <c r="D10" s="81">
        <f>SUM(D3:D9)</f>
        <v>1805.8</v>
      </c>
      <c r="E10" s="81">
        <f>SUM(E3:E9)</f>
        <v>150.48333333333332</v>
      </c>
    </row>
    <row r="12" spans="1:8" ht="13" x14ac:dyDescent="0.3">
      <c r="A12" s="288" t="s">
        <v>98</v>
      </c>
      <c r="B12" s="288"/>
      <c r="C12" s="288"/>
      <c r="D12" s="288"/>
      <c r="E12" s="288"/>
    </row>
    <row r="13" spans="1:8" ht="26" x14ac:dyDescent="0.25">
      <c r="A13" s="78" t="s">
        <v>155</v>
      </c>
      <c r="B13" s="79" t="s">
        <v>156</v>
      </c>
      <c r="C13" s="79" t="s">
        <v>157</v>
      </c>
      <c r="D13" s="79" t="s">
        <v>165</v>
      </c>
      <c r="E13" s="79" t="s">
        <v>166</v>
      </c>
      <c r="H13" s="1"/>
    </row>
    <row r="14" spans="1:8" x14ac:dyDescent="0.25">
      <c r="A14" s="44" t="s">
        <v>167</v>
      </c>
      <c r="B14" s="77">
        <v>6</v>
      </c>
      <c r="C14" s="80">
        <v>23</v>
      </c>
      <c r="D14" s="80">
        <f>B14*C14</f>
        <v>138</v>
      </c>
      <c r="E14" s="80">
        <f>D14/12</f>
        <v>11.5</v>
      </c>
      <c r="H14" s="2"/>
    </row>
    <row r="15" spans="1:8" x14ac:dyDescent="0.25">
      <c r="A15" s="44" t="s">
        <v>160</v>
      </c>
      <c r="B15" s="77">
        <v>4</v>
      </c>
      <c r="C15" s="80">
        <v>66.3</v>
      </c>
      <c r="D15" s="80">
        <f t="shared" ref="D15:D20" si="2">B15*C15</f>
        <v>265.2</v>
      </c>
      <c r="E15" s="80">
        <f t="shared" ref="E15:E20" si="3">D15/12</f>
        <v>22.099999999999998</v>
      </c>
    </row>
    <row r="16" spans="1:8" x14ac:dyDescent="0.25">
      <c r="A16" s="44" t="s">
        <v>168</v>
      </c>
      <c r="B16" s="77">
        <v>2</v>
      </c>
      <c r="C16" s="80">
        <v>12.64</v>
      </c>
      <c r="D16" s="80">
        <f t="shared" si="2"/>
        <v>25.28</v>
      </c>
      <c r="E16" s="80">
        <f t="shared" si="3"/>
        <v>2.1066666666666669</v>
      </c>
    </row>
    <row r="17" spans="1:5" x14ac:dyDescent="0.25">
      <c r="A17" s="44" t="s">
        <v>182</v>
      </c>
      <c r="B17" s="77">
        <v>2</v>
      </c>
      <c r="C17" s="80">
        <v>2.69</v>
      </c>
      <c r="D17" s="80">
        <f t="shared" si="2"/>
        <v>5.38</v>
      </c>
      <c r="E17" s="80">
        <f t="shared" si="3"/>
        <v>0.44833333333333331</v>
      </c>
    </row>
    <row r="18" spans="1:5" x14ac:dyDescent="0.25">
      <c r="A18" s="44" t="s">
        <v>183</v>
      </c>
      <c r="B18" s="77">
        <v>2</v>
      </c>
      <c r="C18" s="80">
        <v>5.61</v>
      </c>
      <c r="D18" s="80">
        <f t="shared" si="2"/>
        <v>11.22</v>
      </c>
      <c r="E18" s="80">
        <f t="shared" si="3"/>
        <v>0.93500000000000005</v>
      </c>
    </row>
    <row r="19" spans="1:5" x14ac:dyDescent="0.25">
      <c r="A19" s="44" t="s">
        <v>163</v>
      </c>
      <c r="B19" s="77">
        <v>3</v>
      </c>
      <c r="C19" s="80">
        <v>15.8</v>
      </c>
      <c r="D19" s="80">
        <f t="shared" si="2"/>
        <v>47.400000000000006</v>
      </c>
      <c r="E19" s="80">
        <f t="shared" si="3"/>
        <v>3.9500000000000006</v>
      </c>
    </row>
    <row r="20" spans="1:5" x14ac:dyDescent="0.25">
      <c r="A20" s="44" t="s">
        <v>164</v>
      </c>
      <c r="B20" s="77">
        <v>2</v>
      </c>
      <c r="C20" s="80">
        <v>143.38</v>
      </c>
      <c r="D20" s="80">
        <f t="shared" si="2"/>
        <v>286.76</v>
      </c>
      <c r="E20" s="80">
        <f t="shared" si="3"/>
        <v>23.896666666666665</v>
      </c>
    </row>
    <row r="21" spans="1:5" ht="13" x14ac:dyDescent="0.3">
      <c r="A21" s="289" t="s">
        <v>28</v>
      </c>
      <c r="B21" s="290"/>
      <c r="C21" s="291"/>
      <c r="D21" s="81">
        <f>SUM(D14:D20)</f>
        <v>779.24</v>
      </c>
      <c r="E21" s="81">
        <f>SUM(E14:E20)</f>
        <v>64.936666666666667</v>
      </c>
    </row>
  </sheetData>
  <mergeCells count="4">
    <mergeCell ref="A1:E1"/>
    <mergeCell ref="A10:C10"/>
    <mergeCell ref="A12:E12"/>
    <mergeCell ref="A21:C21"/>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O55"/>
  <sheetViews>
    <sheetView tabSelected="1" zoomScale="70" zoomScaleNormal="70" workbookViewId="0">
      <selection activeCell="K11" sqref="K11"/>
    </sheetView>
  </sheetViews>
  <sheetFormatPr defaultColWidth="9.1796875" defaultRowHeight="15.5" x14ac:dyDescent="0.35"/>
  <cols>
    <col min="1" max="1" width="9.1796875" style="74"/>
    <col min="2" max="2" width="6" style="87" customWidth="1"/>
    <col min="3" max="3" width="94.453125" style="3" customWidth="1"/>
    <col min="4" max="4" width="16.54296875" style="75" customWidth="1"/>
    <col min="5" max="6" width="21.7265625" style="75" customWidth="1"/>
    <col min="7" max="7" width="18.54296875" style="3" customWidth="1"/>
    <col min="8" max="8" width="18.453125" style="3" customWidth="1"/>
    <col min="9" max="9" width="18.54296875" style="3" customWidth="1"/>
    <col min="10" max="10" width="21.7265625" style="3" customWidth="1"/>
    <col min="11" max="11" width="15.81640625" style="74" customWidth="1"/>
    <col min="12" max="16" width="18.7265625" style="74" customWidth="1"/>
    <col min="17" max="17" width="17.1796875" style="74" customWidth="1"/>
    <col min="18" max="22" width="17.7265625" style="74" customWidth="1"/>
    <col min="23" max="23" width="18.26953125" style="74" customWidth="1"/>
    <col min="24" max="16384" width="9.1796875" style="74"/>
  </cols>
  <sheetData>
    <row r="2" spans="2:24" ht="16" thickBot="1" x14ac:dyDescent="0.4">
      <c r="L2" s="298"/>
      <c r="M2" s="299"/>
      <c r="N2" s="299"/>
      <c r="O2" s="299"/>
      <c r="P2" s="299"/>
      <c r="R2" s="298"/>
      <c r="S2" s="299"/>
      <c r="T2" s="299"/>
      <c r="U2" s="299"/>
      <c r="V2" s="299"/>
    </row>
    <row r="3" spans="2:24" ht="31.5" thickBot="1" x14ac:dyDescent="0.4">
      <c r="B3" s="175" t="s">
        <v>208</v>
      </c>
      <c r="C3" s="137" t="s">
        <v>102</v>
      </c>
      <c r="D3" s="137" t="s">
        <v>103</v>
      </c>
      <c r="E3" s="137" t="s">
        <v>104</v>
      </c>
      <c r="F3" s="137" t="s">
        <v>105</v>
      </c>
      <c r="G3" s="137" t="s">
        <v>129</v>
      </c>
      <c r="H3" s="137" t="s">
        <v>205</v>
      </c>
      <c r="I3" s="137" t="s">
        <v>206</v>
      </c>
      <c r="J3" s="136" t="s">
        <v>207</v>
      </c>
      <c r="L3" s="101"/>
      <c r="M3" s="101"/>
      <c r="N3" s="101"/>
      <c r="O3" s="101"/>
      <c r="P3" s="101"/>
      <c r="R3" s="101"/>
      <c r="S3" s="101"/>
      <c r="T3" s="101"/>
      <c r="U3" s="101"/>
      <c r="V3" s="101"/>
      <c r="W3" s="101"/>
      <c r="X3" s="129"/>
    </row>
    <row r="4" spans="2:24" ht="16" customHeight="1" x14ac:dyDescent="0.35">
      <c r="B4" s="159">
        <v>1</v>
      </c>
      <c r="C4" s="160" t="s">
        <v>106</v>
      </c>
      <c r="D4" s="161" t="s">
        <v>123</v>
      </c>
      <c r="E4" s="168">
        <v>4</v>
      </c>
      <c r="F4" s="164">
        <f t="shared" ref="F4:F25" si="0">E4*12</f>
        <v>48</v>
      </c>
      <c r="G4" s="145">
        <v>19.850000000000001</v>
      </c>
      <c r="H4" s="145">
        <f t="shared" ref="H4:H25" si="1">E4*G4</f>
        <v>79.400000000000006</v>
      </c>
      <c r="I4" s="145">
        <f>H4*12</f>
        <v>952.80000000000007</v>
      </c>
      <c r="J4" s="172">
        <f>(I4/$I$28)*100</f>
        <v>0.53724011261098725</v>
      </c>
      <c r="L4" s="130"/>
      <c r="M4" s="131"/>
      <c r="N4" s="131"/>
      <c r="O4" s="123"/>
      <c r="P4" s="123"/>
      <c r="R4" s="130"/>
      <c r="S4" s="131"/>
      <c r="T4" s="131"/>
      <c r="U4" s="123"/>
      <c r="V4" s="123"/>
      <c r="W4" s="123"/>
      <c r="X4" s="132"/>
    </row>
    <row r="5" spans="2:24" ht="16" customHeight="1" x14ac:dyDescent="0.35">
      <c r="B5" s="156">
        <v>2</v>
      </c>
      <c r="C5" s="152" t="s">
        <v>130</v>
      </c>
      <c r="D5" s="162" t="s">
        <v>124</v>
      </c>
      <c r="E5" s="169">
        <v>20</v>
      </c>
      <c r="F5" s="165">
        <f t="shared" si="0"/>
        <v>240</v>
      </c>
      <c r="G5" s="146">
        <v>7.4</v>
      </c>
      <c r="H5" s="146">
        <f t="shared" si="1"/>
        <v>148</v>
      </c>
      <c r="I5" s="146">
        <f t="shared" ref="I5:I25" si="2">H5*12</f>
        <v>1776</v>
      </c>
      <c r="J5" s="172">
        <f t="shared" ref="J5:J25" si="3">(I5/$I$28)*100</f>
        <v>1.0014047439096487</v>
      </c>
      <c r="L5" s="130"/>
      <c r="M5" s="131"/>
      <c r="N5" s="131"/>
      <c r="O5" s="123"/>
      <c r="P5" s="123"/>
      <c r="R5" s="130"/>
      <c r="S5" s="131"/>
      <c r="T5" s="131"/>
      <c r="U5" s="123"/>
      <c r="V5" s="123"/>
      <c r="W5" s="123"/>
      <c r="X5" s="132"/>
    </row>
    <row r="6" spans="2:24" ht="16" customHeight="1" x14ac:dyDescent="0.35">
      <c r="B6" s="156">
        <v>3</v>
      </c>
      <c r="C6" s="152" t="s">
        <v>107</v>
      </c>
      <c r="D6" s="162" t="s">
        <v>185</v>
      </c>
      <c r="E6" s="170">
        <v>800</v>
      </c>
      <c r="F6" s="166">
        <f t="shared" si="0"/>
        <v>9600</v>
      </c>
      <c r="G6" s="146">
        <v>8.73</v>
      </c>
      <c r="H6" s="146">
        <f t="shared" si="1"/>
        <v>6984</v>
      </c>
      <c r="I6" s="146">
        <f t="shared" si="2"/>
        <v>83808</v>
      </c>
      <c r="J6" s="172">
        <f t="shared" si="3"/>
        <v>47.255477915303963</v>
      </c>
      <c r="L6" s="130"/>
      <c r="M6" s="131"/>
      <c r="N6" s="131"/>
      <c r="O6" s="123"/>
      <c r="P6" s="123"/>
      <c r="R6" s="130"/>
      <c r="S6" s="131"/>
      <c r="T6" s="131"/>
      <c r="U6" s="123"/>
      <c r="V6" s="123"/>
      <c r="W6" s="123"/>
      <c r="X6" s="132"/>
    </row>
    <row r="7" spans="2:24" ht="16" customHeight="1" x14ac:dyDescent="0.35">
      <c r="B7" s="156">
        <v>4</v>
      </c>
      <c r="C7" s="152" t="s">
        <v>108</v>
      </c>
      <c r="D7" s="162" t="s">
        <v>124</v>
      </c>
      <c r="E7" s="169">
        <v>5</v>
      </c>
      <c r="F7" s="165">
        <f t="shared" si="0"/>
        <v>60</v>
      </c>
      <c r="G7" s="149">
        <v>2.27</v>
      </c>
      <c r="H7" s="146">
        <f t="shared" si="1"/>
        <v>11.35</v>
      </c>
      <c r="I7" s="146">
        <f t="shared" si="2"/>
        <v>136.19999999999999</v>
      </c>
      <c r="J7" s="172">
        <f t="shared" si="3"/>
        <v>7.6796917860638594E-2</v>
      </c>
      <c r="L7" s="130"/>
      <c r="M7" s="131"/>
      <c r="N7" s="131"/>
      <c r="O7" s="123"/>
      <c r="P7" s="123"/>
      <c r="R7" s="130"/>
      <c r="S7" s="131"/>
      <c r="T7" s="131"/>
      <c r="U7" s="123"/>
      <c r="V7" s="123"/>
      <c r="W7" s="123"/>
      <c r="X7" s="132"/>
    </row>
    <row r="8" spans="2:24" ht="16" customHeight="1" x14ac:dyDescent="0.35">
      <c r="B8" s="156">
        <v>5</v>
      </c>
      <c r="C8" s="184" t="s">
        <v>109</v>
      </c>
      <c r="D8" s="162" t="s">
        <v>124</v>
      </c>
      <c r="E8" s="169">
        <v>9</v>
      </c>
      <c r="F8" s="165">
        <f t="shared" si="0"/>
        <v>108</v>
      </c>
      <c r="G8" s="149">
        <v>4.49</v>
      </c>
      <c r="H8" s="146">
        <f t="shared" si="1"/>
        <v>40.410000000000004</v>
      </c>
      <c r="I8" s="146">
        <f t="shared" si="2"/>
        <v>484.92000000000007</v>
      </c>
      <c r="J8" s="172">
        <f t="shared" si="3"/>
        <v>0.2734240925769521</v>
      </c>
      <c r="L8" s="130"/>
      <c r="M8" s="131"/>
      <c r="N8" s="131"/>
      <c r="O8" s="123"/>
      <c r="P8" s="123"/>
      <c r="R8" s="130"/>
      <c r="S8" s="131"/>
      <c r="T8" s="131"/>
      <c r="U8" s="123"/>
      <c r="V8" s="123"/>
      <c r="W8" s="123"/>
      <c r="X8" s="132"/>
    </row>
    <row r="9" spans="2:24" s="122" customFormat="1" ht="16" customHeight="1" x14ac:dyDescent="0.25">
      <c r="B9" s="157">
        <v>6</v>
      </c>
      <c r="C9" s="184" t="s">
        <v>110</v>
      </c>
      <c r="D9" s="183" t="s">
        <v>126</v>
      </c>
      <c r="E9" s="186">
        <v>140</v>
      </c>
      <c r="F9" s="143">
        <f t="shared" si="0"/>
        <v>1680</v>
      </c>
      <c r="G9" s="146">
        <v>21.213778999999999</v>
      </c>
      <c r="H9" s="146">
        <f t="shared" si="1"/>
        <v>2969.9290599999999</v>
      </c>
      <c r="I9" s="146">
        <f t="shared" si="2"/>
        <v>35639.148719999997</v>
      </c>
      <c r="J9" s="172">
        <f t="shared" si="3"/>
        <v>20.095277363237322</v>
      </c>
      <c r="L9" s="124"/>
      <c r="M9" s="134"/>
      <c r="N9" s="134"/>
      <c r="O9" s="123"/>
      <c r="P9" s="123"/>
      <c r="R9" s="124"/>
      <c r="S9" s="134"/>
      <c r="T9" s="134"/>
      <c r="U9" s="123"/>
      <c r="V9" s="123"/>
      <c r="W9" s="123"/>
      <c r="X9" s="132"/>
    </row>
    <row r="10" spans="2:24" ht="16" customHeight="1" x14ac:dyDescent="0.35">
      <c r="B10" s="156">
        <v>7</v>
      </c>
      <c r="C10" s="152" t="s">
        <v>121</v>
      </c>
      <c r="D10" s="162" t="s">
        <v>124</v>
      </c>
      <c r="E10" s="169">
        <v>5</v>
      </c>
      <c r="F10" s="165">
        <f t="shared" si="0"/>
        <v>60</v>
      </c>
      <c r="G10" s="146">
        <v>20.43</v>
      </c>
      <c r="H10" s="146">
        <f t="shared" si="1"/>
        <v>102.15</v>
      </c>
      <c r="I10" s="146">
        <f t="shared" si="2"/>
        <v>1225.8000000000002</v>
      </c>
      <c r="J10" s="172">
        <f t="shared" si="3"/>
        <v>0.69117226074574756</v>
      </c>
      <c r="L10" s="130"/>
      <c r="M10" s="131"/>
      <c r="N10" s="131"/>
      <c r="O10" s="123"/>
      <c r="P10" s="123"/>
      <c r="R10" s="130"/>
      <c r="S10" s="131"/>
      <c r="T10" s="131"/>
      <c r="U10" s="123"/>
      <c r="V10" s="123"/>
      <c r="W10" s="123"/>
      <c r="X10" s="132"/>
    </row>
    <row r="11" spans="2:24" ht="16" customHeight="1" x14ac:dyDescent="0.35">
      <c r="B11" s="156">
        <v>8</v>
      </c>
      <c r="C11" s="152" t="s">
        <v>132</v>
      </c>
      <c r="D11" s="162" t="s">
        <v>184</v>
      </c>
      <c r="E11" s="169">
        <v>455</v>
      </c>
      <c r="F11" s="165">
        <f t="shared" si="0"/>
        <v>5460</v>
      </c>
      <c r="G11" s="146">
        <v>3.88</v>
      </c>
      <c r="H11" s="146">
        <f t="shared" si="1"/>
        <v>1765.3999999999999</v>
      </c>
      <c r="I11" s="146">
        <f t="shared" si="2"/>
        <v>21184.799999999999</v>
      </c>
      <c r="J11" s="172">
        <f t="shared" si="3"/>
        <v>11.945134695257391</v>
      </c>
      <c r="L11" s="130"/>
      <c r="M11" s="131"/>
      <c r="N11" s="131"/>
      <c r="O11" s="123"/>
      <c r="P11" s="123"/>
      <c r="R11" s="130"/>
      <c r="S11" s="131"/>
      <c r="T11" s="131"/>
      <c r="U11" s="123"/>
      <c r="V11" s="123"/>
      <c r="W11" s="123"/>
      <c r="X11" s="132"/>
    </row>
    <row r="12" spans="2:24" ht="16" customHeight="1" x14ac:dyDescent="0.35">
      <c r="B12" s="156">
        <v>9</v>
      </c>
      <c r="C12" s="152" t="s">
        <v>111</v>
      </c>
      <c r="D12" s="162" t="s">
        <v>124</v>
      </c>
      <c r="E12" s="169">
        <v>15</v>
      </c>
      <c r="F12" s="165">
        <f t="shared" si="0"/>
        <v>180</v>
      </c>
      <c r="G12" s="149">
        <v>1.3</v>
      </c>
      <c r="H12" s="146">
        <f t="shared" si="1"/>
        <v>19.5</v>
      </c>
      <c r="I12" s="146">
        <f t="shared" si="2"/>
        <v>234</v>
      </c>
      <c r="J12" s="172">
        <f t="shared" si="3"/>
        <v>0.13194184125836589</v>
      </c>
      <c r="L12" s="130"/>
      <c r="M12" s="131"/>
      <c r="N12" s="131"/>
      <c r="O12" s="123"/>
      <c r="P12" s="123"/>
      <c r="R12" s="130"/>
      <c r="S12" s="131"/>
      <c r="T12" s="131"/>
      <c r="U12" s="123"/>
      <c r="V12" s="123"/>
      <c r="W12" s="123"/>
      <c r="X12" s="132"/>
    </row>
    <row r="13" spans="2:24" ht="16" customHeight="1" x14ac:dyDescent="0.35">
      <c r="B13" s="156">
        <v>10</v>
      </c>
      <c r="C13" s="152" t="s">
        <v>112</v>
      </c>
      <c r="D13" s="162" t="s">
        <v>126</v>
      </c>
      <c r="E13" s="169">
        <v>3</v>
      </c>
      <c r="F13" s="165">
        <f t="shared" si="0"/>
        <v>36</v>
      </c>
      <c r="G13" s="149">
        <v>2.0099999999999998</v>
      </c>
      <c r="H13" s="146">
        <f t="shared" si="1"/>
        <v>6.0299999999999994</v>
      </c>
      <c r="I13" s="146">
        <f t="shared" si="2"/>
        <v>72.359999999999985</v>
      </c>
      <c r="J13" s="172">
        <f t="shared" si="3"/>
        <v>4.0800477066048522E-2</v>
      </c>
      <c r="L13" s="130"/>
      <c r="M13" s="131"/>
      <c r="N13" s="131"/>
      <c r="O13" s="123"/>
      <c r="P13" s="123"/>
      <c r="R13" s="130"/>
      <c r="S13" s="131"/>
      <c r="T13" s="131"/>
      <c r="U13" s="123"/>
      <c r="V13" s="123"/>
      <c r="W13" s="123"/>
      <c r="X13" s="132"/>
    </row>
    <row r="14" spans="2:24" ht="16" customHeight="1" x14ac:dyDescent="0.35">
      <c r="B14" s="156">
        <v>11</v>
      </c>
      <c r="C14" s="152" t="s">
        <v>131</v>
      </c>
      <c r="D14" s="162" t="s">
        <v>124</v>
      </c>
      <c r="E14" s="169">
        <v>10</v>
      </c>
      <c r="F14" s="165">
        <f t="shared" si="0"/>
        <v>120</v>
      </c>
      <c r="G14" s="149">
        <v>1.33</v>
      </c>
      <c r="H14" s="146">
        <f t="shared" si="1"/>
        <v>13.3</v>
      </c>
      <c r="I14" s="146">
        <f t="shared" si="2"/>
        <v>159.60000000000002</v>
      </c>
      <c r="J14" s="172">
        <f t="shared" si="3"/>
        <v>8.9991101986475197E-2</v>
      </c>
      <c r="L14" s="130"/>
      <c r="M14" s="131"/>
      <c r="N14" s="131"/>
      <c r="O14" s="123"/>
      <c r="P14" s="123"/>
      <c r="R14" s="130"/>
      <c r="S14" s="131"/>
      <c r="T14" s="131"/>
      <c r="U14" s="123"/>
      <c r="V14" s="123"/>
      <c r="W14" s="123"/>
      <c r="X14" s="132"/>
    </row>
    <row r="15" spans="2:24" ht="16" customHeight="1" x14ac:dyDescent="0.35">
      <c r="B15" s="156">
        <v>12</v>
      </c>
      <c r="C15" s="152" t="s">
        <v>113</v>
      </c>
      <c r="D15" s="162" t="s">
        <v>124</v>
      </c>
      <c r="E15" s="169">
        <v>10</v>
      </c>
      <c r="F15" s="165">
        <f t="shared" si="0"/>
        <v>120</v>
      </c>
      <c r="G15" s="149">
        <v>8.7799999999999994</v>
      </c>
      <c r="H15" s="146">
        <f t="shared" si="1"/>
        <v>87.8</v>
      </c>
      <c r="I15" s="146">
        <f t="shared" si="2"/>
        <v>1053.5999999999999</v>
      </c>
      <c r="J15" s="172">
        <f t="shared" si="3"/>
        <v>0.59407659807612945</v>
      </c>
      <c r="L15" s="130"/>
      <c r="M15" s="131"/>
      <c r="N15" s="131"/>
      <c r="O15" s="123"/>
      <c r="P15" s="123"/>
      <c r="R15" s="130"/>
      <c r="S15" s="131"/>
      <c r="T15" s="131"/>
      <c r="U15" s="123"/>
      <c r="V15" s="123"/>
      <c r="W15" s="123"/>
      <c r="X15" s="132"/>
    </row>
    <row r="16" spans="2:24" ht="16" customHeight="1" x14ac:dyDescent="0.35">
      <c r="B16" s="156">
        <v>13</v>
      </c>
      <c r="C16" s="152" t="s">
        <v>154</v>
      </c>
      <c r="D16" s="162" t="s">
        <v>124</v>
      </c>
      <c r="E16" s="169">
        <v>6</v>
      </c>
      <c r="F16" s="165">
        <f t="shared" si="0"/>
        <v>72</v>
      </c>
      <c r="G16" s="146">
        <v>8.7799999999999994</v>
      </c>
      <c r="H16" s="146">
        <f t="shared" si="1"/>
        <v>52.679999999999993</v>
      </c>
      <c r="I16" s="146">
        <f t="shared" si="2"/>
        <v>632.15999999999985</v>
      </c>
      <c r="J16" s="172">
        <f t="shared" si="3"/>
        <v>0.35644595884567759</v>
      </c>
      <c r="L16" s="130"/>
      <c r="M16" s="131"/>
      <c r="N16" s="131"/>
      <c r="O16" s="123"/>
      <c r="P16" s="123"/>
      <c r="R16" s="130"/>
      <c r="S16" s="131"/>
      <c r="T16" s="131"/>
      <c r="U16" s="123"/>
      <c r="V16" s="123"/>
      <c r="W16" s="123"/>
      <c r="X16" s="132"/>
    </row>
    <row r="17" spans="2:41" ht="16" customHeight="1" x14ac:dyDescent="0.35">
      <c r="B17" s="156">
        <v>14</v>
      </c>
      <c r="C17" s="153" t="s">
        <v>122</v>
      </c>
      <c r="D17" s="162" t="s">
        <v>124</v>
      </c>
      <c r="E17" s="169">
        <v>15</v>
      </c>
      <c r="F17" s="165">
        <f t="shared" si="0"/>
        <v>180</v>
      </c>
      <c r="G17" s="146">
        <v>8.4700000000000006</v>
      </c>
      <c r="H17" s="146">
        <f t="shared" si="1"/>
        <v>127.05000000000001</v>
      </c>
      <c r="I17" s="146">
        <f t="shared" si="2"/>
        <v>1524.6000000000001</v>
      </c>
      <c r="J17" s="172">
        <f t="shared" si="3"/>
        <v>0.85965184266027628</v>
      </c>
      <c r="L17" s="130"/>
      <c r="M17" s="131"/>
      <c r="N17" s="131"/>
      <c r="O17" s="123"/>
      <c r="P17" s="123"/>
      <c r="R17" s="130"/>
      <c r="S17" s="131"/>
      <c r="T17" s="131"/>
      <c r="U17" s="123"/>
      <c r="V17" s="123"/>
      <c r="W17" s="123"/>
      <c r="X17" s="132"/>
    </row>
    <row r="18" spans="2:41" ht="16" customHeight="1" x14ac:dyDescent="0.35">
      <c r="B18" s="156">
        <v>15</v>
      </c>
      <c r="C18" s="152" t="s">
        <v>189</v>
      </c>
      <c r="D18" s="162" t="s">
        <v>125</v>
      </c>
      <c r="E18" s="169">
        <v>4</v>
      </c>
      <c r="F18" s="165">
        <f t="shared" si="0"/>
        <v>48</v>
      </c>
      <c r="G18" s="149">
        <v>3.06</v>
      </c>
      <c r="H18" s="174">
        <f t="shared" si="1"/>
        <v>12.24</v>
      </c>
      <c r="I18" s="146">
        <f t="shared" si="2"/>
        <v>146.88</v>
      </c>
      <c r="J18" s="172">
        <f t="shared" si="3"/>
        <v>8.2818878820635808E-2</v>
      </c>
      <c r="L18" s="130"/>
      <c r="M18" s="131"/>
      <c r="N18" s="131"/>
      <c r="O18" s="123"/>
      <c r="P18" s="123"/>
      <c r="R18" s="130"/>
      <c r="S18" s="131"/>
      <c r="T18" s="131"/>
      <c r="U18" s="123"/>
      <c r="V18" s="123"/>
      <c r="W18" s="123"/>
      <c r="X18" s="132"/>
    </row>
    <row r="19" spans="2:41" ht="16" customHeight="1" x14ac:dyDescent="0.35">
      <c r="B19" s="156">
        <v>16</v>
      </c>
      <c r="C19" s="152" t="s">
        <v>114</v>
      </c>
      <c r="D19" s="162" t="s">
        <v>124</v>
      </c>
      <c r="E19" s="169">
        <v>6</v>
      </c>
      <c r="F19" s="165">
        <f t="shared" si="0"/>
        <v>72</v>
      </c>
      <c r="G19" s="149">
        <v>2.5</v>
      </c>
      <c r="H19" s="146">
        <f t="shared" si="1"/>
        <v>15</v>
      </c>
      <c r="I19" s="146">
        <f t="shared" si="2"/>
        <v>180</v>
      </c>
      <c r="J19" s="172">
        <f t="shared" si="3"/>
        <v>0.10149372404489683</v>
      </c>
      <c r="L19" s="130"/>
      <c r="M19" s="131"/>
      <c r="N19" s="131"/>
      <c r="O19" s="123"/>
      <c r="P19" s="123"/>
      <c r="R19" s="130"/>
      <c r="S19" s="131"/>
      <c r="T19" s="131"/>
      <c r="U19" s="123"/>
      <c r="V19" s="123"/>
      <c r="W19" s="123"/>
      <c r="X19" s="132"/>
    </row>
    <row r="20" spans="2:41" ht="16" customHeight="1" x14ac:dyDescent="0.35">
      <c r="B20" s="156">
        <v>17</v>
      </c>
      <c r="C20" s="152" t="s">
        <v>115</v>
      </c>
      <c r="D20" s="162" t="s">
        <v>124</v>
      </c>
      <c r="E20" s="169">
        <v>8</v>
      </c>
      <c r="F20" s="165">
        <f t="shared" si="0"/>
        <v>96</v>
      </c>
      <c r="G20" s="149">
        <v>2.4</v>
      </c>
      <c r="H20" s="146">
        <f t="shared" si="1"/>
        <v>19.2</v>
      </c>
      <c r="I20" s="146">
        <f t="shared" si="2"/>
        <v>230.39999999999998</v>
      </c>
      <c r="J20" s="172">
        <f t="shared" si="3"/>
        <v>0.12991196677746794</v>
      </c>
      <c r="L20" s="130"/>
      <c r="M20" s="131"/>
      <c r="N20" s="131"/>
      <c r="O20" s="123"/>
      <c r="P20" s="123"/>
      <c r="R20" s="130"/>
      <c r="S20" s="131"/>
      <c r="T20" s="131"/>
      <c r="U20" s="123"/>
      <c r="V20" s="123"/>
      <c r="W20" s="123"/>
      <c r="X20" s="132"/>
    </row>
    <row r="21" spans="2:41" ht="16" customHeight="1" x14ac:dyDescent="0.35">
      <c r="B21" s="156">
        <v>18</v>
      </c>
      <c r="C21" s="152" t="s">
        <v>116</v>
      </c>
      <c r="D21" s="162" t="s">
        <v>126</v>
      </c>
      <c r="E21" s="169">
        <v>2</v>
      </c>
      <c r="F21" s="165">
        <f t="shared" si="0"/>
        <v>24</v>
      </c>
      <c r="G21" s="146">
        <v>2.9</v>
      </c>
      <c r="H21" s="146">
        <f t="shared" si="1"/>
        <v>5.8</v>
      </c>
      <c r="I21" s="146">
        <f t="shared" si="2"/>
        <v>69.599999999999994</v>
      </c>
      <c r="J21" s="172">
        <f t="shared" si="3"/>
        <v>3.9244239964026775E-2</v>
      </c>
      <c r="L21" s="130"/>
      <c r="M21" s="131"/>
      <c r="N21" s="131"/>
      <c r="O21" s="123"/>
      <c r="P21" s="123"/>
      <c r="R21" s="130"/>
      <c r="S21" s="131"/>
      <c r="T21" s="131"/>
      <c r="U21" s="123"/>
      <c r="V21" s="123"/>
      <c r="W21" s="123"/>
      <c r="X21" s="132"/>
    </row>
    <row r="22" spans="2:41" ht="16" customHeight="1" x14ac:dyDescent="0.35">
      <c r="B22" s="156">
        <v>19</v>
      </c>
      <c r="C22" s="152" t="s">
        <v>117</v>
      </c>
      <c r="D22" s="162" t="s">
        <v>127</v>
      </c>
      <c r="E22" s="169">
        <v>20</v>
      </c>
      <c r="F22" s="165">
        <f t="shared" si="0"/>
        <v>240</v>
      </c>
      <c r="G22" s="149">
        <v>1.81</v>
      </c>
      <c r="H22" s="146">
        <f t="shared" si="1"/>
        <v>36.200000000000003</v>
      </c>
      <c r="I22" s="146">
        <f t="shared" si="2"/>
        <v>434.40000000000003</v>
      </c>
      <c r="J22" s="172">
        <f t="shared" si="3"/>
        <v>0.24493818736168438</v>
      </c>
      <c r="L22" s="130"/>
      <c r="M22" s="131"/>
      <c r="N22" s="131"/>
      <c r="O22" s="123"/>
      <c r="P22" s="123"/>
      <c r="R22" s="130"/>
      <c r="S22" s="131"/>
      <c r="T22" s="131"/>
      <c r="U22" s="123"/>
      <c r="V22" s="123"/>
      <c r="W22" s="123"/>
      <c r="X22" s="132"/>
    </row>
    <row r="23" spans="2:41" ht="16" customHeight="1" x14ac:dyDescent="0.35">
      <c r="B23" s="156">
        <v>20</v>
      </c>
      <c r="C23" s="152" t="s">
        <v>118</v>
      </c>
      <c r="D23" s="162" t="s">
        <v>128</v>
      </c>
      <c r="E23" s="169">
        <v>1</v>
      </c>
      <c r="F23" s="165">
        <f t="shared" si="0"/>
        <v>12</v>
      </c>
      <c r="G23" s="149">
        <v>5.04</v>
      </c>
      <c r="H23" s="146">
        <f t="shared" si="1"/>
        <v>5.04</v>
      </c>
      <c r="I23" s="146">
        <f t="shared" si="2"/>
        <v>60.480000000000004</v>
      </c>
      <c r="J23" s="172">
        <f t="shared" si="3"/>
        <v>3.410189127908534E-2</v>
      </c>
      <c r="L23" s="130"/>
      <c r="M23" s="131"/>
      <c r="N23" s="131"/>
      <c r="O23" s="123"/>
      <c r="P23" s="123"/>
      <c r="R23" s="130"/>
      <c r="S23" s="131"/>
      <c r="T23" s="131"/>
      <c r="U23" s="123"/>
      <c r="V23" s="123"/>
      <c r="W23" s="123"/>
      <c r="X23" s="132"/>
    </row>
    <row r="24" spans="2:41" ht="16" customHeight="1" x14ac:dyDescent="0.35">
      <c r="B24" s="156">
        <v>21</v>
      </c>
      <c r="C24" s="152" t="s">
        <v>119</v>
      </c>
      <c r="D24" s="162" t="s">
        <v>124</v>
      </c>
      <c r="E24" s="169">
        <v>10</v>
      </c>
      <c r="F24" s="165">
        <f t="shared" si="0"/>
        <v>120</v>
      </c>
      <c r="G24" s="149">
        <v>4.24</v>
      </c>
      <c r="H24" s="146">
        <f t="shared" si="1"/>
        <v>42.400000000000006</v>
      </c>
      <c r="I24" s="146">
        <f t="shared" si="2"/>
        <v>508.80000000000007</v>
      </c>
      <c r="J24" s="172">
        <f t="shared" si="3"/>
        <v>0.28688892663357507</v>
      </c>
      <c r="L24" s="130"/>
      <c r="M24" s="131"/>
      <c r="N24" s="131"/>
      <c r="O24" s="123"/>
      <c r="P24" s="123"/>
      <c r="R24" s="130"/>
      <c r="S24" s="131"/>
      <c r="T24" s="131"/>
      <c r="U24" s="123"/>
      <c r="V24" s="123"/>
      <c r="W24" s="123"/>
      <c r="X24" s="132"/>
    </row>
    <row r="25" spans="2:41" ht="16" customHeight="1" thickBot="1" x14ac:dyDescent="0.4">
      <c r="B25" s="158">
        <v>22</v>
      </c>
      <c r="C25" s="154" t="s">
        <v>120</v>
      </c>
      <c r="D25" s="163" t="s">
        <v>126</v>
      </c>
      <c r="E25" s="171">
        <v>2</v>
      </c>
      <c r="F25" s="167">
        <f t="shared" si="0"/>
        <v>24</v>
      </c>
      <c r="G25" s="150">
        <v>9.58</v>
      </c>
      <c r="H25" s="147">
        <f t="shared" si="1"/>
        <v>19.16</v>
      </c>
      <c r="I25" s="147">
        <f t="shared" si="2"/>
        <v>229.92000000000002</v>
      </c>
      <c r="J25" s="173">
        <f t="shared" si="3"/>
        <v>0.12964131684668156</v>
      </c>
      <c r="L25" s="130"/>
      <c r="M25" s="131"/>
      <c r="N25" s="131"/>
      <c r="O25" s="123"/>
      <c r="P25" s="123"/>
      <c r="R25" s="130"/>
      <c r="S25" s="131"/>
      <c r="T25" s="131"/>
      <c r="U25" s="123"/>
      <c r="V25" s="123"/>
      <c r="W25" s="123"/>
      <c r="X25" s="132"/>
    </row>
    <row r="26" spans="2:41" ht="16" thickBot="1" x14ac:dyDescent="0.4">
      <c r="B26" s="300"/>
      <c r="C26" s="300"/>
      <c r="D26" s="300"/>
      <c r="E26" s="300"/>
      <c r="F26" s="300"/>
      <c r="G26" s="301"/>
      <c r="H26" s="141">
        <f>SUM(H4:H25)</f>
        <v>12562.039059999999</v>
      </c>
      <c r="I26" s="141">
        <f>SUM(I4:I25)</f>
        <v>150744.46872</v>
      </c>
      <c r="J26" s="126"/>
      <c r="L26" s="75"/>
      <c r="M26" s="75"/>
      <c r="N26" s="75"/>
      <c r="O26" s="3"/>
      <c r="P26" s="126"/>
      <c r="R26" s="75"/>
      <c r="S26" s="75"/>
      <c r="T26" s="75"/>
      <c r="U26" s="3"/>
      <c r="V26" s="126"/>
    </row>
    <row r="27" spans="2:41" ht="15.75" customHeight="1" thickBot="1" x14ac:dyDescent="0.4">
      <c r="B27" s="295" t="s">
        <v>204</v>
      </c>
      <c r="C27" s="296"/>
      <c r="D27" s="296"/>
      <c r="E27" s="296"/>
      <c r="F27" s="296"/>
      <c r="G27" s="297"/>
      <c r="H27" s="105">
        <f>H26*0.1765</f>
        <v>2217.1998940899998</v>
      </c>
      <c r="I27" s="105">
        <f>I26*0.1765</f>
        <v>26606.39872908</v>
      </c>
      <c r="J27" s="127"/>
      <c r="L27" s="75"/>
      <c r="M27" s="75"/>
      <c r="N27" s="75"/>
      <c r="O27" s="3"/>
      <c r="P27" s="127"/>
      <c r="R27" s="75"/>
      <c r="S27" s="75"/>
      <c r="T27" s="75"/>
      <c r="U27" s="3"/>
      <c r="V27" s="127"/>
    </row>
    <row r="28" spans="2:41" ht="15.75" customHeight="1" thickBot="1" x14ac:dyDescent="0.4">
      <c r="B28" s="295" t="s">
        <v>197</v>
      </c>
      <c r="C28" s="296"/>
      <c r="D28" s="296"/>
      <c r="E28" s="296"/>
      <c r="F28" s="296"/>
      <c r="G28" s="297"/>
      <c r="H28" s="179">
        <f>H26+H27</f>
        <v>14779.238954089999</v>
      </c>
      <c r="I28" s="179">
        <f>I26+I27</f>
        <v>177350.86744907999</v>
      </c>
      <c r="J28" s="128"/>
      <c r="K28" s="133"/>
      <c r="L28" s="75"/>
      <c r="M28" s="75"/>
      <c r="N28" s="75"/>
      <c r="O28" s="3"/>
      <c r="P28" s="128"/>
      <c r="Q28" s="133"/>
      <c r="R28" s="75"/>
      <c r="S28" s="75"/>
      <c r="T28" s="75"/>
      <c r="U28" s="3"/>
      <c r="V28" s="128"/>
      <c r="W28" s="133"/>
    </row>
    <row r="29" spans="2:41" ht="15.75" customHeight="1" x14ac:dyDescent="0.35">
      <c r="B29" s="101"/>
      <c r="C29" s="101"/>
      <c r="D29" s="101"/>
      <c r="E29" s="101"/>
      <c r="F29" s="101">
        <f>17.1+3.03</f>
        <v>20.130000000000003</v>
      </c>
      <c r="G29" s="101"/>
      <c r="H29" s="104"/>
      <c r="I29" s="104"/>
      <c r="J29" s="104"/>
      <c r="L29" s="75"/>
      <c r="M29" s="75"/>
      <c r="N29" s="75"/>
      <c r="O29" s="3"/>
      <c r="P29" s="104"/>
      <c r="R29" s="75"/>
      <c r="S29" s="75"/>
      <c r="T29" s="75"/>
      <c r="U29" s="3"/>
      <c r="V29" s="104"/>
    </row>
    <row r="30" spans="2:41" ht="16" thickBot="1" x14ac:dyDescent="0.4">
      <c r="L30" s="75"/>
      <c r="M30" s="75"/>
      <c r="N30" s="75"/>
      <c r="O30" s="3"/>
      <c r="P30" s="3"/>
      <c r="R30" s="75"/>
      <c r="S30" s="75"/>
      <c r="T30" s="75"/>
      <c r="U30" s="3"/>
      <c r="V30" s="3"/>
    </row>
    <row r="31" spans="2:41" ht="31.5" thickBot="1" x14ac:dyDescent="0.4">
      <c r="B31" s="175" t="s">
        <v>208</v>
      </c>
      <c r="C31" s="137" t="s">
        <v>133</v>
      </c>
      <c r="D31" s="137" t="s">
        <v>134</v>
      </c>
      <c r="E31" s="137" t="s">
        <v>153</v>
      </c>
      <c r="F31" s="137" t="s">
        <v>191</v>
      </c>
      <c r="G31" s="137" t="s">
        <v>190</v>
      </c>
      <c r="H31" s="137" t="s">
        <v>192</v>
      </c>
      <c r="I31" s="124"/>
      <c r="J31" s="124"/>
      <c r="L31" s="130"/>
      <c r="M31" s="124"/>
      <c r="N31" s="124"/>
      <c r="O31" s="124"/>
      <c r="P31" s="124"/>
      <c r="R31" s="130"/>
      <c r="S31" s="124"/>
      <c r="T31" s="124"/>
      <c r="U31" s="124"/>
      <c r="V31" s="124"/>
    </row>
    <row r="32" spans="2:41" ht="16" customHeight="1" x14ac:dyDescent="0.35">
      <c r="B32" s="155">
        <v>1</v>
      </c>
      <c r="C32" s="151" t="s">
        <v>186</v>
      </c>
      <c r="D32" s="142">
        <v>20</v>
      </c>
      <c r="E32" s="148">
        <v>32.5</v>
      </c>
      <c r="F32" s="145">
        <v>27.084</v>
      </c>
      <c r="G32" s="142">
        <v>24</v>
      </c>
      <c r="H32" s="138">
        <f>27.08*12</f>
        <v>324.95999999999998</v>
      </c>
      <c r="I32" s="125"/>
      <c r="J32" s="125"/>
      <c r="K32" s="106"/>
      <c r="L32" s="134"/>
      <c r="M32" s="123"/>
      <c r="N32" s="123"/>
      <c r="O32" s="134"/>
      <c r="P32" s="125"/>
      <c r="Q32" s="106"/>
      <c r="R32" s="134"/>
      <c r="S32" s="123"/>
      <c r="T32" s="123"/>
      <c r="U32" s="134"/>
      <c r="V32" s="125"/>
      <c r="W32" s="106"/>
      <c r="X32" s="106"/>
      <c r="Y32" s="106"/>
      <c r="Z32" s="106"/>
      <c r="AA32" s="106"/>
      <c r="AB32" s="106"/>
      <c r="AC32" s="106"/>
      <c r="AD32" s="106"/>
      <c r="AE32" s="106"/>
      <c r="AF32" s="106"/>
      <c r="AG32" s="106"/>
      <c r="AH32" s="106"/>
      <c r="AI32" s="106"/>
      <c r="AJ32" s="106"/>
      <c r="AK32" s="106"/>
      <c r="AL32" s="106"/>
      <c r="AM32" s="106"/>
      <c r="AN32" s="106"/>
      <c r="AO32" s="106"/>
    </row>
    <row r="33" spans="2:22" ht="16" customHeight="1" x14ac:dyDescent="0.35">
      <c r="B33" s="156">
        <v>2</v>
      </c>
      <c r="C33" s="152" t="s">
        <v>137</v>
      </c>
      <c r="D33" s="143">
        <v>5</v>
      </c>
      <c r="E33" s="149">
        <v>15.41</v>
      </c>
      <c r="F33" s="146">
        <v>6.4240000000000004</v>
      </c>
      <c r="G33" s="143">
        <v>12</v>
      </c>
      <c r="H33" s="139">
        <f>6.42*12</f>
        <v>77.039999999999992</v>
      </c>
      <c r="I33" s="125"/>
      <c r="J33" s="125"/>
      <c r="L33" s="131"/>
      <c r="M33" s="123"/>
      <c r="N33" s="123"/>
      <c r="O33" s="131"/>
      <c r="P33" s="125"/>
      <c r="R33" s="134"/>
      <c r="S33" s="123"/>
      <c r="T33" s="123"/>
      <c r="U33" s="134"/>
      <c r="V33" s="125"/>
    </row>
    <row r="34" spans="2:22" ht="16" customHeight="1" x14ac:dyDescent="0.35">
      <c r="B34" s="156">
        <v>3</v>
      </c>
      <c r="C34" s="152" t="s">
        <v>142</v>
      </c>
      <c r="D34" s="143">
        <v>7</v>
      </c>
      <c r="E34" s="149">
        <v>31.13</v>
      </c>
      <c r="F34" s="146">
        <v>9.0820000000000007</v>
      </c>
      <c r="G34" s="143">
        <v>24</v>
      </c>
      <c r="H34" s="139">
        <f>9.08*12</f>
        <v>108.96000000000001</v>
      </c>
      <c r="I34" s="125"/>
      <c r="J34" s="125"/>
      <c r="L34" s="131"/>
      <c r="M34" s="123"/>
      <c r="N34" s="123"/>
      <c r="O34" s="131"/>
      <c r="P34" s="125"/>
      <c r="R34" s="134"/>
      <c r="S34" s="123"/>
      <c r="T34" s="123"/>
      <c r="U34" s="134"/>
      <c r="V34" s="125"/>
    </row>
    <row r="35" spans="2:22" ht="16" customHeight="1" x14ac:dyDescent="0.35">
      <c r="B35" s="156">
        <v>4</v>
      </c>
      <c r="C35" s="152" t="s">
        <v>141</v>
      </c>
      <c r="D35" s="143">
        <v>12</v>
      </c>
      <c r="E35" s="146">
        <v>31.13</v>
      </c>
      <c r="F35" s="146">
        <v>15.573</v>
      </c>
      <c r="G35" s="143">
        <v>24</v>
      </c>
      <c r="H35" s="139">
        <f>15.57*12</f>
        <v>186.84</v>
      </c>
      <c r="I35" s="125"/>
      <c r="J35" s="125"/>
      <c r="L35" s="131"/>
      <c r="M35" s="123"/>
      <c r="N35" s="123"/>
      <c r="O35" s="131"/>
      <c r="P35" s="125"/>
      <c r="R35" s="134"/>
      <c r="S35" s="123"/>
      <c r="T35" s="123"/>
      <c r="U35" s="134"/>
      <c r="V35" s="125"/>
    </row>
    <row r="36" spans="2:22" ht="16" customHeight="1" x14ac:dyDescent="0.35">
      <c r="B36" s="156">
        <v>5</v>
      </c>
      <c r="C36" s="152" t="s">
        <v>135</v>
      </c>
      <c r="D36" s="143">
        <v>22</v>
      </c>
      <c r="E36" s="146">
        <v>749.94</v>
      </c>
      <c r="F36" s="146">
        <v>458.30200000000002</v>
      </c>
      <c r="G36" s="143">
        <v>36</v>
      </c>
      <c r="H36" s="139">
        <f>458.3*12</f>
        <v>5499.6</v>
      </c>
      <c r="I36" s="125"/>
      <c r="J36" s="125"/>
      <c r="L36" s="131"/>
      <c r="M36" s="123"/>
      <c r="N36" s="123"/>
      <c r="O36" s="131"/>
      <c r="P36" s="125"/>
      <c r="R36" s="134"/>
      <c r="S36" s="123"/>
      <c r="T36" s="123"/>
      <c r="U36" s="134"/>
      <c r="V36" s="125"/>
    </row>
    <row r="37" spans="2:22" ht="16" customHeight="1" x14ac:dyDescent="0.35">
      <c r="B37" s="156">
        <v>6</v>
      </c>
      <c r="C37" s="152" t="s">
        <v>187</v>
      </c>
      <c r="D37" s="143">
        <v>15</v>
      </c>
      <c r="E37" s="149">
        <v>34.35</v>
      </c>
      <c r="F37" s="146">
        <v>21.47</v>
      </c>
      <c r="G37" s="143">
        <v>24</v>
      </c>
      <c r="H37" s="139">
        <f>21.47*12</f>
        <v>257.64</v>
      </c>
      <c r="I37" s="125"/>
      <c r="J37" s="125"/>
      <c r="L37" s="131"/>
      <c r="M37" s="123"/>
      <c r="N37" s="123"/>
      <c r="O37" s="131"/>
      <c r="P37" s="125"/>
      <c r="R37" s="134"/>
      <c r="S37" s="123"/>
      <c r="T37" s="123"/>
      <c r="U37" s="134"/>
      <c r="V37" s="125"/>
    </row>
    <row r="38" spans="2:22" ht="16" customHeight="1" x14ac:dyDescent="0.35">
      <c r="B38" s="156">
        <v>7</v>
      </c>
      <c r="C38" s="184" t="s">
        <v>136</v>
      </c>
      <c r="D38" s="143">
        <v>4</v>
      </c>
      <c r="E38" s="149">
        <v>819.73</v>
      </c>
      <c r="F38" s="146">
        <v>68.31</v>
      </c>
      <c r="G38" s="143">
        <v>48</v>
      </c>
      <c r="H38" s="139">
        <f>68.31*12</f>
        <v>819.72</v>
      </c>
      <c r="I38" s="125"/>
      <c r="J38" s="125"/>
      <c r="L38" s="131"/>
      <c r="M38" s="123"/>
      <c r="N38" s="123"/>
      <c r="O38" s="131"/>
      <c r="P38" s="125"/>
      <c r="R38" s="134"/>
      <c r="S38" s="123"/>
      <c r="T38" s="123"/>
      <c r="U38" s="134"/>
      <c r="V38" s="125"/>
    </row>
    <row r="39" spans="2:22" ht="16" customHeight="1" x14ac:dyDescent="0.35">
      <c r="B39" s="156">
        <v>8</v>
      </c>
      <c r="C39" s="152" t="s">
        <v>150</v>
      </c>
      <c r="D39" s="143">
        <v>2</v>
      </c>
      <c r="E39" s="149">
        <v>1540</v>
      </c>
      <c r="F39" s="146">
        <v>64.17</v>
      </c>
      <c r="G39" s="143">
        <v>48</v>
      </c>
      <c r="H39" s="139">
        <f>64.17*12</f>
        <v>770.04</v>
      </c>
      <c r="I39" s="125"/>
      <c r="J39" s="125"/>
      <c r="L39" s="131"/>
      <c r="M39" s="123"/>
      <c r="N39" s="123"/>
      <c r="O39" s="131"/>
      <c r="P39" s="125"/>
      <c r="R39" s="134"/>
      <c r="S39" s="123"/>
      <c r="T39" s="123"/>
      <c r="U39" s="134"/>
      <c r="V39" s="125"/>
    </row>
    <row r="40" spans="2:22" ht="16" customHeight="1" x14ac:dyDescent="0.35">
      <c r="B40" s="156">
        <v>9</v>
      </c>
      <c r="C40" s="152" t="s">
        <v>145</v>
      </c>
      <c r="D40" s="143">
        <v>250</v>
      </c>
      <c r="E40" s="149">
        <v>1.06</v>
      </c>
      <c r="F40" s="146">
        <v>11.04</v>
      </c>
      <c r="G40" s="143">
        <v>24</v>
      </c>
      <c r="H40" s="139">
        <f>11.04*12</f>
        <v>132.47999999999999</v>
      </c>
      <c r="I40" s="125"/>
      <c r="J40" s="125"/>
      <c r="L40" s="131"/>
      <c r="M40" s="123"/>
      <c r="N40" s="123"/>
      <c r="O40" s="131"/>
      <c r="P40" s="125"/>
      <c r="R40" s="134"/>
      <c r="S40" s="123"/>
      <c r="T40" s="123"/>
      <c r="U40" s="134"/>
      <c r="V40" s="125"/>
    </row>
    <row r="41" spans="2:22" ht="16" customHeight="1" x14ac:dyDescent="0.35">
      <c r="B41" s="156">
        <v>10</v>
      </c>
      <c r="C41" s="152" t="s">
        <v>144</v>
      </c>
      <c r="D41" s="143">
        <v>120</v>
      </c>
      <c r="E41" s="149">
        <v>0.71</v>
      </c>
      <c r="F41" s="146">
        <v>3.55</v>
      </c>
      <c r="G41" s="143">
        <v>24</v>
      </c>
      <c r="H41" s="139">
        <f t="shared" ref="H41:H42" si="4">F41*12</f>
        <v>42.599999999999994</v>
      </c>
      <c r="I41" s="125"/>
      <c r="J41" s="125"/>
      <c r="L41" s="131"/>
      <c r="M41" s="123"/>
      <c r="N41" s="123"/>
      <c r="O41" s="131"/>
      <c r="P41" s="125"/>
      <c r="R41" s="134"/>
      <c r="S41" s="123"/>
      <c r="T41" s="123"/>
      <c r="U41" s="134"/>
      <c r="V41" s="125"/>
    </row>
    <row r="42" spans="2:22" ht="16" customHeight="1" x14ac:dyDescent="0.35">
      <c r="B42" s="156">
        <v>11</v>
      </c>
      <c r="C42" s="152" t="s">
        <v>147</v>
      </c>
      <c r="D42" s="143">
        <v>300</v>
      </c>
      <c r="E42" s="149">
        <v>5.08</v>
      </c>
      <c r="F42" s="146">
        <v>127</v>
      </c>
      <c r="G42" s="143">
        <v>12</v>
      </c>
      <c r="H42" s="139">
        <f t="shared" si="4"/>
        <v>1524</v>
      </c>
      <c r="I42" s="125"/>
      <c r="J42" s="125"/>
      <c r="L42" s="131"/>
      <c r="M42" s="123"/>
      <c r="N42" s="123"/>
      <c r="O42" s="131"/>
      <c r="P42" s="125"/>
      <c r="R42" s="134"/>
      <c r="S42" s="123"/>
      <c r="T42" s="123"/>
      <c r="U42" s="134"/>
      <c r="V42" s="125"/>
    </row>
    <row r="43" spans="2:22" ht="16" customHeight="1" x14ac:dyDescent="0.35">
      <c r="B43" s="156">
        <v>12</v>
      </c>
      <c r="C43" s="184" t="s">
        <v>148</v>
      </c>
      <c r="D43" s="143">
        <v>2</v>
      </c>
      <c r="E43" s="149">
        <v>147.13999999999999</v>
      </c>
      <c r="F43" s="146">
        <v>12.26</v>
      </c>
      <c r="G43" s="143">
        <v>24</v>
      </c>
      <c r="H43" s="139">
        <f>12.26*12</f>
        <v>147.12</v>
      </c>
      <c r="I43" s="125"/>
      <c r="J43" s="125"/>
      <c r="L43" s="131"/>
      <c r="M43" s="123"/>
      <c r="N43" s="123"/>
      <c r="O43" s="131"/>
      <c r="P43" s="125"/>
      <c r="R43" s="134"/>
      <c r="S43" s="123"/>
      <c r="T43" s="123"/>
      <c r="U43" s="134"/>
      <c r="V43" s="125"/>
    </row>
    <row r="44" spans="2:22" ht="16" customHeight="1" x14ac:dyDescent="0.35">
      <c r="B44" s="156">
        <v>13</v>
      </c>
      <c r="C44" s="152" t="s">
        <v>149</v>
      </c>
      <c r="D44" s="143">
        <v>15</v>
      </c>
      <c r="E44" s="149">
        <v>53.58</v>
      </c>
      <c r="F44" s="146">
        <v>66.98</v>
      </c>
      <c r="G44" s="143">
        <v>12</v>
      </c>
      <c r="H44" s="139">
        <f>66.98*12</f>
        <v>803.76</v>
      </c>
      <c r="I44" s="125"/>
      <c r="J44" s="125"/>
      <c r="L44" s="131"/>
      <c r="M44" s="123"/>
      <c r="N44" s="123"/>
      <c r="O44" s="131"/>
      <c r="P44" s="125"/>
      <c r="R44" s="134"/>
      <c r="S44" s="123"/>
      <c r="T44" s="123"/>
      <c r="U44" s="134"/>
      <c r="V44" s="125"/>
    </row>
    <row r="45" spans="2:22" ht="16" customHeight="1" x14ac:dyDescent="0.35">
      <c r="B45" s="156">
        <v>14</v>
      </c>
      <c r="C45" s="152" t="s">
        <v>140</v>
      </c>
      <c r="D45" s="143">
        <v>15</v>
      </c>
      <c r="E45" s="146">
        <v>66.290000000000006</v>
      </c>
      <c r="F45" s="146">
        <v>41.43</v>
      </c>
      <c r="G45" s="143">
        <v>24</v>
      </c>
      <c r="H45" s="139">
        <f>41.43*12</f>
        <v>497.15999999999997</v>
      </c>
      <c r="I45" s="125"/>
      <c r="J45" s="125"/>
      <c r="K45" s="135"/>
      <c r="L45" s="131"/>
      <c r="M45" s="123"/>
      <c r="N45" s="123"/>
      <c r="O45" s="131"/>
      <c r="P45" s="125"/>
      <c r="R45" s="134"/>
      <c r="S45" s="123"/>
      <c r="T45" s="123"/>
      <c r="U45" s="134"/>
      <c r="V45" s="125"/>
    </row>
    <row r="46" spans="2:22" s="106" customFormat="1" ht="32.15" customHeight="1" x14ac:dyDescent="0.25">
      <c r="B46" s="157">
        <v>15</v>
      </c>
      <c r="C46" s="153" t="s">
        <v>152</v>
      </c>
      <c r="D46" s="143">
        <v>24</v>
      </c>
      <c r="E46" s="146">
        <v>38.92</v>
      </c>
      <c r="F46" s="146">
        <v>77.84</v>
      </c>
      <c r="G46" s="143">
        <v>12</v>
      </c>
      <c r="H46" s="139">
        <f t="shared" ref="H46" si="5">F46*12</f>
        <v>934.08</v>
      </c>
      <c r="I46" s="125"/>
      <c r="J46" s="125"/>
      <c r="L46" s="134"/>
      <c r="M46" s="123"/>
      <c r="N46" s="123"/>
      <c r="O46" s="134"/>
      <c r="P46" s="125"/>
      <c r="R46" s="134"/>
      <c r="S46" s="123"/>
      <c r="T46" s="123"/>
      <c r="U46" s="134"/>
      <c r="V46" s="125"/>
    </row>
    <row r="47" spans="2:22" ht="16" customHeight="1" x14ac:dyDescent="0.35">
      <c r="B47" s="156">
        <v>16</v>
      </c>
      <c r="C47" s="152" t="s">
        <v>188</v>
      </c>
      <c r="D47" s="143">
        <v>2</v>
      </c>
      <c r="E47" s="149">
        <v>5.87</v>
      </c>
      <c r="F47" s="146">
        <v>0.98</v>
      </c>
      <c r="G47" s="143">
        <v>12</v>
      </c>
      <c r="H47" s="139">
        <f>0.98*12</f>
        <v>11.76</v>
      </c>
      <c r="I47" s="125"/>
      <c r="J47" s="125"/>
      <c r="L47" s="131"/>
      <c r="M47" s="123"/>
      <c r="N47" s="123"/>
      <c r="O47" s="131"/>
      <c r="P47" s="125"/>
      <c r="R47" s="134"/>
      <c r="S47" s="123"/>
      <c r="T47" s="123"/>
      <c r="U47" s="134"/>
      <c r="V47" s="125"/>
    </row>
    <row r="48" spans="2:22" s="106" customFormat="1" ht="16" customHeight="1" x14ac:dyDescent="0.25">
      <c r="B48" s="157">
        <v>17</v>
      </c>
      <c r="C48" s="153" t="s">
        <v>143</v>
      </c>
      <c r="D48" s="143">
        <v>200</v>
      </c>
      <c r="E48" s="146">
        <v>7.44</v>
      </c>
      <c r="F48" s="146">
        <v>62</v>
      </c>
      <c r="G48" s="143">
        <v>24</v>
      </c>
      <c r="H48" s="139">
        <f t="shared" ref="H48" si="6">F48*12</f>
        <v>744</v>
      </c>
      <c r="I48" s="125"/>
      <c r="J48" s="125"/>
      <c r="L48" s="134"/>
      <c r="M48" s="123"/>
      <c r="N48" s="123"/>
      <c r="O48" s="134"/>
      <c r="P48" s="125"/>
      <c r="R48" s="134"/>
      <c r="S48" s="123"/>
      <c r="T48" s="123"/>
      <c r="U48" s="134"/>
      <c r="V48" s="125"/>
    </row>
    <row r="49" spans="2:22" ht="16" customHeight="1" x14ac:dyDescent="0.35">
      <c r="B49" s="156">
        <v>18</v>
      </c>
      <c r="C49" s="152" t="s">
        <v>138</v>
      </c>
      <c r="D49" s="143">
        <v>2</v>
      </c>
      <c r="E49" s="149">
        <v>16.649999999999999</v>
      </c>
      <c r="F49" s="146">
        <v>2.76</v>
      </c>
      <c r="G49" s="143">
        <v>12</v>
      </c>
      <c r="H49" s="139">
        <f>2.78*12</f>
        <v>33.36</v>
      </c>
      <c r="I49" s="125"/>
      <c r="J49" s="125"/>
      <c r="L49" s="131"/>
      <c r="M49" s="123"/>
      <c r="N49" s="123"/>
      <c r="O49" s="131"/>
      <c r="P49" s="125"/>
      <c r="R49" s="134"/>
      <c r="S49" s="123"/>
      <c r="T49" s="123"/>
      <c r="U49" s="134"/>
      <c r="V49" s="125"/>
    </row>
    <row r="50" spans="2:22" s="106" customFormat="1" ht="32.15" customHeight="1" x14ac:dyDescent="0.25">
      <c r="B50" s="157">
        <v>19</v>
      </c>
      <c r="C50" s="184" t="s">
        <v>151</v>
      </c>
      <c r="D50" s="143">
        <v>24</v>
      </c>
      <c r="E50" s="149">
        <v>57.26</v>
      </c>
      <c r="F50" s="146">
        <v>114.52</v>
      </c>
      <c r="G50" s="143">
        <v>12</v>
      </c>
      <c r="H50" s="139">
        <f t="shared" ref="H50" si="7">F50*12</f>
        <v>1374.24</v>
      </c>
      <c r="I50" s="125"/>
      <c r="J50" s="125"/>
      <c r="L50" s="134"/>
      <c r="M50" s="123"/>
      <c r="N50" s="123"/>
      <c r="O50" s="134"/>
      <c r="P50" s="125"/>
      <c r="R50" s="134"/>
      <c r="S50" s="123"/>
      <c r="T50" s="123"/>
      <c r="U50" s="134"/>
      <c r="V50" s="125"/>
    </row>
    <row r="51" spans="2:22" ht="16" customHeight="1" x14ac:dyDescent="0.35">
      <c r="B51" s="156">
        <v>20</v>
      </c>
      <c r="C51" s="152" t="s">
        <v>139</v>
      </c>
      <c r="D51" s="143">
        <v>2</v>
      </c>
      <c r="E51" s="149">
        <v>13.36</v>
      </c>
      <c r="F51" s="146">
        <v>2.23</v>
      </c>
      <c r="G51" s="143">
        <v>12</v>
      </c>
      <c r="H51" s="139">
        <f>2.23*12</f>
        <v>26.759999999999998</v>
      </c>
      <c r="I51" s="125"/>
      <c r="J51" s="125"/>
      <c r="L51" s="131"/>
      <c r="M51" s="123"/>
      <c r="N51" s="123"/>
      <c r="O51" s="131"/>
      <c r="P51" s="125"/>
      <c r="R51" s="134"/>
      <c r="S51" s="123"/>
      <c r="T51" s="123"/>
      <c r="U51" s="134"/>
      <c r="V51" s="125"/>
    </row>
    <row r="52" spans="2:22" ht="16" customHeight="1" thickBot="1" x14ac:dyDescent="0.4">
      <c r="B52" s="158">
        <v>21</v>
      </c>
      <c r="C52" s="185" t="s">
        <v>146</v>
      </c>
      <c r="D52" s="144">
        <v>170</v>
      </c>
      <c r="E52" s="150">
        <v>8.36</v>
      </c>
      <c r="F52" s="147">
        <v>118.43</v>
      </c>
      <c r="G52" s="144">
        <v>12</v>
      </c>
      <c r="H52" s="140">
        <f>118.43*12</f>
        <v>1421.16</v>
      </c>
      <c r="I52" s="125"/>
      <c r="J52" s="125"/>
      <c r="L52" s="131"/>
      <c r="M52" s="123"/>
      <c r="N52" s="123"/>
      <c r="O52" s="131"/>
      <c r="P52" s="125"/>
      <c r="R52" s="134"/>
      <c r="S52" s="123"/>
      <c r="T52" s="123"/>
      <c r="U52" s="134"/>
      <c r="V52" s="125"/>
    </row>
    <row r="53" spans="2:22" ht="16" thickBot="1" x14ac:dyDescent="0.4">
      <c r="B53" s="176"/>
      <c r="C53" s="177"/>
      <c r="D53" s="178"/>
      <c r="E53" s="178"/>
      <c r="F53" s="102">
        <f>SUM(F32:F52)</f>
        <v>1311.4349999999999</v>
      </c>
      <c r="G53" s="180"/>
      <c r="H53" s="103">
        <f>SUM(H32:H52)</f>
        <v>15737.280000000002</v>
      </c>
      <c r="I53" s="127"/>
      <c r="J53" s="127"/>
      <c r="L53" s="75"/>
      <c r="M53" s="75"/>
      <c r="N53" s="127"/>
      <c r="O53" s="3"/>
      <c r="P53" s="127"/>
      <c r="R53" s="75"/>
      <c r="S53" s="75"/>
      <c r="T53" s="127"/>
      <c r="U53" s="3"/>
      <c r="V53" s="127"/>
    </row>
    <row r="54" spans="2:22" ht="15.75" customHeight="1" thickBot="1" x14ac:dyDescent="0.4">
      <c r="B54" s="295" t="s">
        <v>204</v>
      </c>
      <c r="C54" s="296"/>
      <c r="D54" s="296"/>
      <c r="E54" s="297"/>
      <c r="F54" s="102">
        <f>F53*0.1365</f>
        <v>179.01087749999999</v>
      </c>
      <c r="G54" s="181"/>
      <c r="H54" s="102">
        <f>H53*0.1765</f>
        <v>2777.6299200000003</v>
      </c>
      <c r="I54" s="127"/>
      <c r="J54" s="127"/>
      <c r="L54" s="75"/>
      <c r="M54" s="75"/>
      <c r="N54" s="127"/>
      <c r="O54" s="3"/>
      <c r="P54" s="127"/>
      <c r="R54" s="75"/>
      <c r="S54" s="75"/>
      <c r="T54" s="127"/>
      <c r="U54" s="3"/>
      <c r="V54" s="127"/>
    </row>
    <row r="55" spans="2:22" ht="16" thickBot="1" x14ac:dyDescent="0.4">
      <c r="B55" s="292" t="s">
        <v>196</v>
      </c>
      <c r="C55" s="293"/>
      <c r="D55" s="293"/>
      <c r="E55" s="294"/>
      <c r="F55" s="179">
        <f>F53+F54</f>
        <v>1490.4458774999998</v>
      </c>
      <c r="G55" s="182"/>
      <c r="H55" s="179">
        <f>H53+H54</f>
        <v>18514.909920000002</v>
      </c>
      <c r="I55" s="128"/>
      <c r="J55" s="128"/>
      <c r="N55" s="128"/>
      <c r="P55" s="128"/>
      <c r="T55" s="128"/>
      <c r="V55" s="128"/>
    </row>
  </sheetData>
  <sortState xmlns:xlrd2="http://schemas.microsoft.com/office/spreadsheetml/2017/richdata2" ref="B4:P25">
    <sortCondition ref="B4:B25"/>
  </sortState>
  <mergeCells count="7">
    <mergeCell ref="B55:E55"/>
    <mergeCell ref="B28:G28"/>
    <mergeCell ref="R2:V2"/>
    <mergeCell ref="L2:P2"/>
    <mergeCell ref="B54:E54"/>
    <mergeCell ref="B27:G27"/>
    <mergeCell ref="B26:G26"/>
  </mergeCells>
  <pageMargins left="0.511811024" right="0.511811024" top="0.78740157499999996" bottom="0.78740157499999996" header="0.31496062000000002" footer="0.31496062000000002"/>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29606D6A9F1F34ABC0BB0E30CA38BC3" ma:contentTypeVersion="15" ma:contentTypeDescription="Crie um novo documento." ma:contentTypeScope="" ma:versionID="22a44d3cd114a783d40d7ef37d582061">
  <xsd:schema xmlns:xsd="http://www.w3.org/2001/XMLSchema" xmlns:xs="http://www.w3.org/2001/XMLSchema" xmlns:p="http://schemas.microsoft.com/office/2006/metadata/properties" xmlns:ns3="24930026-f88e-4eb1-a84b-6c6689915a21" xmlns:ns4="8bb5e887-4a36-475b-8c2b-9f4b717434ca" targetNamespace="http://schemas.microsoft.com/office/2006/metadata/properties" ma:root="true" ma:fieldsID="8861c4f3994e915dc0d990e0dc177aca" ns3:_="" ns4:_="">
    <xsd:import namespace="24930026-f88e-4eb1-a84b-6c6689915a21"/>
    <xsd:import namespace="8bb5e887-4a36-475b-8c2b-9f4b717434ca"/>
    <xsd:element name="properties">
      <xsd:complexType>
        <xsd:sequence>
          <xsd:element name="documentManagement">
            <xsd:complexType>
              <xsd:all>
                <xsd:element ref="ns3:SharedWithUsers" minOccurs="0"/>
                <xsd:element ref="ns3:SharedWithDetails" minOccurs="0"/>
                <xsd:element ref="ns3:SharingHintHash" minOccurs="0"/>
                <xsd:element ref="ns4:_activity" minOccurs="0"/>
                <xsd:element ref="ns4:MediaServiceMetadata" minOccurs="0"/>
                <xsd:element ref="ns4:MediaServiceFastMetadata" minOccurs="0"/>
                <xsd:element ref="ns4:MediaServiceObjectDetectorVersions"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DateTaken"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930026-f88e-4eb1-a84b-6c6689915a21"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SharingHintHash" ma:index="10" nillable="true" ma:displayName="Hash de Dica de Compartilhamento"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b5e887-4a36-475b-8c2b-9f4b717434ca" elementFormDefault="qualified">
    <xsd:import namespace="http://schemas.microsoft.com/office/2006/documentManagement/types"/>
    <xsd:import namespace="http://schemas.microsoft.com/office/infopath/2007/PartnerControls"/>
    <xsd:element name="_activity" ma:index="11"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bb5e887-4a36-475b-8c2b-9f4b717434ca" xsi:nil="true"/>
  </documentManagement>
</p:properties>
</file>

<file path=customXml/itemProps1.xml><?xml version="1.0" encoding="utf-8"?>
<ds:datastoreItem xmlns:ds="http://schemas.openxmlformats.org/officeDocument/2006/customXml" ds:itemID="{9672FF57-E312-43C4-8C37-B1E06F0A243B}">
  <ds:schemaRefs>
    <ds:schemaRef ds:uri="http://schemas.microsoft.com/sharepoint/v3/contenttype/forms"/>
  </ds:schemaRefs>
</ds:datastoreItem>
</file>

<file path=customXml/itemProps2.xml><?xml version="1.0" encoding="utf-8"?>
<ds:datastoreItem xmlns:ds="http://schemas.openxmlformats.org/officeDocument/2006/customXml" ds:itemID="{A2FBF59C-70B9-462E-BD92-D0491B6077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930026-f88e-4eb1-a84b-6c6689915a21"/>
    <ds:schemaRef ds:uri="8bb5e887-4a36-475b-8c2b-9f4b717434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A9094B-48B1-4A13-AA4B-223F16307106}">
  <ds:schemaRefs>
    <ds:schemaRef ds:uri="http://www.w3.org/XML/1998/namespace"/>
    <ds:schemaRef ds:uri="http://schemas.microsoft.com/office/infopath/2007/PartnerControls"/>
    <ds:schemaRef ds:uri="http://purl.org/dc/dcmitype/"/>
    <ds:schemaRef ds:uri="http://purl.org/dc/terms/"/>
    <ds:schemaRef ds:uri="8bb5e887-4a36-475b-8c2b-9f4b717434ca"/>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24930026-f88e-4eb1-a84b-6c6689915a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Geral</vt:lpstr>
      <vt:lpstr>Mão de obra</vt:lpstr>
      <vt:lpstr>Uniforme</vt:lpstr>
      <vt:lpstr>Materiais e utensílios</vt:lpstr>
      <vt:lpstr>Geral!Area_de_impressao</vt:lpstr>
      <vt:lpstr>'Mão de obra'!Area_de_impressao</vt:lpstr>
      <vt:lpstr>'Materiais e utensílios'!Area_de_impressao</vt:lpstr>
      <vt:lpstr>Uniforme!Area_de_impressao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dc:creator>
  <cp:lastModifiedBy>Gisele Aparecida Goncalves de Oliveira</cp:lastModifiedBy>
  <cp:lastPrinted>2025-01-21T18:30:15Z</cp:lastPrinted>
  <dcterms:created xsi:type="dcterms:W3CDTF">2010-12-08T17:56:29Z</dcterms:created>
  <dcterms:modified xsi:type="dcterms:W3CDTF">2025-01-21T18:30:27Z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0x010100029606D6A9F1F34ABC0BB0E30CA38BC3</vt:lpwstr>
  </property>
</Properties>
</file>