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c-my.sharepoint.com/personal/darlesson_carmo_anac_gov_br/Documents/Vigilâancia SJC 2024/"/>
    </mc:Choice>
  </mc:AlternateContent>
  <xr:revisionPtr revIDLastSave="62" documentId="13_ncr:40009_{89472EEB-829F-4ECA-86D9-9C058F345F31}" xr6:coauthVersionLast="47" xr6:coauthVersionMax="47" xr10:uidLastSave="{D92A3BF1-DBC5-415B-A6A2-894329381D45}"/>
  <bookViews>
    <workbookView xWindow="-110" yWindow="-110" windowWidth="19420" windowHeight="10300" tabRatio="896" activeTab="2" xr2:uid="{00000000-000D-0000-FFFF-FFFF00000000}"/>
  </bookViews>
  <sheets>
    <sheet name="PCFP Diurno" sheetId="116" r:id="rId1"/>
    <sheet name="PCFP Noturno" sheetId="117" r:id="rId2"/>
    <sheet name="PCFP Geral" sheetId="120" r:id="rId3"/>
    <sheet name="Resumo Unif.Equip" sheetId="109" r:id="rId4"/>
    <sheet name="Pesq. Uniforme" sheetId="106" state="hidden" r:id="rId5"/>
    <sheet name="Pesq Equip" sheetId="90" state="hidden" r:id="rId6"/>
    <sheet name="Pesq MatApoio" sheetId="119" state="hidden" r:id="rId7"/>
    <sheet name="Pesq SegVida" sheetId="104" state="hidden" r:id="rId8"/>
    <sheet name="Pesquisa Postos" sheetId="118" state="hidden" r:id="rId9"/>
    <sheet name="Custo Posto Trab" sheetId="113" state="hidden" r:id="rId10"/>
  </sheets>
  <externalReferences>
    <externalReference r:id="rId11"/>
    <externalReference r:id="rId12"/>
  </externalReferences>
  <definedNames>
    <definedName name="_xlnm.Print_Area" localSheetId="0">'PCFP Diurno'!$A$1:$I$159</definedName>
    <definedName name="_xlnm.Print_Area" localSheetId="2">'PCFP Geral'!$A$1:$H$8</definedName>
    <definedName name="_xlnm.Print_Area" localSheetId="1">'PCFP Noturno'!$A$1:$I$159</definedName>
    <definedName name="_xlnm.Print_Area" localSheetId="5">'Pesq Equip'!$A$1:$N$20</definedName>
    <definedName name="_xlnm.Print_Area" localSheetId="6">'Pesq MatApoio'!$A$1:$N$94</definedName>
    <definedName name="_xlnm.Print_Area" localSheetId="4">'Pesq. Uniforme'!$A$1:$N$151</definedName>
    <definedName name="_xlnm.Print_Area" localSheetId="3">'Resumo Unif.Equip'!$A$1:$G$40</definedName>
    <definedName name="Códigos">[1]REFERÊNCIA!$B$4:$B$179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17" l="1"/>
  <c r="I56" i="116"/>
  <c r="F39" i="109"/>
  <c r="F38" i="109"/>
  <c r="E15" i="109"/>
  <c r="F23" i="109" l="1"/>
  <c r="H71" i="117"/>
  <c r="I29" i="117"/>
  <c r="H82" i="116"/>
  <c r="H86" i="116" s="1"/>
  <c r="H71" i="116"/>
  <c r="I55" i="116"/>
  <c r="I29" i="116"/>
  <c r="I74" i="119"/>
  <c r="I73" i="119"/>
  <c r="I72" i="119"/>
  <c r="J72" i="119" s="1"/>
  <c r="D14" i="109"/>
  <c r="D13" i="109"/>
  <c r="D12" i="109"/>
  <c r="D11" i="109"/>
  <c r="D10" i="109"/>
  <c r="D8" i="109"/>
  <c r="D7" i="109"/>
  <c r="D6" i="109"/>
  <c r="D5" i="109"/>
  <c r="D4" i="109"/>
  <c r="D35" i="109"/>
  <c r="D32" i="109"/>
  <c r="D31" i="109"/>
  <c r="D24" i="109"/>
  <c r="D22" i="109"/>
  <c r="J136" i="106"/>
  <c r="K137" i="106" s="1"/>
  <c r="L137" i="106" s="1"/>
  <c r="J137" i="106"/>
  <c r="J138" i="106"/>
  <c r="K20" i="106"/>
  <c r="K21" i="106"/>
  <c r="K22" i="106"/>
  <c r="K23" i="106"/>
  <c r="L23" i="106" s="1"/>
  <c r="J20" i="106"/>
  <c r="J21" i="106"/>
  <c r="L21" i="106" s="1"/>
  <c r="J22" i="106"/>
  <c r="J23" i="106"/>
  <c r="J24" i="106"/>
  <c r="J25" i="106"/>
  <c r="J70" i="119"/>
  <c r="J71" i="119"/>
  <c r="J43" i="119"/>
  <c r="J44" i="119"/>
  <c r="J45" i="119"/>
  <c r="J46" i="119"/>
  <c r="J47" i="119"/>
  <c r="J34" i="119"/>
  <c r="J35" i="119"/>
  <c r="J36" i="119"/>
  <c r="J37" i="119"/>
  <c r="J24" i="119"/>
  <c r="J22" i="119"/>
  <c r="J23" i="119"/>
  <c r="J25" i="119"/>
  <c r="J26" i="119"/>
  <c r="J27" i="119"/>
  <c r="J28" i="119"/>
  <c r="J74" i="119"/>
  <c r="J73" i="119"/>
  <c r="K136" i="106"/>
  <c r="L136" i="106" s="1"/>
  <c r="L22" i="106"/>
  <c r="L20" i="106"/>
  <c r="J7" i="119"/>
  <c r="J8" i="119"/>
  <c r="J9" i="119"/>
  <c r="J10" i="119"/>
  <c r="J11" i="119"/>
  <c r="J12" i="119"/>
  <c r="J13" i="119"/>
  <c r="J14" i="119"/>
  <c r="J15" i="119"/>
  <c r="J16" i="119"/>
  <c r="J6" i="119"/>
  <c r="J85" i="119"/>
  <c r="J84" i="119"/>
  <c r="J83" i="119"/>
  <c r="I91" i="119"/>
  <c r="J92" i="119" s="1"/>
  <c r="L92" i="119" s="1"/>
  <c r="J9" i="90"/>
  <c r="J93" i="119"/>
  <c r="L93" i="119"/>
  <c r="J94" i="119"/>
  <c r="L94" i="119"/>
  <c r="I17" i="90"/>
  <c r="J20" i="90" s="1"/>
  <c r="J18" i="90"/>
  <c r="J61" i="106"/>
  <c r="J45" i="106"/>
  <c r="J108" i="106"/>
  <c r="J151" i="106"/>
  <c r="J78" i="106"/>
  <c r="J77" i="106"/>
  <c r="J44" i="106"/>
  <c r="J26" i="104"/>
  <c r="J25" i="104"/>
  <c r="J24" i="104"/>
  <c r="J27" i="104"/>
  <c r="J28" i="104"/>
  <c r="J11" i="104"/>
  <c r="J10" i="104"/>
  <c r="J144" i="106"/>
  <c r="J145" i="106"/>
  <c r="J146" i="106"/>
  <c r="J147" i="106"/>
  <c r="J148" i="106"/>
  <c r="J149" i="106"/>
  <c r="J150" i="106"/>
  <c r="J129" i="106"/>
  <c r="J130" i="106"/>
  <c r="J131" i="106"/>
  <c r="J114" i="106"/>
  <c r="J115" i="106"/>
  <c r="J116" i="106"/>
  <c r="J117" i="106"/>
  <c r="J118" i="106"/>
  <c r="J119" i="106"/>
  <c r="J120" i="106"/>
  <c r="J121" i="106"/>
  <c r="J122" i="106"/>
  <c r="J98" i="106"/>
  <c r="J99" i="106"/>
  <c r="K97" i="106" s="1"/>
  <c r="L97" i="106" s="1"/>
  <c r="J100" i="106"/>
  <c r="J101" i="106"/>
  <c r="J102" i="106"/>
  <c r="J103" i="106"/>
  <c r="J104" i="106"/>
  <c r="J105" i="106"/>
  <c r="J106" i="106"/>
  <c r="J107" i="106"/>
  <c r="J85" i="106"/>
  <c r="J86" i="106"/>
  <c r="J87" i="106"/>
  <c r="J88" i="106"/>
  <c r="J89" i="106"/>
  <c r="J90" i="106"/>
  <c r="J91" i="106"/>
  <c r="J92" i="106"/>
  <c r="J67" i="106"/>
  <c r="J68" i="106"/>
  <c r="J69" i="106"/>
  <c r="J70" i="106"/>
  <c r="J71" i="106"/>
  <c r="J72" i="106"/>
  <c r="J73" i="106"/>
  <c r="J74" i="106"/>
  <c r="J75" i="106"/>
  <c r="J76" i="106"/>
  <c r="J79" i="106"/>
  <c r="J66" i="106"/>
  <c r="J51" i="106"/>
  <c r="J52" i="106"/>
  <c r="J53" i="106"/>
  <c r="J54" i="106"/>
  <c r="J55" i="106"/>
  <c r="J56" i="106"/>
  <c r="J57" i="106"/>
  <c r="J58" i="106"/>
  <c r="J59" i="106"/>
  <c r="J60" i="106"/>
  <c r="J41" i="106"/>
  <c r="J42" i="106"/>
  <c r="J43" i="106"/>
  <c r="J31" i="106"/>
  <c r="J32" i="106"/>
  <c r="J33" i="106"/>
  <c r="J34" i="106"/>
  <c r="J35" i="106"/>
  <c r="J6" i="106"/>
  <c r="J7" i="106"/>
  <c r="J8" i="106"/>
  <c r="J9" i="106"/>
  <c r="J10" i="106"/>
  <c r="J11" i="106"/>
  <c r="J12" i="106"/>
  <c r="J13" i="106"/>
  <c r="J14" i="106"/>
  <c r="J13" i="104"/>
  <c r="K13" i="104" s="1"/>
  <c r="L13" i="104" s="1"/>
  <c r="I53" i="119"/>
  <c r="J9" i="118"/>
  <c r="J91" i="119"/>
  <c r="L91" i="119" s="1"/>
  <c r="J80" i="119"/>
  <c r="J81" i="119"/>
  <c r="J82" i="119"/>
  <c r="J86" i="119"/>
  <c r="J79" i="119"/>
  <c r="J69" i="119"/>
  <c r="J42" i="119"/>
  <c r="J33" i="119"/>
  <c r="J21" i="119"/>
  <c r="J6" i="90"/>
  <c r="J7" i="90"/>
  <c r="J8" i="90"/>
  <c r="J5" i="90"/>
  <c r="I52" i="119"/>
  <c r="J143" i="106"/>
  <c r="J128" i="106"/>
  <c r="J113" i="106"/>
  <c r="J97" i="106"/>
  <c r="K108" i="106" s="1"/>
  <c r="L108" i="106" s="1"/>
  <c r="J84" i="106"/>
  <c r="J50" i="106"/>
  <c r="J30" i="106"/>
  <c r="K31" i="106" s="1"/>
  <c r="L31" i="106" s="1"/>
  <c r="K19" i="106"/>
  <c r="J19" i="106"/>
  <c r="J40" i="106"/>
  <c r="J5" i="106"/>
  <c r="J17" i="90"/>
  <c r="J16" i="90"/>
  <c r="J15" i="90"/>
  <c r="J14" i="90"/>
  <c r="J12" i="104"/>
  <c r="J9" i="104"/>
  <c r="J8" i="104"/>
  <c r="J7" i="104"/>
  <c r="J6" i="104"/>
  <c r="J20" i="118"/>
  <c r="J19" i="118"/>
  <c r="J18" i="118"/>
  <c r="J17" i="118"/>
  <c r="J16" i="118"/>
  <c r="J10" i="118"/>
  <c r="J6" i="118"/>
  <c r="K24" i="106"/>
  <c r="L24" i="106"/>
  <c r="K25" i="106"/>
  <c r="L25" i="106" s="1"/>
  <c r="K34" i="106"/>
  <c r="L34" i="106" s="1"/>
  <c r="K35" i="106"/>
  <c r="L35" i="106" s="1"/>
  <c r="K33" i="106"/>
  <c r="L33" i="106" s="1"/>
  <c r="K26" i="119"/>
  <c r="L26" i="119" s="1"/>
  <c r="J64" i="119"/>
  <c r="J63" i="119"/>
  <c r="J62" i="119"/>
  <c r="J61" i="119"/>
  <c r="J58" i="119"/>
  <c r="J59" i="119"/>
  <c r="J60" i="119"/>
  <c r="J57" i="119"/>
  <c r="J55" i="119"/>
  <c r="J54" i="119"/>
  <c r="K9" i="90"/>
  <c r="L9" i="90" s="1"/>
  <c r="K46" i="119"/>
  <c r="L46" i="119"/>
  <c r="K47" i="119"/>
  <c r="L47" i="119" s="1"/>
  <c r="K43" i="119"/>
  <c r="L43" i="119" s="1"/>
  <c r="K44" i="119"/>
  <c r="L44" i="119"/>
  <c r="K143" i="106"/>
  <c r="L143" i="106" s="1"/>
  <c r="K42" i="119"/>
  <c r="L42" i="119" s="1"/>
  <c r="M42" i="119" s="1"/>
  <c r="K45" i="119"/>
  <c r="L45" i="119" s="1"/>
  <c r="K84" i="106"/>
  <c r="L84" i="106" s="1"/>
  <c r="J56" i="119"/>
  <c r="J53" i="119"/>
  <c r="J52" i="119"/>
  <c r="K61" i="119" s="1"/>
  <c r="L61" i="119" s="1"/>
  <c r="K66" i="106"/>
  <c r="L66" i="106" s="1"/>
  <c r="K30" i="106"/>
  <c r="L30" i="106"/>
  <c r="J7" i="118"/>
  <c r="J8" i="118"/>
  <c r="K8" i="118"/>
  <c r="L8" i="118" s="1"/>
  <c r="L19" i="106"/>
  <c r="H81" i="117"/>
  <c r="H80" i="117"/>
  <c r="H86" i="117" s="1"/>
  <c r="H114" i="116"/>
  <c r="H81" i="116"/>
  <c r="H39" i="116"/>
  <c r="H80" i="116"/>
  <c r="I30" i="117"/>
  <c r="I32" i="117" s="1"/>
  <c r="H116" i="117"/>
  <c r="H114" i="117"/>
  <c r="I95" i="117"/>
  <c r="H84" i="117"/>
  <c r="H83" i="117"/>
  <c r="H82" i="117"/>
  <c r="H73" i="117"/>
  <c r="H74" i="117" s="1"/>
  <c r="H39" i="117"/>
  <c r="H116" i="116"/>
  <c r="I95" i="116"/>
  <c r="H84" i="116"/>
  <c r="H83" i="116"/>
  <c r="H72" i="116"/>
  <c r="H73" i="116"/>
  <c r="H74" i="116"/>
  <c r="F82" i="113"/>
  <c r="D132" i="113"/>
  <c r="F131" i="113"/>
  <c r="E126" i="113"/>
  <c r="F121" i="113"/>
  <c r="F142" i="113" s="1"/>
  <c r="F107" i="113"/>
  <c r="F112" i="113"/>
  <c r="E102" i="113"/>
  <c r="E73" i="113"/>
  <c r="F54" i="113"/>
  <c r="E46" i="113"/>
  <c r="E87" i="113" s="1"/>
  <c r="E76" i="113"/>
  <c r="E77" i="113" s="1"/>
  <c r="F77" i="113" s="1"/>
  <c r="F16" i="113"/>
  <c r="F23" i="113" s="1"/>
  <c r="F17" i="113"/>
  <c r="F53" i="113"/>
  <c r="F59" i="113" s="1"/>
  <c r="F67" i="113" s="1"/>
  <c r="F74" i="113"/>
  <c r="F138" i="113"/>
  <c r="K71" i="119"/>
  <c r="L71" i="119"/>
  <c r="K69" i="119"/>
  <c r="L69" i="119" s="1"/>
  <c r="K72" i="119"/>
  <c r="L72" i="119"/>
  <c r="H72" i="117"/>
  <c r="I33" i="117" l="1"/>
  <c r="I35" i="117" s="1"/>
  <c r="I55" i="117"/>
  <c r="I30" i="116"/>
  <c r="K16" i="118"/>
  <c r="L16" i="118" s="1"/>
  <c r="K20" i="118"/>
  <c r="L20" i="118" s="1"/>
  <c r="K17" i="118"/>
  <c r="L17" i="118" s="1"/>
  <c r="K6" i="104"/>
  <c r="L6" i="104" s="1"/>
  <c r="F72" i="113"/>
  <c r="F30" i="113"/>
  <c r="F29" i="113"/>
  <c r="F75" i="113"/>
  <c r="K60" i="119"/>
  <c r="L60" i="119" s="1"/>
  <c r="K78" i="106"/>
  <c r="L78" i="106" s="1"/>
  <c r="K10" i="104"/>
  <c r="L10" i="104" s="1"/>
  <c r="K7" i="104"/>
  <c r="L7" i="104" s="1"/>
  <c r="K8" i="104"/>
  <c r="L8" i="104" s="1"/>
  <c r="K9" i="104"/>
  <c r="L9" i="104" s="1"/>
  <c r="M19" i="106"/>
  <c r="K6" i="90"/>
  <c r="L6" i="90" s="1"/>
  <c r="K8" i="90"/>
  <c r="L8" i="90" s="1"/>
  <c r="K7" i="90"/>
  <c r="L7" i="90" s="1"/>
  <c r="K85" i="119"/>
  <c r="L85" i="119" s="1"/>
  <c r="K84" i="119"/>
  <c r="L84" i="119" s="1"/>
  <c r="K86" i="119"/>
  <c r="L86" i="119" s="1"/>
  <c r="K81" i="119"/>
  <c r="L81" i="119" s="1"/>
  <c r="K83" i="119"/>
  <c r="L83" i="119" s="1"/>
  <c r="K79" i="119"/>
  <c r="L79" i="119" s="1"/>
  <c r="K12" i="106"/>
  <c r="L12" i="106" s="1"/>
  <c r="K8" i="106"/>
  <c r="L8" i="106" s="1"/>
  <c r="K9" i="106"/>
  <c r="L9" i="106" s="1"/>
  <c r="K10" i="106"/>
  <c r="L10" i="106" s="1"/>
  <c r="K11" i="106"/>
  <c r="L11" i="106" s="1"/>
  <c r="K13" i="106"/>
  <c r="L13" i="106" s="1"/>
  <c r="K14" i="106"/>
  <c r="L14" i="106" s="1"/>
  <c r="K6" i="106"/>
  <c r="L6" i="106" s="1"/>
  <c r="K7" i="106"/>
  <c r="L7" i="106" s="1"/>
  <c r="K5" i="106"/>
  <c r="L5" i="106" s="1"/>
  <c r="K42" i="106"/>
  <c r="L42" i="106" s="1"/>
  <c r="K44" i="106"/>
  <c r="L44" i="106" s="1"/>
  <c r="K40" i="106"/>
  <c r="L40" i="106" s="1"/>
  <c r="M40" i="106" s="1"/>
  <c r="K45" i="106"/>
  <c r="L45" i="106" s="1"/>
  <c r="K41" i="106"/>
  <c r="L41" i="106" s="1"/>
  <c r="K43" i="106"/>
  <c r="L43" i="106" s="1"/>
  <c r="K52" i="106"/>
  <c r="L52" i="106" s="1"/>
  <c r="K60" i="106"/>
  <c r="L60" i="106" s="1"/>
  <c r="K57" i="106"/>
  <c r="L57" i="106" s="1"/>
  <c r="K58" i="106"/>
  <c r="L58" i="106" s="1"/>
  <c r="K55" i="106"/>
  <c r="L55" i="106" s="1"/>
  <c r="K59" i="106"/>
  <c r="L59" i="106" s="1"/>
  <c r="K50" i="106"/>
  <c r="L50" i="106" s="1"/>
  <c r="K53" i="106"/>
  <c r="L53" i="106" s="1"/>
  <c r="K56" i="106"/>
  <c r="L56" i="106" s="1"/>
  <c r="K61" i="106"/>
  <c r="L61" i="106" s="1"/>
  <c r="K54" i="106"/>
  <c r="L54" i="106" s="1"/>
  <c r="K51" i="106"/>
  <c r="L51" i="106" s="1"/>
  <c r="K67" i="106"/>
  <c r="L67" i="106" s="1"/>
  <c r="M66" i="106" s="1"/>
  <c r="K76" i="106"/>
  <c r="L76" i="106" s="1"/>
  <c r="K68" i="106"/>
  <c r="L68" i="106" s="1"/>
  <c r="K90" i="106"/>
  <c r="L90" i="106" s="1"/>
  <c r="K87" i="106"/>
  <c r="L87" i="106" s="1"/>
  <c r="K85" i="106"/>
  <c r="L85" i="106" s="1"/>
  <c r="M84" i="106" s="1"/>
  <c r="K86" i="106"/>
  <c r="L86" i="106" s="1"/>
  <c r="K91" i="106"/>
  <c r="L91" i="106" s="1"/>
  <c r="K92" i="106"/>
  <c r="K89" i="106"/>
  <c r="L89" i="106" s="1"/>
  <c r="K99" i="106"/>
  <c r="L99" i="106" s="1"/>
  <c r="K101" i="106"/>
  <c r="L101" i="106" s="1"/>
  <c r="K102" i="106"/>
  <c r="L102" i="106" s="1"/>
  <c r="K104" i="106"/>
  <c r="L104" i="106" s="1"/>
  <c r="K106" i="106"/>
  <c r="L106" i="106" s="1"/>
  <c r="K115" i="106"/>
  <c r="L115" i="106" s="1"/>
  <c r="K116" i="106"/>
  <c r="L116" i="106" s="1"/>
  <c r="K119" i="106"/>
  <c r="L119" i="106" s="1"/>
  <c r="K122" i="106"/>
  <c r="L122" i="106" s="1"/>
  <c r="K114" i="106"/>
  <c r="L114" i="106" s="1"/>
  <c r="K117" i="106"/>
  <c r="L117" i="106" s="1"/>
  <c r="K113" i="106"/>
  <c r="L113" i="106" s="1"/>
  <c r="K118" i="106"/>
  <c r="L118" i="106" s="1"/>
  <c r="K120" i="106"/>
  <c r="L120" i="106" s="1"/>
  <c r="K121" i="106"/>
  <c r="L121" i="106" s="1"/>
  <c r="K149" i="106"/>
  <c r="L149" i="106" s="1"/>
  <c r="K148" i="106"/>
  <c r="L148" i="106" s="1"/>
  <c r="K144" i="106"/>
  <c r="L144" i="106" s="1"/>
  <c r="M143" i="106" s="1"/>
  <c r="K147" i="106"/>
  <c r="L147" i="106" s="1"/>
  <c r="K145" i="106"/>
  <c r="L145" i="106" s="1"/>
  <c r="K150" i="106"/>
  <c r="L150" i="106" s="1"/>
  <c r="K146" i="106"/>
  <c r="L146" i="106" s="1"/>
  <c r="K24" i="119"/>
  <c r="L24" i="119" s="1"/>
  <c r="K22" i="119"/>
  <c r="L22" i="119" s="1"/>
  <c r="K21" i="119"/>
  <c r="L21" i="119" s="1"/>
  <c r="K34" i="119"/>
  <c r="L34" i="119" s="1"/>
  <c r="K36" i="119"/>
  <c r="L36" i="119" s="1"/>
  <c r="K33" i="119"/>
  <c r="L33" i="119" s="1"/>
  <c r="K37" i="119"/>
  <c r="L37" i="119" s="1"/>
  <c r="K73" i="119"/>
  <c r="L73" i="119" s="1"/>
  <c r="K74" i="119"/>
  <c r="L74" i="119" s="1"/>
  <c r="K70" i="119"/>
  <c r="L70" i="119" s="1"/>
  <c r="M69" i="119" s="1"/>
  <c r="F34" i="109"/>
  <c r="N42" i="119"/>
  <c r="K12" i="104"/>
  <c r="L12" i="104" s="1"/>
  <c r="K6" i="118"/>
  <c r="L6" i="118" s="1"/>
  <c r="K7" i="118"/>
  <c r="L7" i="118" s="1"/>
  <c r="K10" i="118"/>
  <c r="L10" i="118" s="1"/>
  <c r="K9" i="118"/>
  <c r="L9" i="118" s="1"/>
  <c r="K35" i="119"/>
  <c r="L35" i="119" s="1"/>
  <c r="K23" i="119"/>
  <c r="L23" i="119" s="1"/>
  <c r="K28" i="104"/>
  <c r="L28" i="104" s="1"/>
  <c r="K8" i="119"/>
  <c r="L8" i="119" s="1"/>
  <c r="K13" i="119"/>
  <c r="L13" i="119" s="1"/>
  <c r="K11" i="104"/>
  <c r="L11" i="104" s="1"/>
  <c r="F73" i="113"/>
  <c r="K5" i="90"/>
  <c r="L5" i="90" s="1"/>
  <c r="M5" i="90" s="1"/>
  <c r="K129" i="106"/>
  <c r="L129" i="106" s="1"/>
  <c r="K128" i="106"/>
  <c r="L128" i="106" s="1"/>
  <c r="K130" i="106"/>
  <c r="L130" i="106" s="1"/>
  <c r="K131" i="106"/>
  <c r="M91" i="119"/>
  <c r="K25" i="104"/>
  <c r="L25" i="104" s="1"/>
  <c r="K26" i="104"/>
  <c r="L26" i="104" s="1"/>
  <c r="K27" i="104"/>
  <c r="L27" i="104" s="1"/>
  <c r="K24" i="104"/>
  <c r="L24" i="104" s="1"/>
  <c r="K10" i="119"/>
  <c r="L10" i="119" s="1"/>
  <c r="K56" i="119"/>
  <c r="L56" i="119" s="1"/>
  <c r="K54" i="119"/>
  <c r="L54" i="119" s="1"/>
  <c r="K63" i="119"/>
  <c r="L63" i="119" s="1"/>
  <c r="K58" i="119"/>
  <c r="L58" i="119" s="1"/>
  <c r="K53" i="119"/>
  <c r="L53" i="119" s="1"/>
  <c r="K55" i="119"/>
  <c r="L55" i="119" s="1"/>
  <c r="K64" i="119"/>
  <c r="L64" i="119" s="1"/>
  <c r="K57" i="119"/>
  <c r="L57" i="119" s="1"/>
  <c r="K52" i="119"/>
  <c r="L52" i="119" s="1"/>
  <c r="F76" i="113"/>
  <c r="K80" i="119"/>
  <c r="L80" i="119" s="1"/>
  <c r="K88" i="106"/>
  <c r="L88" i="106" s="1"/>
  <c r="K18" i="118"/>
  <c r="L18" i="118" s="1"/>
  <c r="K151" i="106"/>
  <c r="L151" i="106" s="1"/>
  <c r="K59" i="119"/>
  <c r="L59" i="119" s="1"/>
  <c r="K62" i="119"/>
  <c r="L62" i="119" s="1"/>
  <c r="K82" i="119"/>
  <c r="L82" i="119" s="1"/>
  <c r="K28" i="119"/>
  <c r="L28" i="119" s="1"/>
  <c r="K25" i="119"/>
  <c r="L25" i="119" s="1"/>
  <c r="K32" i="106"/>
  <c r="L32" i="106" s="1"/>
  <c r="M30" i="106" s="1"/>
  <c r="J19" i="90"/>
  <c r="K17" i="90" s="1"/>
  <c r="L17" i="90" s="1"/>
  <c r="K100" i="106"/>
  <c r="L100" i="106" s="1"/>
  <c r="K98" i="106"/>
  <c r="L98" i="106" s="1"/>
  <c r="M97" i="106" s="1"/>
  <c r="K74" i="106"/>
  <c r="L74" i="106" s="1"/>
  <c r="K79" i="106"/>
  <c r="L79" i="106" s="1"/>
  <c r="K77" i="106"/>
  <c r="L77" i="106" s="1"/>
  <c r="K16" i="119"/>
  <c r="L16" i="119" s="1"/>
  <c r="K9" i="119"/>
  <c r="L9" i="119" s="1"/>
  <c r="K15" i="119"/>
  <c r="L15" i="119" s="1"/>
  <c r="K138" i="106"/>
  <c r="L138" i="106" s="1"/>
  <c r="M136" i="106" s="1"/>
  <c r="K19" i="118"/>
  <c r="L19" i="118" s="1"/>
  <c r="K27" i="119"/>
  <c r="L27" i="119" s="1"/>
  <c r="K107" i="106"/>
  <c r="L107" i="106" s="1"/>
  <c r="K105" i="106"/>
  <c r="L105" i="106" s="1"/>
  <c r="K103" i="106"/>
  <c r="L103" i="106" s="1"/>
  <c r="K75" i="106"/>
  <c r="L75" i="106" s="1"/>
  <c r="K72" i="106"/>
  <c r="L72" i="106" s="1"/>
  <c r="K71" i="106"/>
  <c r="L71" i="106" s="1"/>
  <c r="K11" i="119"/>
  <c r="L11" i="119" s="1"/>
  <c r="K14" i="119"/>
  <c r="L14" i="119" s="1"/>
  <c r="K7" i="119"/>
  <c r="L7" i="119" s="1"/>
  <c r="K73" i="106"/>
  <c r="L73" i="106" s="1"/>
  <c r="K70" i="106"/>
  <c r="L70" i="106" s="1"/>
  <c r="K69" i="106"/>
  <c r="L69" i="106" s="1"/>
  <c r="K12" i="119"/>
  <c r="L12" i="119" s="1"/>
  <c r="K6" i="119"/>
  <c r="L6" i="119" s="1"/>
  <c r="M6" i="119" s="1"/>
  <c r="I81" i="117" l="1"/>
  <c r="I72" i="117"/>
  <c r="I127" i="117"/>
  <c r="I80" i="117"/>
  <c r="I83" i="117"/>
  <c r="I75" i="117"/>
  <c r="I71" i="117"/>
  <c r="I82" i="117"/>
  <c r="I73" i="117"/>
  <c r="I39" i="117"/>
  <c r="I84" i="117"/>
  <c r="I40" i="117"/>
  <c r="I74" i="117"/>
  <c r="I32" i="116"/>
  <c r="I33" i="116"/>
  <c r="I35" i="116" s="1"/>
  <c r="N30" i="106"/>
  <c r="E6" i="109"/>
  <c r="N69" i="119"/>
  <c r="E9" i="109"/>
  <c r="N66" i="106"/>
  <c r="E10" i="109"/>
  <c r="N84" i="106"/>
  <c r="E11" i="109"/>
  <c r="N97" i="106"/>
  <c r="E14" i="109"/>
  <c r="N136" i="106"/>
  <c r="N143" i="106"/>
  <c r="E5" i="109"/>
  <c r="N19" i="106"/>
  <c r="M5" i="104"/>
  <c r="N5" i="104" s="1"/>
  <c r="K19" i="90"/>
  <c r="L19" i="90" s="1"/>
  <c r="K15" i="90"/>
  <c r="L15" i="90" s="1"/>
  <c r="M52" i="119"/>
  <c r="M33" i="119"/>
  <c r="M113" i="106"/>
  <c r="M5" i="106"/>
  <c r="K16" i="90"/>
  <c r="L16" i="90" s="1"/>
  <c r="N6" i="119"/>
  <c r="F31" i="109"/>
  <c r="N91" i="119"/>
  <c r="F37" i="109"/>
  <c r="M128" i="106"/>
  <c r="K20" i="90"/>
  <c r="L20" i="90" s="1"/>
  <c r="N40" i="106"/>
  <c r="E7" i="109"/>
  <c r="M23" i="104"/>
  <c r="N23" i="104" s="1"/>
  <c r="M5" i="118"/>
  <c r="N5" i="118" s="1"/>
  <c r="M79" i="119"/>
  <c r="K14" i="90"/>
  <c r="L14" i="90" s="1"/>
  <c r="M15" i="118"/>
  <c r="N15" i="118" s="1"/>
  <c r="K18" i="90"/>
  <c r="L18" i="90" s="1"/>
  <c r="F22" i="109"/>
  <c r="N5" i="90"/>
  <c r="M21" i="119"/>
  <c r="M50" i="106"/>
  <c r="F31" i="113"/>
  <c r="F78" i="113"/>
  <c r="F140" i="113" s="1"/>
  <c r="I76" i="117" l="1"/>
  <c r="I129" i="117" s="1"/>
  <c r="I41" i="117"/>
  <c r="I49" i="117"/>
  <c r="I47" i="117"/>
  <c r="I48" i="117"/>
  <c r="I44" i="117"/>
  <c r="I64" i="117"/>
  <c r="I51" i="117"/>
  <c r="I50" i="117"/>
  <c r="I45" i="117"/>
  <c r="I46" i="117"/>
  <c r="I75" i="116"/>
  <c r="I83" i="116"/>
  <c r="I82" i="116"/>
  <c r="I74" i="116"/>
  <c r="I80" i="116"/>
  <c r="I84" i="116"/>
  <c r="I127" i="116"/>
  <c r="I40" i="116"/>
  <c r="I71" i="116"/>
  <c r="I73" i="116"/>
  <c r="I72" i="116"/>
  <c r="I39" i="116"/>
  <c r="I81" i="116"/>
  <c r="M30" i="104"/>
  <c r="M31" i="104" s="1"/>
  <c r="N128" i="106"/>
  <c r="E13" i="109"/>
  <c r="F33" i="109"/>
  <c r="N33" i="119"/>
  <c r="E8" i="109"/>
  <c r="N50" i="106"/>
  <c r="N21" i="119"/>
  <c r="F32" i="109"/>
  <c r="F36" i="109"/>
  <c r="N79" i="119"/>
  <c r="E4" i="109"/>
  <c r="N5" i="106"/>
  <c r="F35" i="109"/>
  <c r="N52" i="119"/>
  <c r="F41" i="113"/>
  <c r="D89" i="113"/>
  <c r="F89" i="113" s="1"/>
  <c r="F65" i="113"/>
  <c r="F42" i="113"/>
  <c r="D88" i="113"/>
  <c r="F88" i="113" s="1"/>
  <c r="F44" i="113"/>
  <c r="F39" i="113"/>
  <c r="F40" i="113"/>
  <c r="F45" i="113"/>
  <c r="D83" i="113" s="1"/>
  <c r="F83" i="113" s="1"/>
  <c r="D85" i="113"/>
  <c r="F85" i="113" s="1"/>
  <c r="F38" i="113"/>
  <c r="F43" i="113"/>
  <c r="M14" i="90"/>
  <c r="E12" i="109"/>
  <c r="N113" i="106"/>
  <c r="M15" i="104"/>
  <c r="M16" i="104" s="1"/>
  <c r="I52" i="117" l="1"/>
  <c r="I65" i="117" s="1"/>
  <c r="E17" i="109"/>
  <c r="E16" i="109"/>
  <c r="F40" i="109"/>
  <c r="I102" i="117" s="1"/>
  <c r="I76" i="116"/>
  <c r="I129" i="116" s="1"/>
  <c r="I41" i="116"/>
  <c r="D84" i="113"/>
  <c r="F84" i="113" s="1"/>
  <c r="I60" i="116"/>
  <c r="I66" i="116" s="1"/>
  <c r="F24" i="109"/>
  <c r="F25" i="109" s="1"/>
  <c r="F26" i="109" s="1"/>
  <c r="N14" i="90"/>
  <c r="I60" i="117"/>
  <c r="I66" i="117" s="1"/>
  <c r="F46" i="113"/>
  <c r="F66" i="113" s="1"/>
  <c r="F68" i="113"/>
  <c r="I67" i="117" l="1"/>
  <c r="I128" i="117" s="1"/>
  <c r="I102" i="116"/>
  <c r="I64" i="116"/>
  <c r="I49" i="116"/>
  <c r="I44" i="116"/>
  <c r="I50" i="116"/>
  <c r="I47" i="116"/>
  <c r="I46" i="116"/>
  <c r="I45" i="116"/>
  <c r="I48" i="116"/>
  <c r="I51" i="116"/>
  <c r="F90" i="113"/>
  <c r="I101" i="116"/>
  <c r="I101" i="117"/>
  <c r="I100" i="116"/>
  <c r="I100" i="117"/>
  <c r="F139" i="113"/>
  <c r="D86" i="113"/>
  <c r="F86" i="113" s="1"/>
  <c r="F87" i="113" s="1"/>
  <c r="F98" i="113"/>
  <c r="F96" i="113"/>
  <c r="F99" i="113"/>
  <c r="F97" i="113"/>
  <c r="F100" i="113"/>
  <c r="I85" i="117" l="1"/>
  <c r="I86" i="117" s="1"/>
  <c r="I94" i="117" s="1"/>
  <c r="I96" i="117" s="1"/>
  <c r="I130" i="117" s="1"/>
  <c r="I104" i="117"/>
  <c r="I131" i="117" s="1"/>
  <c r="I104" i="116"/>
  <c r="I52" i="116"/>
  <c r="I65" i="116" s="1"/>
  <c r="I67" i="116" s="1"/>
  <c r="F102" i="113"/>
  <c r="F111" i="113" s="1"/>
  <c r="F113" i="113" s="1"/>
  <c r="I132" i="117" l="1"/>
  <c r="I108" i="117"/>
  <c r="I109" i="117" s="1"/>
  <c r="I131" i="116"/>
  <c r="I85" i="116"/>
  <c r="I86" i="116" s="1"/>
  <c r="I94" i="116" s="1"/>
  <c r="I96" i="116" s="1"/>
  <c r="I128" i="116"/>
  <c r="F141" i="113"/>
  <c r="F143" i="113" s="1"/>
  <c r="D124" i="113"/>
  <c r="I130" i="116" l="1"/>
  <c r="I132" i="116" s="1"/>
  <c r="I108" i="116"/>
  <c r="I109" i="116" s="1"/>
  <c r="I119" i="116" s="1"/>
  <c r="I121" i="116" s="1"/>
  <c r="I119" i="117"/>
  <c r="I121" i="117" s="1"/>
  <c r="D126" i="113"/>
  <c r="F126" i="113" s="1"/>
  <c r="F124" i="113"/>
  <c r="D125" i="113"/>
  <c r="F125" i="113" s="1"/>
  <c r="I111" i="116" l="1"/>
  <c r="I113" i="116"/>
  <c r="I112" i="116"/>
  <c r="I123" i="116"/>
  <c r="F128" i="113"/>
  <c r="F129" i="113"/>
  <c r="F130" i="113"/>
  <c r="I112" i="117"/>
  <c r="I111" i="117"/>
  <c r="I123" i="117"/>
  <c r="I113" i="117"/>
  <c r="F132" i="113"/>
  <c r="F144" i="113" s="1"/>
  <c r="F145" i="113" s="1"/>
  <c r="F147" i="113" s="1"/>
  <c r="I114" i="117" l="1"/>
  <c r="I133" i="117" s="1"/>
  <c r="I134" i="117" s="1"/>
  <c r="I135" i="117" s="1"/>
  <c r="F6" i="120" s="1"/>
  <c r="G6" i="120" s="1"/>
  <c r="H6" i="120" s="1"/>
  <c r="I114" i="116"/>
  <c r="I133" i="116" s="1"/>
  <c r="I134" i="116" s="1"/>
  <c r="I157" i="117" l="1"/>
  <c r="I157" i="116"/>
  <c r="I135" i="116"/>
  <c r="F4" i="120" s="1"/>
  <c r="G4" i="120" s="1"/>
  <c r="H4" i="120" s="1"/>
  <c r="H7" i="120" s="1"/>
  <c r="G7" i="120" l="1"/>
</calcChain>
</file>

<file path=xl/sharedStrings.xml><?xml version="1.0" encoding="utf-8"?>
<sst xmlns="http://schemas.openxmlformats.org/spreadsheetml/2006/main" count="2091" uniqueCount="471">
  <si>
    <t>R$ Unit.</t>
  </si>
  <si>
    <t>EMPRESA/CNPJ</t>
  </si>
  <si>
    <t>R$ Referência</t>
  </si>
  <si>
    <t>R$ Total</t>
  </si>
  <si>
    <t>ITEM LIC. / P. COM.</t>
  </si>
  <si>
    <t>UASG - ÓRGÃO/FONE - CONTATO</t>
  </si>
  <si>
    <t>QNT</t>
  </si>
  <si>
    <t>CÓDIGO:</t>
  </si>
  <si>
    <t>OBJETO:</t>
  </si>
  <si>
    <t>DATA (Prop./Hom.)</t>
  </si>
  <si>
    <t>GPO</t>
  </si>
  <si>
    <t>UNIDADE:</t>
  </si>
  <si>
    <t xml:space="preserve">R$ </t>
  </si>
  <si>
    <t>R$¹</t>
  </si>
  <si>
    <t>R$²</t>
  </si>
  <si>
    <t>ITEM</t>
  </si>
  <si>
    <t>UNIDADE</t>
  </si>
  <si>
    <t>SÃO PAULO/SP</t>
  </si>
  <si>
    <t>PAR</t>
  </si>
  <si>
    <t>GTAF-SP/SAF</t>
  </si>
  <si>
    <t>COPEIRA</t>
  </si>
  <si>
    <t>A</t>
  </si>
  <si>
    <t>B</t>
  </si>
  <si>
    <t>C</t>
  </si>
  <si>
    <t>D</t>
  </si>
  <si>
    <t>Adicional noturno</t>
  </si>
  <si>
    <t>E</t>
  </si>
  <si>
    <t>F</t>
  </si>
  <si>
    <t>G</t>
  </si>
  <si>
    <t>H</t>
  </si>
  <si>
    <t>TOTAL</t>
  </si>
  <si>
    <t>Uniformes</t>
  </si>
  <si>
    <t>Materiais</t>
  </si>
  <si>
    <t>4.1</t>
  </si>
  <si>
    <t>%</t>
  </si>
  <si>
    <t>SEBRAE</t>
  </si>
  <si>
    <t>4.2</t>
  </si>
  <si>
    <t>Outros (especificar)</t>
  </si>
  <si>
    <t>Outros (Especificar)</t>
  </si>
  <si>
    <t>CATEGORIA PROFISSIONAL - Copeira</t>
  </si>
  <si>
    <t xml:space="preserve"> Processo:</t>
  </si>
  <si>
    <t>Pregão  n.º</t>
  </si>
  <si>
    <t>Data:</t>
  </si>
  <si>
    <t>DISCRIMINAÇÃO DOS SERVIÇOS - DADOS REFERENTES À CONTRATAÇÃO</t>
  </si>
  <si>
    <t>A - Data da Apresentação da Proposta</t>
  </si>
  <si>
    <t>F - N.º de Meses da Execução Contratual</t>
  </si>
  <si>
    <t>B - Munícipio/UF</t>
  </si>
  <si>
    <t>G - Categoria Profissional (vinculada à execução do contrato)</t>
  </si>
  <si>
    <t>C - SINDICATO (Acordo, Convenção Coletivo ou Sentença Normativa em Dissídio Coletivo)</t>
  </si>
  <si>
    <t>H - Data-base da categoria (dia/mês/ano)</t>
  </si>
  <si>
    <t xml:space="preserve"> </t>
  </si>
  <si>
    <t>D - Número Registro M.T.E</t>
  </si>
  <si>
    <t>I - Salário-mínimo oficial vigente: piso da categoria</t>
  </si>
  <si>
    <t>E - Tipo de serviço</t>
  </si>
  <si>
    <t>J - Classificação Brasileira de Ocupações (CBO)</t>
  </si>
  <si>
    <t>REGIME DE TRIBUTAÇÃO DO PROPONENTE</t>
  </si>
  <si>
    <t>LUCRO PRESUMIDO</t>
  </si>
  <si>
    <t>LUCRO REAL</t>
  </si>
  <si>
    <t>SIMPLES</t>
  </si>
  <si>
    <t>MÓDULO 1 : COMPOSIÇÃO DA REMUNERAÇÃO</t>
  </si>
  <si>
    <t>Composição da Remuneração</t>
  </si>
  <si>
    <t>Valor (R$)</t>
  </si>
  <si>
    <t>Salário Base</t>
  </si>
  <si>
    <t>Adicional de periculosidade</t>
  </si>
  <si>
    <t>Adicional de insalubridade</t>
  </si>
  <si>
    <t>Adicional de hora noturna reduzida</t>
  </si>
  <si>
    <t>Adicional de hora extra no feriado trabalhado</t>
  </si>
  <si>
    <t>MÓDULO 2: ENCARGOS E BENEFÍCIOS ANUAIS, MENSAIS E DIÁRIOS</t>
  </si>
  <si>
    <t>Submódulo 2.1 - 13º salário, férias e adicional de férias</t>
  </si>
  <si>
    <t>2.1</t>
  </si>
  <si>
    <t>13º Salário, férias e adicional de férias</t>
  </si>
  <si>
    <t xml:space="preserve">A </t>
  </si>
  <si>
    <t>Décimo terceiro salário</t>
  </si>
  <si>
    <t>1/12 = 8,3333%</t>
  </si>
  <si>
    <t>Férias e adicional de férias</t>
  </si>
  <si>
    <t xml:space="preserve">1/3 = </t>
  </si>
  <si>
    <t>Submódulo 2.2 - Encargos previdenciários (GPS), fundo de Garantia por Tempo de Serviço (FGTS) e outras contribuições</t>
  </si>
  <si>
    <t>2.2</t>
  </si>
  <si>
    <t>GPS, FGTS e outras contribuições</t>
  </si>
  <si>
    <t>INSS</t>
  </si>
  <si>
    <t>Salário Educação</t>
  </si>
  <si>
    <t>Seguro acidente do trabalho</t>
  </si>
  <si>
    <t>SESI ou SESC</t>
  </si>
  <si>
    <t>SENAI ou SENAC</t>
  </si>
  <si>
    <t>INCRA</t>
  </si>
  <si>
    <t>FGTS</t>
  </si>
  <si>
    <t>Nota (1) - Os percentuais dos encargos previdenciários e FGTS são aqueles estabelecidos pela legislação vigente.</t>
  </si>
  <si>
    <t>Nota (2) - O SAT a depender do grau de risco do serviço irá varia entre 1%, para risco leve, de 2%, para risco médio, e de 3% para risco grave.</t>
  </si>
  <si>
    <t>Submódulo 2.3 - Benefícios Mensais e Diários</t>
  </si>
  <si>
    <t>2.3</t>
  </si>
  <si>
    <t>Benefícios Mensais e Diários</t>
  </si>
  <si>
    <t>Transporte</t>
  </si>
  <si>
    <t>Auxílio alimentação (Vales, cesta básica etc.)</t>
  </si>
  <si>
    <t>Cesta Básica</t>
  </si>
  <si>
    <t>Seguro de vida, invalidez e funeral</t>
  </si>
  <si>
    <t>Nota 2: Observar a previsão dos benefícios contidos em Acordos, Conveções e Dissídios Coletivos de Trabalho e atentar-se ao disposto no art. 6º da IN 05/2017.</t>
  </si>
  <si>
    <t>Quadro Resumo do Módulo 2 - Encagos e Benefícios anuais, mensais e diários</t>
  </si>
  <si>
    <t>Encargos e Benefícios anuais, mensais e diários</t>
  </si>
  <si>
    <t>Módulo 3 - Provisão para Rescisão</t>
  </si>
  <si>
    <t>3.1</t>
  </si>
  <si>
    <t>Aviso Prévio Indenizado</t>
  </si>
  <si>
    <t xml:space="preserve">Aviso prévio indenizado </t>
  </si>
  <si>
    <t xml:space="preserve">Incidência do FGTS sobre aviso prévio indenizado </t>
  </si>
  <si>
    <t xml:space="preserve">Aviso prévio trabalhado </t>
  </si>
  <si>
    <t>Incidência do submódulo 2.2 sobre aviso prévio trabalhado</t>
  </si>
  <si>
    <t>Base de Cálculo: modulo 1 + módulo 2</t>
  </si>
  <si>
    <t>Aviso prévio indenizado - Base de cálculo: modulo 1 + modulo 2 (sem GPS)</t>
  </si>
  <si>
    <t>Incidência do FGTS sobre aviso prévio indenizado - BC:  API + multa</t>
  </si>
  <si>
    <t>Multa do FGTS e CS sobre aviso prévio indenizado: BC: mod. 1 + mdo. 2.1</t>
  </si>
  <si>
    <t>Aviso prévio trabalhado - Base de cálculo: modulo 1 + módulo 2</t>
  </si>
  <si>
    <t>Multa do FGTS e CS sobre aviso prévio trabalhado: BC: mod. 1 + mdo. 2.1</t>
  </si>
  <si>
    <t>Custo da demissão com justa causa - BC: VM`13º + VMP adicional</t>
  </si>
  <si>
    <t>Módulo 4 –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</si>
  <si>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</si>
  <si>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</si>
  <si>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</si>
  <si>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</si>
  <si>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Total de Insumos diversos</t>
  </si>
  <si>
    <t>Nota: Valores mensais por empregado.</t>
  </si>
  <si>
    <t>Módulo 6 - Custos Indiretos, Tributos e Lucro</t>
  </si>
  <si>
    <t xml:space="preserve">Custo Indireto (somatório da remuneração, beneficios mensais e diários, insumos diversos, encargos sociais e trabalhisas)  </t>
  </si>
  <si>
    <t xml:space="preserve"> Lucro (somatório da remuneração, beneficios mensais e diários, insumos diversos, encargos sociais e trabalhisas, custos indiretos) </t>
  </si>
  <si>
    <r>
      <rPr>
        <b/>
        <sz val="10"/>
        <rFont val="Arial"/>
        <family val="2"/>
      </rPr>
      <t>Base de cálculo (</t>
    </r>
    <r>
      <rPr>
        <sz val="10"/>
        <rFont val="Arial"/>
        <family val="2"/>
      </rPr>
      <t>somatório da remuneração, beneficios mensais e diários, insumos diversos, encargos sociais e trabalhisas, custos indiretos e lucro)</t>
    </r>
  </si>
  <si>
    <t>Esfera</t>
  </si>
  <si>
    <t>Sigla Tributo</t>
  </si>
  <si>
    <t>A - Tributos Federais  (especificar)</t>
  </si>
  <si>
    <t>Lucro Real  (PIS: 1,65)%</t>
  </si>
  <si>
    <t>Lucro Real  (PIS)</t>
  </si>
  <si>
    <t>Lucro Real (COFINS)</t>
  </si>
  <si>
    <t>B -Tributos Estaduais/Municipais (especificar)</t>
  </si>
  <si>
    <t>Lucro Real (ISS 5)%</t>
  </si>
  <si>
    <t>Lucro Real (ISS)</t>
  </si>
  <si>
    <t>C - Outros tributos (especificar)</t>
  </si>
  <si>
    <t>SUBTOTAL DE TRIBUTOS DE CUSTOS FIXOS</t>
  </si>
  <si>
    <t>2. QUADRO-RESUMO CUSTO POR EMPREGADO</t>
  </si>
  <si>
    <t>Mão-de-obra vinculada à execução contratual (valor por empregado)</t>
  </si>
  <si>
    <t>MÓDULO 1: COMPOSIÇÃO DA REMUNERAÇÃO</t>
  </si>
  <si>
    <t>MÓDULO 3: PROVISÃO PARA RESCISÃO</t>
  </si>
  <si>
    <t>MÓDULO 4: CUSTO DE REPOSIÇÃO DO PROFISSIONAL AUSENTE</t>
  </si>
  <si>
    <t>MÓDULO 5: INSUMOS DIVERSOS</t>
  </si>
  <si>
    <t>Subtotal (A+ B+ C+ D + E)</t>
  </si>
  <si>
    <t>MÓDULO 6: CUSTOS INDIRETOS, TRIBUTOS E LUCRO</t>
  </si>
  <si>
    <t>SIEMACO/SP</t>
  </si>
  <si>
    <t>SÃO PAULO</t>
  </si>
  <si>
    <t>CÁLCULO DO POSTO DE TRABALHO</t>
  </si>
  <si>
    <t>CÁLCULO DO FATOR K:</t>
  </si>
  <si>
    <t>O Fator K é um parâmetro usual de mercado para se estimar o custo de um serviço com base na remuneração do profissional que prestaria o serviço. Não existe um percentual fixo para o Fator K, pois este depende da estrutura de composição de preço definida tanto por requisitos legais quanto estratégicos da empresa.</t>
  </si>
  <si>
    <t>Nesse contexto, o TCU, conforme Acórdãos nº 1.753/2008 e nº 289/2018 - Plenário, entre outros, destaca como referência de custo, o Fator K, indicador de economicidade aplicado aos dispêndios com serviços terceirizados de natureza continuada, que corresponde à razão entre o custo total de um trabalhador (remuneração, encargos sociais, insumos, reserva técnica, despesas operacionais/administrativas, lucro e tributos) e sua própria remuneração. O Fator K, portanto, indica quantos reais são pagos pela Administração à contratada para cada real pago por esta ao trabalhador.</t>
  </si>
  <si>
    <t>Posto</t>
  </si>
  <si>
    <t>DESCRIÇÃO</t>
  </si>
  <si>
    <t>R$</t>
  </si>
  <si>
    <t>Assistência Odontológica</t>
  </si>
  <si>
    <t>www.fabricadeuniformes.com.br</t>
  </si>
  <si>
    <t>https://www.americanas.com.br</t>
  </si>
  <si>
    <t>https://www.kalunga.com.br</t>
  </si>
  <si>
    <t>Incidência de GPS, FGTS e outras contribuições sobre o Aviso Prévio Trabalhado</t>
  </si>
  <si>
    <t>Multa do FGTS e contribuição social sobre aviso prévio indenizado</t>
  </si>
  <si>
    <t>Multa do FGTS e contribuição social sobre aviso prévio trabalhado</t>
  </si>
  <si>
    <t>Substituto nas Ausências legais</t>
  </si>
  <si>
    <t>Substituto na cobertura  de Férias</t>
  </si>
  <si>
    <t>Substituto na cobertura  de Ausências legais</t>
  </si>
  <si>
    <t>Substituto na cobertura  de Licença paternidade</t>
  </si>
  <si>
    <t>Substituto na cobertura  de Ausência por Acidente de trabalho</t>
  </si>
  <si>
    <t>Substituto na cobertura  de Outras Ausências (especificar)</t>
  </si>
  <si>
    <t>Substituto na Intrajornada</t>
  </si>
  <si>
    <t>Substituto na cobertura de Afastamento maternidade</t>
  </si>
  <si>
    <t>Substituto na cobertura de Intervalo para repouso ou alimentação</t>
  </si>
  <si>
    <t xml:space="preserve">Equipamentos </t>
  </si>
  <si>
    <t>Nota (1) - O Módulo 1 refere-se ao valor mensal devido ao empregado pela prestação do serviço no período de 12 meses.</t>
  </si>
  <si>
    <t>Nota (1) - Como a planilha de custos e formação de preços é calculada mensalmente, provisiona-se proporcionalmente 1/12 (um doze avos) dos valores referentes a gratificação natalina, férias e adicional de férias.</t>
  </si>
  <si>
    <t>Nota (2) - O adicional de férias contido no Submódulo 2.1 corresponde a 1/3 (um terço) da remuneração que por sua vez é divido por 12 (doze) conforme Nota 1 acima.</t>
  </si>
  <si>
    <t>Nota (3) - Levando em consideração a vigência contratual prevista no art. 57 da Lei nº 8.666, de 23 de junho de 1993, a rubrica férias tem como objetivo principal suprir a necessidade do pagamento das férias remuneradas ao final do contrato de 12 meses. Esta rubrica, quando da prorrogação contratual, torna-se custo não renovável.</t>
  </si>
  <si>
    <t>Nota (3) - Esses percentuais incidem sobre o Módulo 1, o submódulo 2.1.</t>
  </si>
  <si>
    <t>Nota 1: o valor informado deverá ser o custo real do benefício (descontado o valor eventualmente pago pelo empregado).</t>
  </si>
  <si>
    <t xml:space="preserve">Nota 1: Os itens que contemplam o módulo 4 se referem ao custo dos dias trabalhados pelo repositor/substituto, quando o empregado alocado na prestação de serviço estiver ausente, conforme as previsões estabelecidas na legislação. </t>
  </si>
  <si>
    <t>Nota 1: Custos Indiretos, Tributos e Lucro por empregado.</t>
  </si>
  <si>
    <t>Nota 2: O valor referente a tributos é obtido aplicando-se o percentual sobre o valor do faturamento.</t>
  </si>
  <si>
    <t>IN 05/2017/SEGES/MPDG - ANEXO VII-D</t>
  </si>
  <si>
    <t>PLANILHA DE CUSTOS E FORMAÇÃO DE PREÇOS</t>
  </si>
  <si>
    <t>Discriminação dos Serviços</t>
  </si>
  <si>
    <t>Data de apresentação da proposta</t>
  </si>
  <si>
    <t>Município</t>
  </si>
  <si>
    <t>Ano do Acordo, Convenção ou Dissídio Coletivo</t>
  </si>
  <si>
    <t>Nº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</si>
  <si>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</si>
  <si>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</si>
  <si>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</si>
  <si>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</si>
  <si>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Dados para composição dos custos referentes à mão-de-obra</t>
  </si>
  <si>
    <t>Tipo de serviço (mesmo serviço com características distintas)</t>
  </si>
  <si>
    <t>Classificação Brasileira de Ocupações (CBO)</t>
  </si>
  <si>
    <t>Salário Nominativo da Categoria Profissional</t>
  </si>
  <si>
    <t>Categoria profissional (vinculada à execução contratual)</t>
  </si>
  <si>
    <t>Data base da categoria (dia/mês/ano)</t>
  </si>
  <si>
    <t>MÓDULO 1 - COMPOSIÇÃO DA REMUNERAÇÃO</t>
  </si>
  <si>
    <t>COMPOSIÇÃO DA REMUNERAÇÃO</t>
  </si>
  <si>
    <t>VALOR (R$)</t>
  </si>
  <si>
    <t xml:space="preserve">Adicional Periculosidade </t>
  </si>
  <si>
    <t>Adicional Insalubridade</t>
  </si>
  <si>
    <t>TOTAL DO MÓDULO 1</t>
  </si>
  <si>
    <t>MÓDULO 2 – ENCARGOS E BENEFÍCIOS ANUAIS, MENSAIS E DIÁRIOS</t>
  </si>
  <si>
    <t>Submódulo 2.1 - 13º Salário, Férias e Adicional de Férias</t>
  </si>
  <si>
    <t>Férias e Adicional de Férias  (Percentual obrigatório conforme Anexo XII - IN 5/17)</t>
  </si>
  <si>
    <t>TOTAL SUBMÓDULO 2.1</t>
  </si>
  <si>
    <t>Submódulo 2.2 - GPS, FGTS e Outras Contribuições</t>
  </si>
  <si>
    <t xml:space="preserve">INSS </t>
  </si>
  <si>
    <t xml:space="preserve">Salário Educação </t>
  </si>
  <si>
    <t>SAT (Seguro Acidente de Trabalho)</t>
  </si>
  <si>
    <t>SESC ou SESI</t>
  </si>
  <si>
    <t xml:space="preserve">SENAI - SENAC </t>
  </si>
  <si>
    <t xml:space="preserve">SEBRAE </t>
  </si>
  <si>
    <t xml:space="preserve">INCRA </t>
  </si>
  <si>
    <t xml:space="preserve">FGTS </t>
  </si>
  <si>
    <t>TOTAL SUBMÓDULO 2.2</t>
  </si>
  <si>
    <t>-</t>
  </si>
  <si>
    <t xml:space="preserve">Assistência Médica e Familiar </t>
  </si>
  <si>
    <t>Seguro de Vida</t>
  </si>
  <si>
    <t>TOTAL SUBMÓDULO 2.3</t>
  </si>
  <si>
    <t>QUADRO-RESUMO DO MÓDULO 2 - ENCARGOS, BENEFÍCIOS ANUAIS, MENSAIS E DIÁRIOS</t>
  </si>
  <si>
    <t>Módulo 2 - Encargos, Benefícios Anuais, Mensais e Diários</t>
  </si>
  <si>
    <t>13º Salário, Férias e Adicional de Férias</t>
  </si>
  <si>
    <t>GPS, FGTS e Outras Contribuições</t>
  </si>
  <si>
    <t>TOTAL DO MÓDULO 2</t>
  </si>
  <si>
    <t>MÓDULO 3 – PROVISÃO PARA RESCISÃO</t>
  </si>
  <si>
    <t>PROVISÃO PARA RESCISÃO</t>
  </si>
  <si>
    <t>Incidência do FGTS sobre Aviso Prévio Indenizado</t>
  </si>
  <si>
    <t xml:space="preserve">Aviso Prévio Trabalhado </t>
  </si>
  <si>
    <t>Multa sobre FGTS e contribuição social sobre o aviso prévio indenizado e sobre o aviso prévio trabalhado  (Percentual obrigatório conforme Anexo XII - IN 5/17)</t>
  </si>
  <si>
    <t>TOTAL DO MÓDULO 3</t>
  </si>
  <si>
    <t>MÓDULO 4 – CUSTO DE REPOSIÇÃO DO PROFISSIONAL AUSENTE</t>
  </si>
  <si>
    <t>Submódulo 4.1 - 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</si>
  <si>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</si>
  <si>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</si>
  <si>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</si>
  <si>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</si>
  <si>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</si>
  <si>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</si>
  <si>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TOTAL SUBMÓDULO 4.1</t>
  </si>
  <si>
    <t>Submódulo 4.2 - Intrajornada</t>
  </si>
  <si>
    <t xml:space="preserve"> Substituto na cobertura de 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</si>
  <si>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</si>
  <si>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</si>
  <si>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</si>
  <si>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Substituto nas Ausências Legais</t>
  </si>
  <si>
    <t>TOTAL DO MÓDULO 4</t>
  </si>
  <si>
    <t>MÓDULO 5 – INSUMOS DIVERSOS</t>
  </si>
  <si>
    <t>INSUMOS DIVERSOS</t>
  </si>
  <si>
    <t xml:space="preserve">Uniformes </t>
  </si>
  <si>
    <t>TOTAL DO MÓDULO 5</t>
  </si>
  <si>
    <t>MÓDULO 6 – CUSTOS INDIRETOS, TRIBUTOS E LUCRO</t>
  </si>
  <si>
    <t>CUSTOS INDIRETOS, TRIBUTOS E LUCRO</t>
  </si>
  <si>
    <t>Custos Indiretos</t>
  </si>
  <si>
    <t>Lucro</t>
  </si>
  <si>
    <t>TRIBUTOS</t>
  </si>
  <si>
    <t>C.1</t>
  </si>
  <si>
    <t>C.2</t>
  </si>
  <si>
    <t>C.3</t>
  </si>
  <si>
    <t>ISS</t>
  </si>
  <si>
    <t>TOTAL DO MÓDULO 6</t>
  </si>
  <si>
    <t>a)</t>
  </si>
  <si>
    <t>Tributos % = To = .............................................................</t>
  </si>
  <si>
    <t>b)</t>
  </si>
  <si>
    <t>(Total dos Módulos 1, 2, 3, 4 e 5+ Custos indiretos + lucro)= Po = ...................................</t>
  </si>
  <si>
    <t>c)</t>
  </si>
  <si>
    <t>Po / (1 - To) = P1 = ..............................................................................</t>
  </si>
  <si>
    <t>Valor dos Tributos = P1 - Po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</si>
  <si>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</si>
  <si>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</si>
  <si>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</si>
  <si>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</si>
  <si>
    <t>Quadro Resumo - VALOR MENSAL DOS SERVIÇOS</t>
  </si>
  <si>
    <t>Tipo de Serviço (A)</t>
  </si>
  <si>
    <t>Valor Por Empregado(B)</t>
  </si>
  <si>
    <t>Qde de Empregados por posto ( C )</t>
  </si>
  <si>
    <t>Valor Proposto por Posto (D) = (B x C)</t>
  </si>
  <si>
    <t>Qde Postos (E)</t>
  </si>
  <si>
    <t>Serviço 1 (indicar)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</si>
  <si>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</si>
  <si>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</si>
  <si>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</si>
  <si>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</si>
  <si>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</si>
  <si>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</si>
  <si>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</si>
  <si>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</si>
  <si>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</si>
  <si>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</si>
  <si>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</si>
  <si>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Nota(1):</t>
  </si>
  <si>
    <t>Informar o valor da unidade de medida por tipo de serviço.</t>
  </si>
  <si>
    <t>PIS (Lucro Presumido)</t>
  </si>
  <si>
    <t>COFINS (Lucro Presumido)</t>
  </si>
  <si>
    <t>Categoria profissional: Vigilante</t>
  </si>
  <si>
    <t>SÃO JOSÉ DOS CAMPOS</t>
  </si>
  <si>
    <t>VIGILÂNCIA DIURNA 12 X 36 - DESARMADA</t>
  </si>
  <si>
    <t>Vigilância Diurna 12x36 - Desarmada</t>
  </si>
  <si>
    <t>5173-30</t>
  </si>
  <si>
    <t>Vigilante</t>
  </si>
  <si>
    <t xml:space="preserve">13 (Décimo-terceiro) salário </t>
  </si>
  <si>
    <t>VIGILÂNCIA NOTURNA 12 X 36 - DESARMADA</t>
  </si>
  <si>
    <t>Vigilância Noturna 12x36 - Desarmada</t>
  </si>
  <si>
    <t>Adicional Noturno [(SalBase+AdPeric) x 20% x (7/12)]</t>
  </si>
  <si>
    <t>Adicional de Hora Noturna Reduzida [(SalBase+AdPeric) x 120% x (1/12)]</t>
  </si>
  <si>
    <t>(Total dos Módulos 1, 2, 3, 4 e 5+ Custos indiretos + Lucro)= Po = ...................................</t>
  </si>
  <si>
    <t xml:space="preserve">Adicional de Hora Noturna Reduzida </t>
  </si>
  <si>
    <t xml:space="preserve">Adicional Noturno </t>
  </si>
  <si>
    <t>SEGURANÇA DIURNO 24H (12 x 36)</t>
  </si>
  <si>
    <t>R$ Pesquisado</t>
  </si>
  <si>
    <t>VIGILÂNCIA DESARMADA</t>
  </si>
  <si>
    <t>12520/2018</t>
  </si>
  <si>
    <t>Sim</t>
  </si>
  <si>
    <t>12/2018</t>
  </si>
  <si>
    <t>240129 - CENTRO DE TEC. DA INFORMAçAO RENATO ARCHER</t>
  </si>
  <si>
    <t>SEGURANÇA NOTURNO 24H (12 x 36)</t>
  </si>
  <si>
    <t xml:space="preserve">PESQUISA DE PREÇOS DE SEGURANÇA </t>
  </si>
  <si>
    <t>2710/2019</t>
  </si>
  <si>
    <t>ORPAN - ORGANIZAÇÃO PANAMERICANA DE SEG PATRIMONIAL / 05.137.100/0001-88</t>
  </si>
  <si>
    <t>01/03/2019</t>
  </si>
  <si>
    <t>158710 - INST. FED. DE SÃO PAULO/CAMPUS BOITUVA</t>
  </si>
  <si>
    <t>PESQUISA DE PREÇOS DE SEGURO DE VIDA EM GRUPO</t>
  </si>
  <si>
    <t>1526/2019</t>
  </si>
  <si>
    <t>30/01/2019</t>
  </si>
  <si>
    <t>158526 - INST.FED. SAO PAULO - CAMPUS ITAPETININGA</t>
  </si>
  <si>
    <t>CENTURION SEGURANCA E VIGILANCIA LTDA. 67.668.194/0001-79</t>
  </si>
  <si>
    <t>06/2015</t>
  </si>
  <si>
    <t>02/04/2015</t>
  </si>
  <si>
    <t>113214 - AGÊNCIA NACIONAL DE AVIAÇÃO CIVIL - ANAC</t>
  </si>
  <si>
    <t xml:space="preserve">CUSTO MENSAL ESTIMADO PARA A CONTRAÇÃO </t>
  </si>
  <si>
    <t>CUSTO ANUAL ESTIMADO PARA A CONTRAÇÃO</t>
  </si>
  <si>
    <t>PESQUISA DE PREÇOS DO UNIFORME PARA SERVIÇO DE VIGILÂNCIA</t>
  </si>
  <si>
    <t>MEDIDA:</t>
  </si>
  <si>
    <t>CALÇA</t>
  </si>
  <si>
    <t>https://www.usemilitar.com.br</t>
  </si>
  <si>
    <t>CAMISA MANGA COMPRIDA</t>
  </si>
  <si>
    <t>CAMISA DE MANGA  CURTA</t>
  </si>
  <si>
    <t>https://www.citerol.com.br</t>
  </si>
  <si>
    <t>CAMISETA DE ALGODÃO DE MANGA CURTA</t>
  </si>
  <si>
    <t>https://www.militarbrasil.com.br</t>
  </si>
  <si>
    <t>CINTO DE NYLON</t>
  </si>
  <si>
    <t xml:space="preserve">SAPATOS </t>
  </si>
  <si>
    <t>MEIAS</t>
  </si>
  <si>
    <t>QUEPE OU BONÉ COM EMBLEMA</t>
  </si>
  <si>
    <t>JAQUETA OU JAPONA PARA O FRIO</t>
  </si>
  <si>
    <t>CRACHÁ DE IDENTIFICAÇÃO</t>
  </si>
  <si>
    <t>DISTINTIVO TIPO BROCHE</t>
  </si>
  <si>
    <t>CAPA PARA COLETE BALÍSTICO</t>
  </si>
  <si>
    <t>PESQUISA DE PREÇOS DE EQUIPAMENTOS PARA SERVIÇO DE VIGILÂNCIA</t>
  </si>
  <si>
    <t>APARELHO CELULAR OU SIMILAR</t>
  </si>
  <si>
    <t xml:space="preserve">SISTEMA DE RONDA ELETRÔNICO </t>
  </si>
  <si>
    <t>CONJUNTO</t>
  </si>
  <si>
    <t>https://lojadoponto.com.br</t>
  </si>
  <si>
    <t>LIVRO DE OCORRÊNCIA</t>
  </si>
  <si>
    <t>CANETA</t>
  </si>
  <si>
    <t>PESQUISA DE PREÇOS DE MATERIAIS DE APOIO PARA SERVIÇO DE VIGILÂNCIA</t>
  </si>
  <si>
    <t>CASSETETE</t>
  </si>
  <si>
    <t>PORTA-CASSETETE</t>
  </si>
  <si>
    <t>APITO</t>
  </si>
  <si>
    <t>CORDÃO DE APITO</t>
  </si>
  <si>
    <t>LANTERNA COM PILHAS</t>
  </si>
  <si>
    <t>COLETE BALÍSTICO DE USO PERMITIDO</t>
  </si>
  <si>
    <t>https://www.cayanarmas.com.br/</t>
  </si>
  <si>
    <t>CAYAN ADVENTURE - 25.345.120/0001-51</t>
  </si>
  <si>
    <t>SEGURO DE VIDA EM GRUPO</t>
  </si>
  <si>
    <t>158347 - INST FED.DE SAO PAULO/CAMPUS CAMPOS DE JORDãO</t>
  </si>
  <si>
    <t>1347/2019</t>
  </si>
  <si>
    <t>MRS SEGURANCA E VIGILANCIA PATRIMONIAL EIRELI / 19.210.884/0001-37</t>
  </si>
  <si>
    <t>25/04/2019</t>
  </si>
  <si>
    <t>158582 - INST.FEDERAL DE SÃO PAULO/CAMPUS AVARÉ</t>
  </si>
  <si>
    <t>3582/2019</t>
  </si>
  <si>
    <t>DUNBAR SERVICOS DE SEGURANCA - EIRELI / 13.649.411/0001-54</t>
  </si>
  <si>
    <t>19/03/2019</t>
  </si>
  <si>
    <t>158520 - INST.FED.SAO PAULO - CAMPUS CATANDUVA</t>
  </si>
  <si>
    <t>PAULISTANA SEGURANCA PATRIMONIAL LTDA / 13.593.220/0001-18</t>
  </si>
  <si>
    <t>17/01/2019</t>
  </si>
  <si>
    <t>ASSISTÊNCIA MÉDICA</t>
  </si>
  <si>
    <t>20/12/2018</t>
  </si>
  <si>
    <t>SECURITY SEGURANCA LTDA / 00.332.087/0001-02</t>
  </si>
  <si>
    <t>https://lojavigilanteqap.com.br/</t>
  </si>
  <si>
    <t>ANDRESSA VELOZO E SILVA / 26.418.500/0001-31</t>
  </si>
  <si>
    <t>Prop. Com.</t>
  </si>
  <si>
    <t>24/10/2019</t>
  </si>
  <si>
    <t>http://www.vigilanteshop.com.br</t>
  </si>
  <si>
    <t>VIGILANTE SHOP COMERCIO DE PRODUTOS DE SEGURANCA LTDA / 97.553.284/0001-85</t>
  </si>
  <si>
    <t>L. R. C. CONFECÇÕES LTDA / 05.164.345/0001-02</t>
  </si>
  <si>
    <t>http://www.comandosartmil.com.br/A-Empresa</t>
  </si>
  <si>
    <t>IGOR BRUDNA EIRELI / 09.688.544/0001-62</t>
  </si>
  <si>
    <t>FMC INDÚSTRIA E COMÉRCIO LTDA / 09.285.251/0001-34</t>
  </si>
  <si>
    <t>https://www.couroart.com.br</t>
  </si>
  <si>
    <t>ALBATROZ SEGURANCA E VIGILANCIA LTDA / 66.700.295/0001-17</t>
  </si>
  <si>
    <t>18/12/2015</t>
  </si>
  <si>
    <t>01/2016</t>
  </si>
  <si>
    <t>https://www.giloplastic.com.br</t>
  </si>
  <si>
    <t>GILOPLASTIC IND. E COM. DE BENEF. PLASTICO LTDA / 00.442.242/0001-35</t>
  </si>
  <si>
    <t>http://www.lojapramil.com.br</t>
  </si>
  <si>
    <t>PRAMIL / (21) 3357-1465</t>
  </si>
  <si>
    <t>CITEROL S/A / 17.183.666/0001-25</t>
  </si>
  <si>
    <t>25/10/2019</t>
  </si>
  <si>
    <t>USE MILITAR &amp; OUTDOOR LTDA / 14.588.426/0001-12</t>
  </si>
  <si>
    <t>VEXT COMERCIO DE EQUIPAMENTOS ELETRONICOS E SISTEMAS / 15.077.663/0001-81</t>
  </si>
  <si>
    <t>http://vext.com.br</t>
  </si>
  <si>
    <t>LOJADOPONTO TECNOLOGIA EIRELI-ME / 27.283673/0001-52</t>
  </si>
  <si>
    <t>https://www.rondel.com.br</t>
  </si>
  <si>
    <t>RONDEL TECNOLOGIA  E COMERCIO LTDA / 59.205.971/0001-10</t>
  </si>
  <si>
    <t>LOJAS AMERICANAS</t>
  </si>
  <si>
    <t>https://loja.meupositivo.com.br</t>
  </si>
  <si>
    <t>POSITIVO TECNOLOGIA S.A. / 81.243.735/0001-48</t>
  </si>
  <si>
    <t>KALUNGA COMERCIO E INDUSTRIA LTDA / 43.283.811/0023-65</t>
  </si>
  <si>
    <t>https://www.gimba.com.br</t>
  </si>
  <si>
    <t>SUPRICORP SUPRIMENTOS LTDA / 54.651.716/0011-50</t>
  </si>
  <si>
    <t>BRS SP SUPRIMENTOS CORPORATIVOS LTDA. / 03.746.938/0001</t>
  </si>
  <si>
    <t>https://www.oceanob2b.com/carrinho</t>
  </si>
  <si>
    <t>Contabilista Suprimentos para Escritório S.A / 77.765.840/0001-70</t>
  </si>
  <si>
    <t>https://www.contabilista.com.br</t>
  </si>
  <si>
    <t>https://www.decathlon.com.br</t>
  </si>
  <si>
    <t>DECATHLON</t>
  </si>
  <si>
    <t>CRH EQUIPAMENTOS DE SEGURANÇA LTDA / 14.566.765/0001-06.</t>
  </si>
  <si>
    <t>https://www.crhequipamentos.com.br</t>
  </si>
  <si>
    <t>COMERCIAL NATIVA NEGÓCIOS E REPRES. LTDA / 14.310.278/0001-70</t>
  </si>
  <si>
    <t>https://www.comercialnativa.com.br</t>
  </si>
  <si>
    <t>COMPANHIA TECIDO SANTENENSE / 21.255.567/0010-70</t>
  </si>
  <si>
    <t>https://www.dickiesbrasil.com.br</t>
  </si>
  <si>
    <t>FM Impressos Personalizados Ltda. - CNPJ 13.555.994/0001-54</t>
  </si>
  <si>
    <t>https://www.printi.com.br</t>
  </si>
  <si>
    <t>Site</t>
  </si>
  <si>
    <t>FÁBRICA DE UNIFORMES / 06.369.324/0001-88</t>
  </si>
  <si>
    <t>RIACHUELO</t>
  </si>
  <si>
    <t>https://www.riachuelo.com.br</t>
  </si>
  <si>
    <t>PREÇOS DE REFERÊNCIA - UNIFORMES</t>
  </si>
  <si>
    <t>VALOR UNIT</t>
  </si>
  <si>
    <t>QUANT. ANUAL</t>
  </si>
  <si>
    <t xml:space="preserve">CALÇA </t>
  </si>
  <si>
    <t>SAPATOS</t>
  </si>
  <si>
    <t>CUSTO ANUAL ESTIMADO POR VIGILANTE</t>
  </si>
  <si>
    <t>CUSTO MENSAL ESTIMADO POR VIGILANTE</t>
  </si>
  <si>
    <t xml:space="preserve">PREÇOS DE REFERÊNCIA - EQUIPAMENTOS </t>
  </si>
  <si>
    <t xml:space="preserve">QUANT. </t>
  </si>
  <si>
    <t>PREÇOS DE REFERÊNCIA - MATERIAIS DE APOIO</t>
  </si>
  <si>
    <t xml:space="preserve">(A)          </t>
  </si>
  <si>
    <t xml:space="preserve">(B)  </t>
  </si>
  <si>
    <t xml:space="preserve">(C)    </t>
  </si>
  <si>
    <t xml:space="preserve">(D)          </t>
  </si>
  <si>
    <r>
      <t>CUSTO MENSAL ESTIMADO POR VIGILANTE</t>
    </r>
    <r>
      <rPr>
        <b/>
        <u/>
        <sz val="10"/>
        <rFont val="Spranq eco sans"/>
      </rPr>
      <t xml:space="preserve"> </t>
    </r>
  </si>
  <si>
    <t>Equipamentos</t>
  </si>
  <si>
    <t>VIDA ÚTIL (MESES)</t>
  </si>
  <si>
    <t>CUSTO MENSAL ESTIMADO</t>
  </si>
  <si>
    <t>PESQUISA DE PREÇOS DE ASSISTÊNCIA MÉDICA</t>
  </si>
  <si>
    <t>QUADRO RESUMO GERAL</t>
  </si>
  <si>
    <t>CUSTOS TOTAIS ESTIMADOS PARA A CONTRATAÇÃO</t>
  </si>
  <si>
    <t>CIDADE</t>
  </si>
  <si>
    <t>Discriminação</t>
  </si>
  <si>
    <t>Qtde.</t>
  </si>
  <si>
    <t>Valor Unitário</t>
  </si>
  <si>
    <t>Valor Mensal</t>
  </si>
  <si>
    <t>Valor para 12 Meses</t>
  </si>
  <si>
    <t>12x36 Desarm. Diurno</t>
  </si>
  <si>
    <t>12x36 Desarm. Noturno</t>
  </si>
  <si>
    <t>SÃO JOSÉ DOS CAMPOS/SP</t>
  </si>
  <si>
    <t>PREÇO TOTAL POR POSTO</t>
  </si>
  <si>
    <t>QUADROS RESUMO - UNIFORMES, MATERIAIS E EQUIPAMENTOS</t>
  </si>
  <si>
    <t>[(A) / (C)] * (B)</t>
  </si>
  <si>
    <r>
      <rPr>
        <b/>
        <sz val="11"/>
        <color indexed="8"/>
        <rFont val="Arial"/>
        <family val="2"/>
      </rPr>
      <t>AGÊNCIA NACIONAL DE AVIAÇÃO CIVIL</t>
    </r>
    <r>
      <rPr>
        <b/>
        <sz val="11"/>
        <rFont val="Arial"/>
        <family val="2"/>
      </rPr>
      <t xml:space="preserve">
</t>
    </r>
    <r>
      <rPr>
        <sz val="9"/>
        <rFont val="Arial"/>
        <family val="2"/>
      </rPr>
      <t>SUPERINTENDÊNCIA DE ADMINISTRAÇÃO E FINANÇAS
GERÊNCIA TÉCNICA DE SERVIÇOS GERAIS</t>
    </r>
  </si>
  <si>
    <t>PREGÃO N.º ____/2024</t>
  </si>
  <si>
    <t>Nº do Processo 00058.078277/2023-87</t>
  </si>
  <si>
    <t>Transporte (R$ 5,20 x 2 x 15 - 6% x SalBase x 50%)</t>
  </si>
  <si>
    <t>Desconto proporcional aos dias utilizados, conforme Composição de Custos pg. 14 (SEI 9420364)</t>
  </si>
  <si>
    <r>
      <rPr>
        <b/>
        <sz val="11"/>
        <color indexed="8"/>
        <rFont val="Arial"/>
        <family val="2"/>
      </rPr>
      <t>AGÊNCIA NACIONAL DE AVIAÇÃO CIVIL</t>
    </r>
    <r>
      <rPr>
        <b/>
        <sz val="11"/>
        <rFont val="Arial"/>
        <family val="2"/>
      </rPr>
      <t xml:space="preserve">
</t>
    </r>
    <r>
      <rPr>
        <sz val="9"/>
        <rFont val="Arial"/>
        <family val="2"/>
      </rPr>
      <t>SUPERINTENDÊNCIA DE ADMINISTRAÇÃO E FINANÇAS
GERÊNCIA TÉCNICA de SERVIÇOS GERAIS</t>
    </r>
  </si>
  <si>
    <t>RELÓGIO DE PONTO ELETRÔNICO</t>
  </si>
  <si>
    <t>COLETE BALÍSTICO</t>
  </si>
  <si>
    <t>LANTERNA RECARREGÁVEL</t>
  </si>
  <si>
    <t>SESVESP - SP000101/2024</t>
  </si>
  <si>
    <t xml:space="preserve">Auxílio-Refeição/Alimentação [(R$ 37,00 - (18% x R$ 37,00)) x 15]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</si>
</sst>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0.0000"/>
    <numFmt numFmtId="168" formatCode="0.000"/>
    <numFmt numFmtId="169" formatCode="0.0000%"/>
    <numFmt numFmtId="170" formatCode="0.000%"/>
    <numFmt numFmtId="171" formatCode="0.0%"/>
    <numFmt numFmtId="172" formatCode="_-* #,##0.0000_-;\-* #,##0.0000_-;_-* &quot;-&quot;??_-;_-@_-"/>
    <numFmt numFmtId="173" formatCode="_(&quot;R$ &quot;* #,##0.00_);_(&quot;R$ &quot;* \(#,##0.00\);_(&quot;R$ &quot;* \-??_);_(@_)"/>
    <numFmt numFmtId="174" formatCode="_(&quot;R$&quot;* #,##0.00_);_(&quot;R$&quot;* \(#,##0.00\);_(&quot;R$&quot;* \-??_);_(@_)"/>
  </numFmts>
  <fonts count="5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9"/>
      <name val="Arial"/>
      <family val="2"/>
    </font>
    <font>
      <sz val="9"/>
      <color indexed="8"/>
      <name val="Spranq eco sans"/>
      <family val="2"/>
      <charset val="1"/>
    </font>
    <font>
      <sz val="9"/>
      <color indexed="8"/>
      <name val="Spranq eco sans"/>
      <family val="2"/>
    </font>
    <font>
      <sz val="8"/>
      <color indexed="8"/>
      <name val="Spranq eco sans"/>
      <family val="2"/>
      <charset val="1"/>
    </font>
    <font>
      <b/>
      <u/>
      <sz val="10"/>
      <name val="Spranq eco sans"/>
    </font>
    <font>
      <b/>
      <sz val="10"/>
      <color indexed="8"/>
      <name val="Spranq eco sans"/>
    </font>
    <font>
      <sz val="9"/>
      <color indexed="8"/>
      <name val="Spranq eco sans"/>
    </font>
    <font>
      <b/>
      <sz val="10"/>
      <name val="Tahoma"/>
      <family val="2"/>
    </font>
    <font>
      <sz val="10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7.7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Spranq eco sans"/>
      <family val="2"/>
      <charset val="1"/>
    </font>
    <font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0"/>
      <name val="Spranq eco sans"/>
      <family val="2"/>
      <charset val="1"/>
    </font>
    <font>
      <b/>
      <sz val="14"/>
      <color theme="1"/>
      <name val="Calibri"/>
      <family val="2"/>
      <scheme val="minor"/>
    </font>
    <font>
      <b/>
      <sz val="12"/>
      <color theme="0"/>
      <name val="Tahoma"/>
      <family val="2"/>
    </font>
    <font>
      <b/>
      <sz val="10"/>
      <color theme="0"/>
      <name val="Spranq eco sans"/>
    </font>
    <font>
      <b/>
      <sz val="10"/>
      <color rgb="FF000000"/>
      <name val="Spranq eco sans"/>
    </font>
    <font>
      <b/>
      <sz val="12"/>
      <color theme="0"/>
      <name val="Arial"/>
      <family val="2"/>
    </font>
    <font>
      <b/>
      <sz val="12"/>
      <color theme="0"/>
      <name val="Spranq eco sans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" fillId="0" borderId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5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0" borderId="0" xfId="8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vertical="center" wrapText="1"/>
    </xf>
    <xf numFmtId="166" fontId="3" fillId="4" borderId="1" xfId="0" applyNumberFormat="1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166" fontId="3" fillId="5" borderId="4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9" fontId="1" fillId="0" borderId="4" xfId="11" applyNumberFormat="1" applyFont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1" fillId="0" borderId="0" xfId="8" applyNumberFormat="1"/>
    <xf numFmtId="0" fontId="3" fillId="5" borderId="4" xfId="0" applyFont="1" applyFill="1" applyBorder="1" applyAlignment="1">
      <alignment horizontal="center" vertical="center" wrapText="1"/>
    </xf>
    <xf numFmtId="0" fontId="1" fillId="5" borderId="0" xfId="8" applyFill="1"/>
    <xf numFmtId="171" fontId="24" fillId="0" borderId="1" xfId="0" applyNumberFormat="1" applyFont="1" applyBorder="1" applyAlignment="1">
      <alignment horizontal="center" vertical="center" wrapText="1"/>
    </xf>
    <xf numFmtId="44" fontId="24" fillId="0" borderId="1" xfId="4" applyNumberFormat="1" applyFont="1" applyBorder="1" applyAlignment="1">
      <alignment vertical="center" wrapText="1"/>
    </xf>
    <xf numFmtId="171" fontId="3" fillId="4" borderId="1" xfId="1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65" fontId="1" fillId="0" borderId="3" xfId="4" applyFont="1" applyBorder="1" applyAlignment="1">
      <alignment vertical="center" wrapText="1"/>
    </xf>
    <xf numFmtId="165" fontId="1" fillId="0" borderId="4" xfId="4" applyFont="1" applyBorder="1" applyAlignment="1">
      <alignment vertical="center" wrapText="1"/>
    </xf>
    <xf numFmtId="165" fontId="1" fillId="0" borderId="1" xfId="4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5" fontId="1" fillId="0" borderId="5" xfId="4" applyFont="1" applyBorder="1" applyAlignment="1">
      <alignment vertical="center" wrapText="1"/>
    </xf>
    <xf numFmtId="165" fontId="1" fillId="0" borderId="1" xfId="4" applyFont="1" applyBorder="1" applyAlignment="1">
      <alignment vertical="center" wrapText="1"/>
    </xf>
    <xf numFmtId="165" fontId="1" fillId="5" borderId="1" xfId="0" applyNumberFormat="1" applyFont="1" applyFill="1" applyBorder="1" applyAlignment="1">
      <alignment vertical="center" wrapText="1"/>
    </xf>
    <xf numFmtId="165" fontId="3" fillId="4" borderId="1" xfId="0" applyNumberFormat="1" applyFont="1" applyFill="1" applyBorder="1" applyAlignment="1">
      <alignment vertical="center" wrapText="1"/>
    </xf>
    <xf numFmtId="165" fontId="1" fillId="0" borderId="1" xfId="0" applyNumberFormat="1" applyFont="1" applyBorder="1" applyAlignment="1">
      <alignment horizontal="left" vertical="center" wrapText="1"/>
    </xf>
    <xf numFmtId="165" fontId="3" fillId="5" borderId="4" xfId="0" applyNumberFormat="1" applyFont="1" applyFill="1" applyBorder="1" applyAlignment="1">
      <alignment vertical="center" wrapText="1"/>
    </xf>
    <xf numFmtId="10" fontId="25" fillId="0" borderId="1" xfId="11" applyNumberFormat="1" applyFont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 wrapText="1"/>
    </xf>
    <xf numFmtId="43" fontId="3" fillId="4" borderId="1" xfId="0" applyNumberFormat="1" applyFont="1" applyFill="1" applyBorder="1" applyAlignment="1">
      <alignment horizontal="center" vertical="center" wrapText="1"/>
    </xf>
    <xf numFmtId="171" fontId="25" fillId="0" borderId="1" xfId="11" applyNumberFormat="1" applyFont="1" applyBorder="1" applyAlignment="1">
      <alignment horizontal="center" vertical="center" wrapText="1"/>
    </xf>
    <xf numFmtId="44" fontId="1" fillId="0" borderId="1" xfId="11" applyNumberFormat="1" applyFont="1" applyBorder="1" applyAlignment="1">
      <alignment vertical="center" wrapText="1"/>
    </xf>
    <xf numFmtId="9" fontId="25" fillId="0" borderId="1" xfId="11" applyFont="1" applyBorder="1" applyAlignment="1">
      <alignment horizontal="center" vertical="center" wrapText="1"/>
    </xf>
    <xf numFmtId="10" fontId="3" fillId="5" borderId="3" xfId="0" applyNumberFormat="1" applyFont="1" applyFill="1" applyBorder="1" applyAlignment="1">
      <alignment horizontal="center" vertical="center" wrapText="1"/>
    </xf>
    <xf numFmtId="170" fontId="25" fillId="0" borderId="1" xfId="11" applyNumberFormat="1" applyFont="1" applyBorder="1" applyAlignment="1">
      <alignment horizontal="center" vertical="center" wrapText="1"/>
    </xf>
    <xf numFmtId="172" fontId="25" fillId="0" borderId="1" xfId="13" applyNumberFormat="1" applyFont="1" applyBorder="1" applyAlignment="1">
      <alignment horizontal="center" vertical="center" wrapText="1"/>
    </xf>
    <xf numFmtId="10" fontId="3" fillId="4" borderId="1" xfId="11" applyNumberFormat="1" applyFont="1" applyFill="1" applyBorder="1" applyAlignment="1">
      <alignment horizontal="center" vertical="center" wrapText="1"/>
    </xf>
    <xf numFmtId="10" fontId="3" fillId="4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10" fontId="3" fillId="0" borderId="1" xfId="13" applyNumberFormat="1" applyFont="1" applyFill="1" applyBorder="1" applyAlignment="1" applyProtection="1">
      <alignment horizontal="center" vertical="center"/>
      <protection locked="0"/>
    </xf>
    <xf numFmtId="166" fontId="1" fillId="0" borderId="1" xfId="13" applyFont="1" applyFill="1" applyBorder="1" applyAlignment="1" applyProtection="1">
      <alignment vertical="center"/>
    </xf>
    <xf numFmtId="10" fontId="3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0" fontId="1" fillId="0" borderId="1" xfId="13" applyNumberFormat="1" applyFont="1" applyFill="1" applyBorder="1" applyAlignment="1" applyProtection="1">
      <alignment horizontal="center" vertical="center" wrapText="1"/>
      <protection locked="0"/>
    </xf>
    <xf numFmtId="44" fontId="24" fillId="0" borderId="1" xfId="5" applyNumberFormat="1" applyFont="1" applyBorder="1" applyAlignment="1">
      <alignment vertical="center" wrapText="1"/>
    </xf>
    <xf numFmtId="166" fontId="3" fillId="4" borderId="1" xfId="13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vertical="center" wrapText="1"/>
    </xf>
    <xf numFmtId="166" fontId="2" fillId="4" borderId="1" xfId="0" applyNumberFormat="1" applyFont="1" applyFill="1" applyBorder="1" applyAlignment="1">
      <alignment vertical="center" wrapText="1"/>
    </xf>
    <xf numFmtId="166" fontId="3" fillId="6" borderId="4" xfId="0" applyNumberFormat="1" applyFont="1" applyFill="1" applyBorder="1" applyAlignment="1">
      <alignment vertical="center" wrapText="1"/>
    </xf>
    <xf numFmtId="166" fontId="3" fillId="0" borderId="1" xfId="13" applyFont="1" applyFill="1" applyBorder="1" applyAlignment="1" applyProtection="1">
      <alignment vertical="center"/>
    </xf>
    <xf numFmtId="0" fontId="21" fillId="0" borderId="1" xfId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 vertical="center"/>
      <protection locked="0"/>
    </xf>
    <xf numFmtId="10" fontId="1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1" fillId="0" borderId="0" xfId="8" applyAlignment="1">
      <alignment vertical="center"/>
    </xf>
    <xf numFmtId="0" fontId="1" fillId="0" borderId="1" xfId="8" applyBorder="1" applyAlignment="1">
      <alignment horizontal="center" vertical="center"/>
    </xf>
    <xf numFmtId="0" fontId="1" fillId="0" borderId="0" xfId="8" applyAlignment="1">
      <alignment horizontal="center" vertical="center"/>
    </xf>
    <xf numFmtId="0" fontId="1" fillId="0" borderId="0" xfId="8" applyAlignment="1">
      <alignment horizontal="left" vertical="center"/>
    </xf>
    <xf numFmtId="0" fontId="3" fillId="0" borderId="1" xfId="8" applyFont="1" applyBorder="1" applyAlignment="1">
      <alignment horizontal="center" vertical="center"/>
    </xf>
    <xf numFmtId="0" fontId="1" fillId="0" borderId="1" xfId="8" applyBorder="1" applyAlignment="1">
      <alignment vertical="center"/>
    </xf>
    <xf numFmtId="2" fontId="1" fillId="0" borderId="1" xfId="8" applyNumberFormat="1" applyBorder="1" applyAlignment="1">
      <alignment vertical="center"/>
    </xf>
    <xf numFmtId="10" fontId="1" fillId="0" borderId="1" xfId="12" applyNumberFormat="1" applyBorder="1" applyAlignment="1">
      <alignment horizontal="center" vertical="center"/>
    </xf>
    <xf numFmtId="10" fontId="1" fillId="0" borderId="1" xfId="12" applyNumberFormat="1" applyFill="1" applyBorder="1" applyAlignment="1">
      <alignment horizontal="center" vertical="center"/>
    </xf>
    <xf numFmtId="2" fontId="3" fillId="0" borderId="1" xfId="8" applyNumberFormat="1" applyFont="1" applyBorder="1" applyAlignment="1">
      <alignment vertical="center"/>
    </xf>
    <xf numFmtId="0" fontId="3" fillId="0" borderId="0" xfId="8" applyFont="1" applyAlignment="1">
      <alignment horizontal="center" vertical="center"/>
    </xf>
    <xf numFmtId="2" fontId="3" fillId="0" borderId="0" xfId="8" applyNumberFormat="1" applyFont="1" applyAlignment="1">
      <alignment vertical="center"/>
    </xf>
    <xf numFmtId="10" fontId="1" fillId="0" borderId="1" xfId="8" applyNumberFormat="1" applyBorder="1" applyAlignment="1">
      <alignment horizontal="center" vertical="center"/>
    </xf>
    <xf numFmtId="10" fontId="1" fillId="5" borderId="1" xfId="8" applyNumberFormat="1" applyFill="1" applyBorder="1" applyAlignment="1">
      <alignment horizontal="center" vertical="center"/>
    </xf>
    <xf numFmtId="10" fontId="3" fillId="0" borderId="1" xfId="8" applyNumberFormat="1" applyFont="1" applyBorder="1" applyAlignment="1">
      <alignment horizontal="center" vertical="center"/>
    </xf>
    <xf numFmtId="2" fontId="1" fillId="0" borderId="1" xfId="8" applyNumberFormat="1" applyBorder="1" applyAlignment="1">
      <alignment horizontal="right" vertical="center"/>
    </xf>
    <xf numFmtId="0" fontId="3" fillId="7" borderId="1" xfId="8" applyFont="1" applyFill="1" applyBorder="1" applyAlignment="1">
      <alignment horizontal="center" vertical="center"/>
    </xf>
    <xf numFmtId="10" fontId="1" fillId="0" borderId="1" xfId="8" applyNumberFormat="1" applyBorder="1" applyAlignment="1">
      <alignment vertical="center"/>
    </xf>
    <xf numFmtId="2" fontId="1" fillId="0" borderId="1" xfId="8" applyNumberFormat="1" applyBorder="1" applyAlignment="1">
      <alignment horizontal="center" vertical="center"/>
    </xf>
    <xf numFmtId="10" fontId="1" fillId="0" borderId="1" xfId="12" applyNumberFormat="1" applyBorder="1" applyAlignment="1">
      <alignment vertical="center"/>
    </xf>
    <xf numFmtId="0" fontId="27" fillId="0" borderId="6" xfId="8" applyFont="1" applyBorder="1" applyAlignment="1">
      <alignment horizontal="center" vertical="center"/>
    </xf>
    <xf numFmtId="10" fontId="27" fillId="0" borderId="7" xfId="12" applyNumberFormat="1" applyFont="1" applyBorder="1" applyAlignment="1">
      <alignment vertical="center"/>
    </xf>
    <xf numFmtId="2" fontId="27" fillId="0" borderId="8" xfId="8" applyNumberFormat="1" applyFont="1" applyBorder="1" applyAlignment="1">
      <alignment vertical="center"/>
    </xf>
    <xf numFmtId="0" fontId="27" fillId="0" borderId="9" xfId="8" applyFont="1" applyBorder="1" applyAlignment="1">
      <alignment horizontal="center" vertical="center"/>
    </xf>
    <xf numFmtId="10" fontId="27" fillId="0" borderId="0" xfId="12" applyNumberFormat="1" applyFont="1" applyBorder="1" applyAlignment="1">
      <alignment vertical="center"/>
    </xf>
    <xf numFmtId="2" fontId="27" fillId="0" borderId="10" xfId="8" applyNumberFormat="1" applyFont="1" applyBorder="1" applyAlignment="1">
      <alignment vertical="center"/>
    </xf>
    <xf numFmtId="0" fontId="28" fillId="0" borderId="9" xfId="8" applyFont="1" applyBorder="1" applyAlignment="1">
      <alignment vertical="center"/>
    </xf>
    <xf numFmtId="0" fontId="27" fillId="0" borderId="0" xfId="8" applyFont="1" applyAlignment="1">
      <alignment horizontal="left" vertical="center"/>
    </xf>
    <xf numFmtId="0" fontId="27" fillId="0" borderId="11" xfId="8" applyFont="1" applyBorder="1" applyAlignment="1">
      <alignment horizontal="center" vertical="center"/>
    </xf>
    <xf numFmtId="10" fontId="27" fillId="0" borderId="12" xfId="12" applyNumberFormat="1" applyFont="1" applyBorder="1" applyAlignment="1">
      <alignment vertical="center"/>
    </xf>
    <xf numFmtId="2" fontId="27" fillId="0" borderId="13" xfId="8" applyNumberFormat="1" applyFont="1" applyBorder="1" applyAlignment="1">
      <alignment vertical="center"/>
    </xf>
    <xf numFmtId="2" fontId="1" fillId="0" borderId="0" xfId="8" applyNumberFormat="1" applyAlignment="1">
      <alignment vertical="center"/>
    </xf>
    <xf numFmtId="0" fontId="3" fillId="0" borderId="14" xfId="8" applyFont="1" applyBorder="1" applyAlignment="1">
      <alignment horizontal="center" vertical="center" wrapText="1"/>
    </xf>
    <xf numFmtId="0" fontId="3" fillId="0" borderId="15" xfId="8" applyFont="1" applyBorder="1" applyAlignment="1">
      <alignment horizontal="center" vertical="center" wrapText="1"/>
    </xf>
    <xf numFmtId="0" fontId="3" fillId="0" borderId="15" xfId="8" applyFont="1" applyBorder="1" applyAlignment="1">
      <alignment horizontal="center" vertical="center"/>
    </xf>
    <xf numFmtId="0" fontId="1" fillId="0" borderId="16" xfId="8" applyBorder="1" applyAlignment="1">
      <alignment vertical="center"/>
    </xf>
    <xf numFmtId="0" fontId="1" fillId="0" borderId="17" xfId="8" applyBorder="1" applyAlignment="1">
      <alignment vertical="center"/>
    </xf>
    <xf numFmtId="2" fontId="1" fillId="0" borderId="18" xfId="8" applyNumberFormat="1" applyBorder="1" applyAlignment="1">
      <alignment vertical="center"/>
    </xf>
    <xf numFmtId="0" fontId="1" fillId="0" borderId="3" xfId="8" applyBorder="1" applyAlignment="1">
      <alignment vertical="center"/>
    </xf>
    <xf numFmtId="0" fontId="1" fillId="0" borderId="19" xfId="8" applyBorder="1" applyAlignment="1">
      <alignment vertical="center"/>
    </xf>
    <xf numFmtId="2" fontId="1" fillId="0" borderId="20" xfId="8" applyNumberFormat="1" applyBorder="1" applyAlignment="1">
      <alignment vertical="center"/>
    </xf>
    <xf numFmtId="0" fontId="3" fillId="0" borderId="3" xfId="8" applyFont="1" applyBorder="1" applyAlignment="1">
      <alignment vertical="center"/>
    </xf>
    <xf numFmtId="0" fontId="3" fillId="0" borderId="19" xfId="8" applyFont="1" applyBorder="1" applyAlignment="1">
      <alignment vertical="center"/>
    </xf>
    <xf numFmtId="0" fontId="1" fillId="0" borderId="21" xfId="8" applyBorder="1" applyAlignment="1">
      <alignment vertical="center"/>
    </xf>
    <xf numFmtId="0" fontId="1" fillId="0" borderId="22" xfId="8" applyBorder="1" applyAlignment="1">
      <alignment vertical="center"/>
    </xf>
    <xf numFmtId="2" fontId="1" fillId="0" borderId="23" xfId="8" applyNumberFormat="1" applyBorder="1" applyAlignment="1">
      <alignment vertical="center"/>
    </xf>
    <xf numFmtId="2" fontId="3" fillId="0" borderId="24" xfId="8" applyNumberFormat="1" applyFont="1" applyBorder="1" applyAlignment="1">
      <alignment vertical="center"/>
    </xf>
    <xf numFmtId="0" fontId="1" fillId="0" borderId="25" xfId="8" applyBorder="1" applyAlignment="1">
      <alignment horizontal="center" vertical="center"/>
    </xf>
    <xf numFmtId="0" fontId="1" fillId="0" borderId="26" xfId="8" applyBorder="1" applyAlignment="1">
      <alignment horizontal="center" vertical="center"/>
    </xf>
    <xf numFmtId="2" fontId="1" fillId="0" borderId="27" xfId="8" applyNumberFormat="1" applyBorder="1" applyAlignment="1">
      <alignment vertical="center"/>
    </xf>
    <xf numFmtId="0" fontId="1" fillId="0" borderId="28" xfId="8" applyBorder="1" applyAlignment="1">
      <alignment horizontal="center" vertical="center"/>
    </xf>
    <xf numFmtId="2" fontId="1" fillId="0" borderId="5" xfId="8" applyNumberFormat="1" applyBorder="1" applyAlignment="1">
      <alignment vertical="center"/>
    </xf>
    <xf numFmtId="0" fontId="3" fillId="0" borderId="0" xfId="8" applyFont="1" applyAlignment="1">
      <alignment vertical="center"/>
    </xf>
    <xf numFmtId="165" fontId="3" fillId="0" borderId="0" xfId="6" applyFont="1" applyAlignment="1">
      <alignment vertical="center"/>
    </xf>
    <xf numFmtId="43" fontId="1" fillId="0" borderId="0" xfId="8" applyNumberFormat="1" applyAlignment="1">
      <alignment vertical="center"/>
    </xf>
    <xf numFmtId="2" fontId="0" fillId="0" borderId="0" xfId="0" applyNumberFormat="1"/>
    <xf numFmtId="167" fontId="3" fillId="6" borderId="1" xfId="8" applyNumberFormat="1" applyFont="1" applyFill="1" applyBorder="1"/>
    <xf numFmtId="171" fontId="19" fillId="0" borderId="0" xfId="11" applyNumberFormat="1" applyFont="1"/>
    <xf numFmtId="10" fontId="0" fillId="0" borderId="0" xfId="0" applyNumberFormat="1"/>
    <xf numFmtId="10" fontId="19" fillId="0" borderId="0" xfId="11" applyNumberFormat="1" applyFont="1"/>
    <xf numFmtId="0" fontId="29" fillId="8" borderId="2" xfId="0" applyFont="1" applyFill="1" applyBorder="1" applyAlignment="1">
      <alignment horizontal="center" vertical="center" wrapText="1"/>
    </xf>
    <xf numFmtId="49" fontId="29" fillId="8" borderId="1" xfId="0" applyNumberFormat="1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/>
    </xf>
    <xf numFmtId="0" fontId="30" fillId="8" borderId="2" xfId="0" applyFont="1" applyFill="1" applyBorder="1" applyAlignment="1">
      <alignment horizontal="right" vertical="center" wrapText="1"/>
    </xf>
    <xf numFmtId="0" fontId="30" fillId="8" borderId="3" xfId="0" applyFont="1" applyFill="1" applyBorder="1" applyAlignment="1">
      <alignment horizontal="center" vertical="center" wrapText="1"/>
    </xf>
    <xf numFmtId="0" fontId="30" fillId="8" borderId="4" xfId="0" applyFont="1" applyFill="1" applyBorder="1" applyAlignment="1">
      <alignment horizontal="center" vertical="center" wrapText="1"/>
    </xf>
    <xf numFmtId="0" fontId="29" fillId="6" borderId="29" xfId="0" applyFont="1" applyFill="1" applyBorder="1" applyAlignment="1">
      <alignment horizontal="center" vertical="center" wrapText="1"/>
    </xf>
    <xf numFmtId="4" fontId="31" fillId="0" borderId="30" xfId="0" applyNumberFormat="1" applyFont="1" applyBorder="1" applyAlignment="1" applyProtection="1">
      <alignment horizontal="center" vertical="center" wrapText="1"/>
      <protection hidden="1"/>
    </xf>
    <xf numFmtId="4" fontId="0" fillId="0" borderId="0" xfId="0" applyNumberFormat="1"/>
    <xf numFmtId="4" fontId="31" fillId="0" borderId="31" xfId="0" applyNumberFormat="1" applyFont="1" applyBorder="1" applyAlignment="1" applyProtection="1">
      <alignment horizontal="center" vertical="center" wrapText="1"/>
      <protection hidden="1"/>
    </xf>
    <xf numFmtId="0" fontId="31" fillId="0" borderId="0" xfId="0" applyFont="1" applyAlignment="1">
      <alignment horizontal="center" vertical="center"/>
    </xf>
    <xf numFmtId="3" fontId="26" fillId="0" borderId="0" xfId="0" applyNumberFormat="1" applyFont="1" applyAlignment="1">
      <alignment horizontal="center" vertical="center" wrapText="1"/>
    </xf>
    <xf numFmtId="49" fontId="26" fillId="0" borderId="0" xfId="0" applyNumberFormat="1" applyFont="1" applyAlignment="1" applyProtection="1">
      <alignment horizontal="center" vertical="center"/>
      <protection locked="0"/>
    </xf>
    <xf numFmtId="10" fontId="26" fillId="0" borderId="0" xfId="0" applyNumberFormat="1" applyFont="1" applyAlignment="1" applyProtection="1">
      <alignment horizontal="center" vertical="center" wrapText="1"/>
      <protection locked="0"/>
    </xf>
    <xf numFmtId="4" fontId="26" fillId="0" borderId="0" xfId="0" applyNumberFormat="1" applyFont="1" applyAlignment="1" applyProtection="1">
      <alignment horizontal="center" vertical="center" wrapText="1"/>
      <protection locked="0"/>
    </xf>
    <xf numFmtId="4" fontId="26" fillId="0" borderId="0" xfId="0" applyNumberFormat="1" applyFont="1" applyAlignment="1" applyProtection="1">
      <alignment horizontal="center" vertical="center" wrapText="1"/>
      <protection hidden="1"/>
    </xf>
    <xf numFmtId="4" fontId="31" fillId="0" borderId="0" xfId="0" applyNumberFormat="1" applyFont="1" applyAlignment="1" applyProtection="1">
      <alignment horizontal="center" vertical="center" wrapText="1"/>
      <protection hidden="1"/>
    </xf>
    <xf numFmtId="4" fontId="31" fillId="0" borderId="30" xfId="0" applyNumberFormat="1" applyFont="1" applyBorder="1" applyAlignment="1" applyProtection="1">
      <alignment horizontal="center" wrapText="1"/>
      <protection hidden="1"/>
    </xf>
    <xf numFmtId="4" fontId="31" fillId="0" borderId="31" xfId="0" applyNumberFormat="1" applyFont="1" applyBorder="1" applyAlignment="1" applyProtection="1">
      <alignment horizontal="center" wrapText="1"/>
      <protection hidden="1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30" fillId="8" borderId="1" xfId="0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vertical="center" wrapText="1"/>
    </xf>
    <xf numFmtId="0" fontId="30" fillId="8" borderId="8" xfId="0" applyFont="1" applyFill="1" applyBorder="1" applyAlignment="1">
      <alignment horizontal="center" vertical="center" wrapText="1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hidden="1"/>
    </xf>
    <xf numFmtId="4" fontId="31" fillId="0" borderId="1" xfId="0" applyNumberFormat="1" applyFont="1" applyBorder="1" applyAlignment="1" applyProtection="1">
      <alignment horizontal="center" vertical="center" wrapText="1"/>
      <protection hidden="1"/>
    </xf>
    <xf numFmtId="10" fontId="32" fillId="0" borderId="1" xfId="0" applyNumberFormat="1" applyFont="1" applyBorder="1" applyAlignment="1" applyProtection="1">
      <alignment horizontal="left"/>
      <protection locked="0"/>
    </xf>
    <xf numFmtId="0" fontId="26" fillId="0" borderId="1" xfId="0" applyFont="1" applyBorder="1" applyAlignment="1" applyProtection="1">
      <alignment horizontal="left"/>
      <protection locked="0"/>
    </xf>
    <xf numFmtId="4" fontId="26" fillId="0" borderId="1" xfId="0" applyNumberFormat="1" applyFont="1" applyBorder="1" applyAlignment="1" applyProtection="1">
      <alignment horizontal="center" wrapText="1"/>
      <protection hidden="1"/>
    </xf>
    <xf numFmtId="4" fontId="31" fillId="0" borderId="1" xfId="0" applyNumberFormat="1" applyFont="1" applyBorder="1" applyAlignment="1" applyProtection="1">
      <alignment horizontal="center" wrapText="1"/>
      <protection hidden="1"/>
    </xf>
    <xf numFmtId="4" fontId="31" fillId="0" borderId="1" xfId="0" applyNumberFormat="1" applyFont="1" applyBorder="1" applyAlignment="1">
      <alignment horizontal="center" vertical="center"/>
    </xf>
    <xf numFmtId="0" fontId="9" fillId="6" borderId="32" xfId="0" applyFont="1" applyFill="1" applyBorder="1" applyAlignment="1">
      <alignment vertical="top"/>
    </xf>
    <xf numFmtId="0" fontId="33" fillId="6" borderId="4" xfId="0" applyFont="1" applyFill="1" applyBorder="1" applyAlignment="1">
      <alignment vertical="top"/>
    </xf>
    <xf numFmtId="0" fontId="9" fillId="4" borderId="33" xfId="0" applyFont="1" applyFill="1" applyBorder="1" applyAlignment="1">
      <alignment vertical="top"/>
    </xf>
    <xf numFmtId="0" fontId="9" fillId="4" borderId="32" xfId="0" applyFont="1" applyFill="1" applyBorder="1" applyAlignment="1">
      <alignment vertical="top"/>
    </xf>
    <xf numFmtId="0" fontId="33" fillId="4" borderId="4" xfId="0" applyFont="1" applyFill="1" applyBorder="1" applyAlignment="1">
      <alignment vertical="top"/>
    </xf>
    <xf numFmtId="49" fontId="26" fillId="0" borderId="1" xfId="0" applyNumberFormat="1" applyFont="1" applyBorder="1" applyAlignment="1" applyProtection="1">
      <alignment horizontal="center"/>
      <protection locked="0"/>
    </xf>
    <xf numFmtId="0" fontId="33" fillId="4" borderId="0" xfId="0" applyFont="1" applyFill="1" applyAlignment="1">
      <alignment vertical="top"/>
    </xf>
    <xf numFmtId="0" fontId="10" fillId="4" borderId="1" xfId="0" applyFont="1" applyFill="1" applyBorder="1" applyAlignment="1">
      <alignment vertical="top"/>
    </xf>
    <xf numFmtId="0" fontId="29" fillId="8" borderId="1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30" fillId="8" borderId="34" xfId="0" applyFont="1" applyFill="1" applyBorder="1" applyAlignment="1">
      <alignment horizontal="center" vertical="center" wrapText="1"/>
    </xf>
    <xf numFmtId="4" fontId="29" fillId="0" borderId="0" xfId="5" applyNumberFormat="1" applyFont="1" applyFill="1" applyBorder="1" applyAlignment="1" applyProtection="1">
      <alignment horizontal="center" vertical="center"/>
      <protection hidden="1"/>
    </xf>
    <xf numFmtId="4" fontId="30" fillId="0" borderId="0" xfId="5" applyNumberFormat="1" applyFont="1" applyFill="1" applyBorder="1" applyAlignment="1" applyProtection="1">
      <alignment horizontal="center" vertical="center"/>
      <protection hidden="1"/>
    </xf>
    <xf numFmtId="0" fontId="29" fillId="8" borderId="6" xfId="0" applyFont="1" applyFill="1" applyBorder="1" applyAlignment="1">
      <alignment horizontal="center" vertical="center" wrapText="1"/>
    </xf>
    <xf numFmtId="0" fontId="30" fillId="8" borderId="6" xfId="0" applyFont="1" applyFill="1" applyBorder="1" applyAlignment="1">
      <alignment horizontal="right" vertical="center" wrapText="1"/>
    </xf>
    <xf numFmtId="0" fontId="30" fillId="8" borderId="7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/>
    <xf numFmtId="0" fontId="31" fillId="0" borderId="0" xfId="0" applyFont="1"/>
    <xf numFmtId="4" fontId="26" fillId="0" borderId="1" xfId="0" applyNumberFormat="1" applyFont="1" applyBorder="1" applyAlignment="1" applyProtection="1">
      <alignment horizontal="center"/>
      <protection locked="0"/>
    </xf>
    <xf numFmtId="4" fontId="26" fillId="0" borderId="1" xfId="0" applyNumberFormat="1" applyFont="1" applyBorder="1" applyAlignment="1" applyProtection="1">
      <alignment horizontal="center" wrapText="1"/>
      <protection locked="0"/>
    </xf>
    <xf numFmtId="49" fontId="31" fillId="0" borderId="1" xfId="0" applyNumberFormat="1" applyFont="1" applyBorder="1" applyAlignment="1">
      <alignment horizontal="center" vertical="center"/>
    </xf>
    <xf numFmtId="0" fontId="0" fillId="4" borderId="28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35" fillId="9" borderId="35" xfId="0" applyFont="1" applyFill="1" applyBorder="1"/>
    <xf numFmtId="0" fontId="36" fillId="9" borderId="36" xfId="0" applyFont="1" applyFill="1" applyBorder="1" applyAlignment="1">
      <alignment horizontal="center" vertical="center" wrapText="1"/>
    </xf>
    <xf numFmtId="0" fontId="0" fillId="10" borderId="37" xfId="0" applyFill="1" applyBorder="1" applyAlignment="1">
      <alignment horizontal="center"/>
    </xf>
    <xf numFmtId="0" fontId="0" fillId="11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29" fillId="8" borderId="39" xfId="0" applyFont="1" applyFill="1" applyBorder="1" applyAlignment="1">
      <alignment horizontal="center" vertical="center" wrapText="1"/>
    </xf>
    <xf numFmtId="0" fontId="30" fillId="6" borderId="40" xfId="0" applyFont="1" applyFill="1" applyBorder="1" applyAlignment="1">
      <alignment horizontal="center" vertical="center" wrapText="1"/>
    </xf>
    <xf numFmtId="49" fontId="31" fillId="0" borderId="41" xfId="0" applyNumberFormat="1" applyFont="1" applyBorder="1" applyAlignment="1">
      <alignment horizontal="center" vertical="center"/>
    </xf>
    <xf numFmtId="4" fontId="26" fillId="0" borderId="41" xfId="0" applyNumberFormat="1" applyFont="1" applyBorder="1" applyAlignment="1" applyProtection="1">
      <alignment horizontal="center" vertical="center" wrapText="1"/>
      <protection locked="0"/>
    </xf>
    <xf numFmtId="4" fontId="26" fillId="0" borderId="41" xfId="0" applyNumberFormat="1" applyFont="1" applyBorder="1" applyAlignment="1" applyProtection="1">
      <alignment horizontal="center" vertical="center" wrapText="1"/>
      <protection hidden="1"/>
    </xf>
    <xf numFmtId="4" fontId="31" fillId="0" borderId="41" xfId="0" applyNumberFormat="1" applyFont="1" applyBorder="1" applyAlignment="1" applyProtection="1">
      <alignment horizontal="center" vertical="center" wrapText="1"/>
      <protection hidden="1"/>
    </xf>
    <xf numFmtId="4" fontId="31" fillId="0" borderId="42" xfId="0" applyNumberFormat="1" applyFont="1" applyBorder="1" applyAlignment="1" applyProtection="1">
      <alignment horizontal="center" vertical="center" wrapText="1"/>
      <protection hidden="1"/>
    </xf>
    <xf numFmtId="4" fontId="26" fillId="0" borderId="41" xfId="0" applyNumberFormat="1" applyFont="1" applyBorder="1" applyAlignment="1" applyProtection="1">
      <alignment horizontal="center" wrapText="1"/>
      <protection hidden="1"/>
    </xf>
    <xf numFmtId="4" fontId="31" fillId="0" borderId="41" xfId="0" applyNumberFormat="1" applyFont="1" applyBorder="1" applyAlignment="1" applyProtection="1">
      <alignment horizontal="center" wrapText="1"/>
      <protection hidden="1"/>
    </xf>
    <xf numFmtId="4" fontId="31" fillId="0" borderId="42" xfId="0" applyNumberFormat="1" applyFont="1" applyBorder="1" applyAlignment="1" applyProtection="1">
      <alignment horizontal="center" wrapText="1"/>
      <protection hidden="1"/>
    </xf>
    <xf numFmtId="0" fontId="0" fillId="0" borderId="14" xfId="0" applyBorder="1"/>
    <xf numFmtId="4" fontId="31" fillId="0" borderId="1" xfId="0" applyNumberFormat="1" applyFont="1" applyBorder="1" applyAlignment="1">
      <alignment horizontal="center"/>
    </xf>
    <xf numFmtId="4" fontId="31" fillId="0" borderId="41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4" xfId="0" applyNumberFormat="1" applyBorder="1"/>
    <xf numFmtId="0" fontId="31" fillId="0" borderId="1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10" fontId="21" fillId="0" borderId="1" xfId="3" applyNumberFormat="1" applyFill="1" applyBorder="1" applyAlignment="1" applyProtection="1">
      <alignment horizontal="center" vertical="center"/>
      <protection locked="0"/>
    </xf>
    <xf numFmtId="0" fontId="21" fillId="0" borderId="1" xfId="1" applyFill="1" applyBorder="1" applyAlignment="1" applyProtection="1">
      <alignment horizontal="center" vertical="center"/>
      <protection locked="0"/>
    </xf>
    <xf numFmtId="173" fontId="36" fillId="9" borderId="36" xfId="4" applyNumberFormat="1" applyFont="1" applyFill="1" applyBorder="1" applyAlignment="1" applyProtection="1">
      <alignment horizontal="center" vertical="center" wrapText="1"/>
    </xf>
    <xf numFmtId="173" fontId="36" fillId="9" borderId="45" xfId="4" applyNumberFormat="1" applyFont="1" applyFill="1" applyBorder="1" applyAlignment="1" applyProtection="1">
      <alignment horizontal="center" vertical="center" wrapText="1"/>
    </xf>
    <xf numFmtId="173" fontId="9" fillId="4" borderId="46" xfId="4" applyNumberFormat="1" applyFont="1" applyFill="1" applyBorder="1" applyAlignment="1" applyProtection="1"/>
    <xf numFmtId="173" fontId="9" fillId="4" borderId="47" xfId="4" applyNumberFormat="1" applyFont="1" applyFill="1" applyBorder="1" applyAlignment="1" applyProtection="1"/>
    <xf numFmtId="173" fontId="9" fillId="6" borderId="46" xfId="4" applyNumberFormat="1" applyFont="1" applyFill="1" applyBorder="1" applyAlignment="1" applyProtection="1"/>
    <xf numFmtId="173" fontId="9" fillId="6" borderId="47" xfId="4" applyNumberFormat="1" applyFont="1" applyFill="1" applyBorder="1" applyAlignment="1" applyProtection="1"/>
    <xf numFmtId="165" fontId="9" fillId="12" borderId="48" xfId="4" applyFont="1" applyFill="1" applyBorder="1" applyAlignment="1" applyProtection="1"/>
    <xf numFmtId="0" fontId="9" fillId="12" borderId="48" xfId="4" applyNumberFormat="1" applyFont="1" applyFill="1" applyBorder="1" applyAlignment="1" applyProtection="1">
      <alignment horizontal="center"/>
    </xf>
    <xf numFmtId="0" fontId="11" fillId="12" borderId="48" xfId="4" applyNumberFormat="1" applyFont="1" applyFill="1" applyBorder="1" applyAlignment="1" applyProtection="1">
      <alignment horizontal="center"/>
    </xf>
    <xf numFmtId="165" fontId="9" fillId="12" borderId="49" xfId="4" applyFont="1" applyFill="1" applyBorder="1" applyAlignment="1" applyProtection="1"/>
    <xf numFmtId="173" fontId="36" fillId="9" borderId="36" xfId="4" applyNumberFormat="1" applyFont="1" applyFill="1" applyBorder="1" applyAlignment="1" applyProtection="1">
      <alignment horizontal="center" vertical="top" wrapText="1"/>
    </xf>
    <xf numFmtId="173" fontId="36" fillId="9" borderId="1" xfId="4" applyNumberFormat="1" applyFont="1" applyFill="1" applyBorder="1" applyAlignment="1" applyProtection="1">
      <alignment horizontal="center" vertical="center" wrapText="1"/>
    </xf>
    <xf numFmtId="173" fontId="36" fillId="9" borderId="5" xfId="4" applyNumberFormat="1" applyFont="1" applyFill="1" applyBorder="1" applyAlignment="1" applyProtection="1">
      <alignment horizontal="center" vertical="center" wrapText="1"/>
    </xf>
    <xf numFmtId="173" fontId="9" fillId="6" borderId="1" xfId="4" applyNumberFormat="1" applyFont="1" applyFill="1" applyBorder="1" applyAlignment="1" applyProtection="1"/>
    <xf numFmtId="173" fontId="9" fillId="4" borderId="1" xfId="4" applyNumberFormat="1" applyFont="1" applyFill="1" applyBorder="1" applyAlignment="1" applyProtection="1"/>
    <xf numFmtId="173" fontId="9" fillId="4" borderId="34" xfId="4" applyNumberFormat="1" applyFont="1" applyFill="1" applyBorder="1" applyAlignment="1" applyProtection="1"/>
    <xf numFmtId="43" fontId="0" fillId="0" borderId="0" xfId="0" applyNumberFormat="1"/>
    <xf numFmtId="168" fontId="0" fillId="0" borderId="0" xfId="0" applyNumberFormat="1"/>
    <xf numFmtId="3" fontId="9" fillId="4" borderId="46" xfId="4" applyNumberFormat="1" applyFont="1" applyFill="1" applyBorder="1" applyAlignment="1" applyProtection="1">
      <alignment horizontal="center"/>
    </xf>
    <xf numFmtId="3" fontId="9" fillId="6" borderId="46" xfId="4" applyNumberFormat="1" applyFont="1" applyFill="1" applyBorder="1" applyAlignment="1" applyProtection="1">
      <alignment horizontal="center"/>
    </xf>
    <xf numFmtId="0" fontId="33" fillId="6" borderId="3" xfId="0" applyFont="1" applyFill="1" applyBorder="1" applyAlignment="1">
      <alignment vertical="top"/>
    </xf>
    <xf numFmtId="0" fontId="9" fillId="6" borderId="50" xfId="0" applyFont="1" applyFill="1" applyBorder="1" applyAlignment="1">
      <alignment vertical="top"/>
    </xf>
    <xf numFmtId="0" fontId="9" fillId="4" borderId="50" xfId="0" applyFont="1" applyFill="1" applyBorder="1" applyAlignment="1">
      <alignment vertical="top"/>
    </xf>
    <xf numFmtId="0" fontId="33" fillId="4" borderId="7" xfId="0" applyFont="1" applyFill="1" applyBorder="1" applyAlignment="1">
      <alignment vertical="top"/>
    </xf>
    <xf numFmtId="0" fontId="33" fillId="6" borderId="1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65" fontId="9" fillId="13" borderId="51" xfId="4" applyFont="1" applyFill="1" applyBorder="1" applyAlignment="1" applyProtection="1"/>
    <xf numFmtId="0" fontId="0" fillId="6" borderId="38" xfId="0" applyFill="1" applyBorder="1" applyAlignment="1">
      <alignment horizontal="center"/>
    </xf>
    <xf numFmtId="0" fontId="10" fillId="6" borderId="34" xfId="0" applyFont="1" applyFill="1" applyBorder="1" applyAlignment="1">
      <alignment vertical="top"/>
    </xf>
    <xf numFmtId="165" fontId="9" fillId="13" borderId="52" xfId="4" applyFont="1" applyFill="1" applyBorder="1" applyAlignment="1" applyProtection="1"/>
    <xf numFmtId="0" fontId="9" fillId="13" borderId="52" xfId="4" applyNumberFormat="1" applyFont="1" applyFill="1" applyBorder="1" applyAlignment="1" applyProtection="1">
      <alignment horizontal="center"/>
    </xf>
    <xf numFmtId="0" fontId="11" fillId="13" borderId="52" xfId="4" applyNumberFormat="1" applyFont="1" applyFill="1" applyBorder="1" applyAlignment="1" applyProtection="1">
      <alignment horizontal="center"/>
    </xf>
    <xf numFmtId="173" fontId="14" fillId="4" borderId="15" xfId="4" applyNumberFormat="1" applyFont="1" applyFill="1" applyBorder="1" applyAlignment="1" applyProtection="1"/>
    <xf numFmtId="0" fontId="0" fillId="10" borderId="15" xfId="0" applyFill="1" applyBorder="1" applyAlignment="1">
      <alignment horizontal="center"/>
    </xf>
    <xf numFmtId="173" fontId="13" fillId="4" borderId="15" xfId="4" applyNumberFormat="1" applyFont="1" applyFill="1" applyBorder="1" applyAlignment="1" applyProtection="1"/>
    <xf numFmtId="0" fontId="33" fillId="4" borderId="34" xfId="0" applyFont="1" applyFill="1" applyBorder="1" applyAlignment="1">
      <alignment horizontal="center" vertical="center"/>
    </xf>
    <xf numFmtId="49" fontId="26" fillId="0" borderId="41" xfId="0" applyNumberFormat="1" applyFont="1" applyBorder="1" applyAlignment="1" applyProtection="1">
      <alignment horizontal="center"/>
      <protection locked="0"/>
    </xf>
    <xf numFmtId="0" fontId="15" fillId="0" borderId="52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174" fontId="17" fillId="0" borderId="52" xfId="7" applyNumberFormat="1" applyFont="1" applyFill="1" applyBorder="1" applyAlignment="1" applyProtection="1">
      <alignment horizontal="center" vertical="center"/>
    </xf>
    <xf numFmtId="174" fontId="17" fillId="0" borderId="51" xfId="7" applyNumberFormat="1" applyFont="1" applyFill="1" applyBorder="1" applyAlignment="1" applyProtection="1">
      <alignment horizontal="center" vertical="center"/>
    </xf>
    <xf numFmtId="174" fontId="17" fillId="0" borderId="53" xfId="7" applyNumberFormat="1" applyFont="1" applyFill="1" applyBorder="1" applyAlignment="1" applyProtection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8" borderId="52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vertical="top"/>
    </xf>
    <xf numFmtId="165" fontId="9" fillId="12" borderId="52" xfId="4" applyFont="1" applyFill="1" applyBorder="1" applyAlignment="1" applyProtection="1"/>
    <xf numFmtId="0" fontId="9" fillId="12" borderId="52" xfId="4" applyNumberFormat="1" applyFont="1" applyFill="1" applyBorder="1" applyAlignment="1" applyProtection="1">
      <alignment horizontal="center"/>
    </xf>
    <xf numFmtId="0" fontId="11" fillId="12" borderId="52" xfId="4" applyNumberFormat="1" applyFont="1" applyFill="1" applyBorder="1" applyAlignment="1" applyProtection="1">
      <alignment horizontal="center"/>
    </xf>
    <xf numFmtId="10" fontId="0" fillId="0" borderId="0" xfId="11" applyNumberFormat="1" applyFont="1"/>
    <xf numFmtId="0" fontId="3" fillId="0" borderId="0" xfId="8" applyFont="1" applyAlignment="1">
      <alignment horizontal="left" vertical="center"/>
    </xf>
    <xf numFmtId="0" fontId="1" fillId="0" borderId="12" xfId="8" applyBorder="1" applyAlignment="1">
      <alignment horizontal="center" vertical="center"/>
    </xf>
    <xf numFmtId="0" fontId="3" fillId="14" borderId="1" xfId="8" applyFont="1" applyFill="1" applyBorder="1" applyAlignment="1">
      <alignment horizontal="center" vertical="center"/>
    </xf>
    <xf numFmtId="0" fontId="1" fillId="0" borderId="1" xfId="8" applyBorder="1" applyAlignment="1">
      <alignment horizontal="left" vertical="center"/>
    </xf>
    <xf numFmtId="14" fontId="1" fillId="0" borderId="1" xfId="8" applyNumberFormat="1" applyBorder="1" applyAlignment="1">
      <alignment horizontal="center" vertical="center"/>
    </xf>
    <xf numFmtId="0" fontId="1" fillId="0" borderId="1" xfId="8" applyBorder="1" applyAlignment="1">
      <alignment horizontal="center" vertical="center"/>
    </xf>
    <xf numFmtId="0" fontId="1" fillId="0" borderId="0" xfId="8" applyAlignment="1">
      <alignment horizontal="center" vertical="center"/>
    </xf>
    <xf numFmtId="0" fontId="3" fillId="0" borderId="0" xfId="8" applyFont="1" applyAlignment="1">
      <alignment horizontal="center" vertical="center"/>
    </xf>
    <xf numFmtId="0" fontId="1" fillId="0" borderId="0" xfId="8" applyAlignment="1">
      <alignment horizontal="center"/>
    </xf>
    <xf numFmtId="0" fontId="3" fillId="0" borderId="0" xfId="8" applyFont="1" applyAlignment="1">
      <alignment horizontal="center"/>
    </xf>
    <xf numFmtId="0" fontId="1" fillId="0" borderId="1" xfId="8" applyBorder="1" applyAlignment="1">
      <alignment horizontal="center" vertical="center" wrapText="1"/>
    </xf>
    <xf numFmtId="0" fontId="3" fillId="3" borderId="1" xfId="8" applyFont="1" applyFill="1" applyBorder="1" applyAlignment="1">
      <alignment horizontal="center" vertical="center"/>
    </xf>
    <xf numFmtId="0" fontId="3" fillId="0" borderId="1" xfId="8" applyFont="1" applyBorder="1" applyAlignment="1">
      <alignment horizontal="center" vertical="center"/>
    </xf>
    <xf numFmtId="164" fontId="1" fillId="0" borderId="1" xfId="8" applyNumberFormat="1" applyBorder="1" applyAlignment="1">
      <alignment horizontal="center" vertical="center"/>
    </xf>
    <xf numFmtId="0" fontId="3" fillId="7" borderId="68" xfId="8" applyFont="1" applyFill="1" applyBorder="1" applyAlignment="1">
      <alignment horizontal="center" vertical="center"/>
    </xf>
    <xf numFmtId="0" fontId="3" fillId="7" borderId="0" xfId="8" applyFont="1" applyFill="1" applyAlignment="1">
      <alignment horizontal="center" vertical="center"/>
    </xf>
    <xf numFmtId="0" fontId="3" fillId="7" borderId="1" xfId="8" applyFont="1" applyFill="1" applyBorder="1" applyAlignment="1">
      <alignment horizontal="center" vertical="center"/>
    </xf>
    <xf numFmtId="0" fontId="3" fillId="7" borderId="2" xfId="8" applyFont="1" applyFill="1" applyBorder="1" applyAlignment="1">
      <alignment horizontal="center" vertical="center"/>
    </xf>
    <xf numFmtId="0" fontId="1" fillId="0" borderId="1" xfId="8" applyBorder="1" applyAlignment="1">
      <alignment vertical="center"/>
    </xf>
    <xf numFmtId="0" fontId="1" fillId="0" borderId="2" xfId="8" applyBorder="1" applyAlignment="1">
      <alignment vertical="center"/>
    </xf>
    <xf numFmtId="0" fontId="1" fillId="0" borderId="3" xfId="8" applyBorder="1" applyAlignment="1">
      <alignment vertical="center"/>
    </xf>
    <xf numFmtId="0" fontId="1" fillId="0" borderId="4" xfId="8" applyBorder="1" applyAlignment="1">
      <alignment vertical="center"/>
    </xf>
    <xf numFmtId="0" fontId="1" fillId="0" borderId="1" xfId="8" applyBorder="1" applyAlignment="1">
      <alignment horizontal="left" vertical="center" wrapText="1"/>
    </xf>
    <xf numFmtId="0" fontId="3" fillId="0" borderId="2" xfId="8" applyFont="1" applyBorder="1" applyAlignment="1">
      <alignment horizontal="center" vertical="center"/>
    </xf>
    <xf numFmtId="0" fontId="3" fillId="0" borderId="3" xfId="8" applyFont="1" applyBorder="1" applyAlignment="1">
      <alignment horizontal="center" vertical="center"/>
    </xf>
    <xf numFmtId="0" fontId="3" fillId="7" borderId="66" xfId="8" applyFont="1" applyFill="1" applyBorder="1" applyAlignment="1">
      <alignment horizontal="center" vertical="center"/>
    </xf>
    <xf numFmtId="0" fontId="3" fillId="7" borderId="7" xfId="8" applyFont="1" applyFill="1" applyBorder="1" applyAlignment="1">
      <alignment horizontal="center" vertical="center"/>
    </xf>
    <xf numFmtId="0" fontId="3" fillId="7" borderId="39" xfId="8" applyFont="1" applyFill="1" applyBorder="1" applyAlignment="1">
      <alignment horizontal="center" vertical="center"/>
    </xf>
    <xf numFmtId="0" fontId="3" fillId="7" borderId="3" xfId="8" applyFont="1" applyFill="1" applyBorder="1" applyAlignment="1">
      <alignment horizontal="center" vertical="center"/>
    </xf>
    <xf numFmtId="0" fontId="3" fillId="7" borderId="67" xfId="8" applyFont="1" applyFill="1" applyBorder="1" applyAlignment="1">
      <alignment horizontal="center" vertical="center"/>
    </xf>
    <xf numFmtId="0" fontId="3" fillId="7" borderId="12" xfId="8" applyFont="1" applyFill="1" applyBorder="1" applyAlignment="1">
      <alignment horizontal="center" vertical="center"/>
    </xf>
    <xf numFmtId="0" fontId="3" fillId="0" borderId="1" xfId="8" applyFont="1" applyBorder="1" applyAlignment="1">
      <alignment horizontal="left" vertical="center"/>
    </xf>
    <xf numFmtId="0" fontId="1" fillId="0" borderId="0" xfId="8" applyAlignment="1">
      <alignment horizontal="left" vertical="center"/>
    </xf>
    <xf numFmtId="0" fontId="27" fillId="0" borderId="7" xfId="8" applyFont="1" applyBorder="1" applyAlignment="1">
      <alignment horizontal="left" vertical="center"/>
    </xf>
    <xf numFmtId="0" fontId="27" fillId="0" borderId="0" xfId="8" applyFont="1" applyAlignment="1">
      <alignment horizontal="left" vertical="center"/>
    </xf>
    <xf numFmtId="0" fontId="27" fillId="0" borderId="12" xfId="8" applyFont="1" applyBorder="1" applyAlignment="1">
      <alignment horizontal="left" vertical="center"/>
    </xf>
    <xf numFmtId="0" fontId="1" fillId="0" borderId="65" xfId="8" applyBorder="1" applyAlignment="1">
      <alignment horizontal="center" vertical="center"/>
    </xf>
    <xf numFmtId="0" fontId="1" fillId="0" borderId="11" xfId="8" applyBorder="1" applyAlignment="1">
      <alignment horizontal="center" vertical="center"/>
    </xf>
    <xf numFmtId="0" fontId="1" fillId="0" borderId="35" xfId="8" applyBorder="1" applyAlignment="1">
      <alignment horizontal="left" vertical="center"/>
    </xf>
    <xf numFmtId="0" fontId="1" fillId="0" borderId="45" xfId="8" applyBorder="1" applyAlignment="1">
      <alignment horizontal="left" vertical="center"/>
    </xf>
    <xf numFmtId="0" fontId="1" fillId="0" borderId="26" xfId="8" applyBorder="1" applyAlignment="1">
      <alignment horizontal="center" vertical="center"/>
    </xf>
    <xf numFmtId="0" fontId="1" fillId="0" borderId="27" xfId="8" applyBorder="1" applyAlignment="1">
      <alignment horizontal="center" vertical="center"/>
    </xf>
    <xf numFmtId="0" fontId="1" fillId="0" borderId="2" xfId="8" applyBorder="1" applyAlignment="1">
      <alignment horizontal="center" vertical="center"/>
    </xf>
    <xf numFmtId="0" fontId="1" fillId="0" borderId="26" xfId="8" applyBorder="1" applyAlignment="1">
      <alignment horizontal="left" vertical="center"/>
    </xf>
    <xf numFmtId="0" fontId="1" fillId="0" borderId="27" xfId="8" applyBorder="1" applyAlignment="1">
      <alignment horizontal="left" vertical="center"/>
    </xf>
    <xf numFmtId="0" fontId="1" fillId="0" borderId="28" xfId="8" applyBorder="1" applyAlignment="1">
      <alignment horizontal="center" vertical="center"/>
    </xf>
    <xf numFmtId="0" fontId="1" fillId="0" borderId="5" xfId="8" applyBorder="1" applyAlignment="1">
      <alignment horizontal="center" vertical="center"/>
    </xf>
    <xf numFmtId="0" fontId="3" fillId="0" borderId="37" xfId="8" applyFont="1" applyBorder="1" applyAlignment="1">
      <alignment horizontal="center" vertical="center" wrapText="1"/>
    </xf>
    <xf numFmtId="0" fontId="3" fillId="0" borderId="60" xfId="8" applyFont="1" applyBorder="1" applyAlignment="1">
      <alignment horizontal="center" vertical="center" wrapText="1"/>
    </xf>
    <xf numFmtId="0" fontId="1" fillId="0" borderId="2" xfId="8" applyBorder="1" applyAlignment="1">
      <alignment horizontal="left" vertical="center"/>
    </xf>
    <xf numFmtId="0" fontId="1" fillId="0" borderId="3" xfId="8" applyBorder="1" applyAlignment="1">
      <alignment horizontal="left" vertical="center"/>
    </xf>
    <xf numFmtId="0" fontId="1" fillId="0" borderId="4" xfId="8" applyBorder="1" applyAlignment="1">
      <alignment horizontal="left" vertical="center"/>
    </xf>
    <xf numFmtId="0" fontId="1" fillId="0" borderId="55" xfId="8" applyBorder="1" applyAlignment="1">
      <alignment horizontal="left" vertical="center"/>
    </xf>
    <xf numFmtId="0" fontId="1" fillId="0" borderId="21" xfId="8" applyBorder="1" applyAlignment="1">
      <alignment horizontal="left" vertical="center"/>
    </xf>
    <xf numFmtId="0" fontId="1" fillId="0" borderId="44" xfId="8" applyBorder="1" applyAlignment="1">
      <alignment horizontal="left" vertical="center"/>
    </xf>
    <xf numFmtId="0" fontId="1" fillId="0" borderId="37" xfId="8" applyBorder="1" applyAlignment="1">
      <alignment horizontal="center" vertical="center"/>
    </xf>
    <xf numFmtId="0" fontId="1" fillId="0" borderId="14" xfId="8" applyBorder="1" applyAlignment="1">
      <alignment horizontal="center" vertical="center"/>
    </xf>
    <xf numFmtId="0" fontId="1" fillId="0" borderId="56" xfId="8" applyBorder="1" applyAlignment="1">
      <alignment horizontal="center" vertical="center"/>
    </xf>
    <xf numFmtId="0" fontId="3" fillId="0" borderId="57" xfId="8" applyFont="1" applyBorder="1" applyAlignment="1">
      <alignment horizontal="center" vertical="center"/>
    </xf>
    <xf numFmtId="0" fontId="3" fillId="0" borderId="58" xfId="8" applyFont="1" applyBorder="1" applyAlignment="1">
      <alignment horizontal="center" vertical="center"/>
    </xf>
    <xf numFmtId="0" fontId="3" fillId="0" borderId="59" xfId="8" applyFont="1" applyBorder="1" applyAlignment="1">
      <alignment horizontal="center" vertical="center"/>
    </xf>
    <xf numFmtId="0" fontId="3" fillId="0" borderId="37" xfId="8" applyFont="1" applyBorder="1" applyAlignment="1">
      <alignment horizontal="center" vertical="center"/>
    </xf>
    <xf numFmtId="0" fontId="3" fillId="0" borderId="14" xfId="8" applyFont="1" applyBorder="1" applyAlignment="1">
      <alignment horizontal="center" vertical="center"/>
    </xf>
    <xf numFmtId="0" fontId="3" fillId="0" borderId="60" xfId="8" applyFont="1" applyBorder="1" applyAlignment="1">
      <alignment horizontal="center" vertical="center"/>
    </xf>
    <xf numFmtId="0" fontId="5" fillId="0" borderId="0" xfId="8" applyFont="1" applyAlignment="1">
      <alignment horizontal="left" vertical="center" wrapText="1"/>
    </xf>
    <xf numFmtId="0" fontId="1" fillId="0" borderId="0" xfId="8" applyAlignment="1">
      <alignment horizontal="left" vertical="center" wrapText="1"/>
    </xf>
    <xf numFmtId="0" fontId="3" fillId="6" borderId="1" xfId="8" applyFont="1" applyFill="1" applyBorder="1" applyAlignment="1">
      <alignment horizontal="center" vertical="center"/>
    </xf>
    <xf numFmtId="0" fontId="3" fillId="0" borderId="61" xfId="8" applyFont="1" applyBorder="1" applyAlignment="1">
      <alignment horizontal="left" vertical="center"/>
    </xf>
    <xf numFmtId="0" fontId="3" fillId="0" borderId="14" xfId="8" applyFont="1" applyBorder="1" applyAlignment="1">
      <alignment horizontal="left" vertical="center"/>
    </xf>
    <xf numFmtId="0" fontId="3" fillId="0" borderId="60" xfId="8" applyFont="1" applyBorder="1" applyAlignment="1">
      <alignment horizontal="left" vertical="center"/>
    </xf>
    <xf numFmtId="0" fontId="1" fillId="0" borderId="62" xfId="8" applyBorder="1" applyAlignment="1">
      <alignment horizontal="left" vertical="center"/>
    </xf>
    <xf numFmtId="0" fontId="1" fillId="0" borderId="16" xfId="8" applyBorder="1" applyAlignment="1">
      <alignment horizontal="left" vertical="center"/>
    </xf>
    <xf numFmtId="0" fontId="1" fillId="0" borderId="63" xfId="8" applyBorder="1" applyAlignment="1">
      <alignment horizontal="left" vertical="center"/>
    </xf>
    <xf numFmtId="0" fontId="3" fillId="0" borderId="28" xfId="8" applyFont="1" applyBorder="1" applyAlignment="1">
      <alignment horizontal="center" vertical="center"/>
    </xf>
    <xf numFmtId="0" fontId="3" fillId="0" borderId="43" xfId="8" applyFont="1" applyBorder="1" applyAlignment="1">
      <alignment horizontal="center" vertical="center"/>
    </xf>
    <xf numFmtId="0" fontId="3" fillId="0" borderId="55" xfId="8" applyFont="1" applyBorder="1" applyAlignment="1">
      <alignment horizontal="center" vertical="center"/>
    </xf>
    <xf numFmtId="0" fontId="1" fillId="0" borderId="43" xfId="8" applyBorder="1" applyAlignment="1">
      <alignment horizontal="center" vertical="center"/>
    </xf>
    <xf numFmtId="0" fontId="1" fillId="0" borderId="64" xfId="8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15" borderId="71" xfId="0" applyFont="1" applyFill="1" applyBorder="1" applyAlignment="1">
      <alignment horizontal="center" vertical="center"/>
    </xf>
    <xf numFmtId="0" fontId="38" fillId="15" borderId="72" xfId="0" applyFont="1" applyFill="1" applyBorder="1" applyAlignment="1">
      <alignment horizontal="center" vertical="center"/>
    </xf>
    <xf numFmtId="0" fontId="38" fillId="15" borderId="73" xfId="0" applyFont="1" applyFill="1" applyBorder="1" applyAlignment="1">
      <alignment horizontal="center" vertical="center"/>
    </xf>
    <xf numFmtId="0" fontId="15" fillId="8" borderId="69" xfId="0" applyFont="1" applyFill="1" applyBorder="1" applyAlignment="1">
      <alignment horizontal="center" vertical="center"/>
    </xf>
    <xf numFmtId="0" fontId="15" fillId="8" borderId="70" xfId="0" applyFont="1" applyFill="1" applyBorder="1" applyAlignment="1">
      <alignment horizontal="center" vertical="center"/>
    </xf>
    <xf numFmtId="174" fontId="18" fillId="8" borderId="74" xfId="7" applyNumberFormat="1" applyFont="1" applyFill="1" applyBorder="1" applyAlignment="1" applyProtection="1">
      <alignment horizontal="center" vertical="center" wrapText="1"/>
    </xf>
    <xf numFmtId="174" fontId="18" fillId="8" borderId="75" xfId="7" applyNumberFormat="1" applyFont="1" applyFill="1" applyBorder="1" applyAlignment="1" applyProtection="1">
      <alignment horizontal="center" vertical="center" wrapText="1"/>
    </xf>
    <xf numFmtId="174" fontId="18" fillId="8" borderId="70" xfId="7" applyNumberFormat="1" applyFont="1" applyFill="1" applyBorder="1" applyAlignment="1" applyProtection="1">
      <alignment horizontal="center" vertical="center" wrapText="1"/>
    </xf>
    <xf numFmtId="174" fontId="18" fillId="8" borderId="57" xfId="7" applyNumberFormat="1" applyFont="1" applyFill="1" applyBorder="1" applyAlignment="1" applyProtection="1">
      <alignment horizontal="center" vertical="center" wrapText="1"/>
    </xf>
    <xf numFmtId="174" fontId="18" fillId="8" borderId="58" xfId="7" applyNumberFormat="1" applyFont="1" applyFill="1" applyBorder="1" applyAlignment="1" applyProtection="1">
      <alignment horizontal="center" vertical="center" wrapText="1"/>
    </xf>
    <xf numFmtId="174" fontId="18" fillId="8" borderId="76" xfId="7" applyNumberFormat="1" applyFont="1" applyFill="1" applyBorder="1" applyAlignment="1" applyProtection="1">
      <alignment horizontal="center" vertical="center" wrapText="1"/>
    </xf>
    <xf numFmtId="174" fontId="18" fillId="8" borderId="48" xfId="7" applyNumberFormat="1" applyFont="1" applyFill="1" applyBorder="1" applyAlignment="1" applyProtection="1">
      <alignment horizontal="center" vertical="center" wrapText="1"/>
    </xf>
    <xf numFmtId="174" fontId="18" fillId="8" borderId="77" xfId="7" applyNumberFormat="1" applyFont="1" applyFill="1" applyBorder="1" applyAlignment="1" applyProtection="1">
      <alignment horizontal="center" vertical="center" wrapText="1"/>
    </xf>
    <xf numFmtId="174" fontId="18" fillId="8" borderId="49" xfId="7" applyNumberFormat="1" applyFont="1" applyFill="1" applyBorder="1" applyAlignment="1" applyProtection="1">
      <alignment horizontal="center" vertical="center" wrapText="1"/>
    </xf>
    <xf numFmtId="174" fontId="18" fillId="8" borderId="78" xfId="7" applyNumberFormat="1" applyFont="1" applyFill="1" applyBorder="1" applyAlignment="1" applyProtection="1">
      <alignment horizontal="center" vertical="center" wrapText="1"/>
    </xf>
    <xf numFmtId="0" fontId="15" fillId="0" borderId="79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174" fontId="17" fillId="0" borderId="52" xfId="7" applyNumberFormat="1" applyFont="1" applyFill="1" applyBorder="1" applyAlignment="1" applyProtection="1">
      <alignment horizontal="center" vertical="center"/>
    </xf>
    <xf numFmtId="174" fontId="17" fillId="0" borderId="46" xfId="7" applyNumberFormat="1" applyFont="1" applyFill="1" applyBorder="1" applyAlignment="1" applyProtection="1">
      <alignment horizontal="center" vertical="center"/>
    </xf>
    <xf numFmtId="174" fontId="17" fillId="0" borderId="51" xfId="7" applyNumberFormat="1" applyFont="1" applyFill="1" applyBorder="1" applyAlignment="1" applyProtection="1">
      <alignment horizontal="center" vertical="center"/>
    </xf>
    <xf numFmtId="174" fontId="17" fillId="0" borderId="47" xfId="7" applyNumberFormat="1" applyFont="1" applyFill="1" applyBorder="1" applyAlignment="1" applyProtection="1">
      <alignment horizontal="center" vertical="center"/>
    </xf>
    <xf numFmtId="0" fontId="43" fillId="0" borderId="0" xfId="0" applyFont="1" applyAlignment="1">
      <alignment horizontal="center" vertical="center"/>
    </xf>
    <xf numFmtId="0" fontId="41" fillId="15" borderId="84" xfId="0" applyFont="1" applyFill="1" applyBorder="1" applyAlignment="1">
      <alignment horizontal="center" vertical="center"/>
    </xf>
    <xf numFmtId="0" fontId="41" fillId="15" borderId="85" xfId="0" applyFont="1" applyFill="1" applyBorder="1" applyAlignment="1">
      <alignment horizontal="center" vertical="center"/>
    </xf>
    <xf numFmtId="0" fontId="41" fillId="15" borderId="86" xfId="0" applyFont="1" applyFill="1" applyBorder="1" applyAlignment="1">
      <alignment horizontal="center" vertical="center"/>
    </xf>
    <xf numFmtId="0" fontId="39" fillId="11" borderId="15" xfId="0" applyFont="1" applyFill="1" applyBorder="1" applyAlignment="1">
      <alignment horizontal="center" vertical="top"/>
    </xf>
    <xf numFmtId="0" fontId="0" fillId="10" borderId="15" xfId="0" applyFill="1" applyBorder="1" applyAlignment="1">
      <alignment horizontal="center"/>
    </xf>
    <xf numFmtId="0" fontId="35" fillId="9" borderId="81" xfId="0" applyFont="1" applyFill="1" applyBorder="1" applyAlignment="1">
      <alignment horizontal="center" vertical="center"/>
    </xf>
    <xf numFmtId="0" fontId="35" fillId="9" borderId="26" xfId="0" applyFont="1" applyFill="1" applyBorder="1" applyAlignment="1">
      <alignment horizontal="center" vertical="center"/>
    </xf>
    <xf numFmtId="0" fontId="36" fillId="9" borderId="82" xfId="0" applyFont="1" applyFill="1" applyBorder="1" applyAlignment="1">
      <alignment horizontal="center" vertical="center" wrapText="1"/>
    </xf>
    <xf numFmtId="0" fontId="36" fillId="9" borderId="65" xfId="0" applyFont="1" applyFill="1" applyBorder="1" applyAlignment="1">
      <alignment horizontal="center" vertical="center" wrapText="1"/>
    </xf>
    <xf numFmtId="0" fontId="40" fillId="10" borderId="15" xfId="0" applyFont="1" applyFill="1" applyBorder="1" applyAlignment="1">
      <alignment horizontal="center" vertical="top"/>
    </xf>
    <xf numFmtId="0" fontId="41" fillId="15" borderId="37" xfId="0" applyFont="1" applyFill="1" applyBorder="1" applyAlignment="1">
      <alignment horizontal="center" vertical="center"/>
    </xf>
    <xf numFmtId="0" fontId="41" fillId="15" borderId="14" xfId="0" applyFont="1" applyFill="1" applyBorder="1" applyAlignment="1">
      <alignment horizontal="center" vertical="center"/>
    </xf>
    <xf numFmtId="0" fontId="41" fillId="15" borderId="60" xfId="0" applyFont="1" applyFill="1" applyBorder="1" applyAlignment="1">
      <alignment horizontal="center" vertical="center"/>
    </xf>
    <xf numFmtId="0" fontId="42" fillId="15" borderId="83" xfId="0" applyFont="1" applyFill="1" applyBorder="1" applyAlignment="1">
      <alignment horizontal="center" vertical="center"/>
    </xf>
    <xf numFmtId="0" fontId="42" fillId="15" borderId="58" xfId="0" applyFont="1" applyFill="1" applyBorder="1" applyAlignment="1">
      <alignment horizontal="center" vertical="center"/>
    </xf>
    <xf numFmtId="49" fontId="29" fillId="8" borderId="2" xfId="0" applyNumberFormat="1" applyFont="1" applyFill="1" applyBorder="1" applyAlignment="1">
      <alignment horizontal="center" vertical="center" wrapText="1"/>
    </xf>
    <xf numFmtId="49" fontId="29" fillId="8" borderId="4" xfId="0" applyNumberFormat="1" applyFont="1" applyFill="1" applyBorder="1" applyAlignment="1">
      <alignment horizontal="center" vertical="center" wrapText="1"/>
    </xf>
    <xf numFmtId="0" fontId="30" fillId="8" borderId="6" xfId="0" applyFont="1" applyFill="1" applyBorder="1" applyAlignment="1">
      <alignment horizontal="center" vertical="center" wrapText="1"/>
    </xf>
    <xf numFmtId="0" fontId="30" fillId="8" borderId="8" xfId="0" applyFont="1" applyFill="1" applyBorder="1" applyAlignment="1">
      <alignment horizontal="center" vertical="center" wrapText="1"/>
    </xf>
    <xf numFmtId="0" fontId="30" fillId="8" borderId="9" xfId="0" applyFont="1" applyFill="1" applyBorder="1" applyAlignment="1">
      <alignment horizontal="center" vertical="center" wrapText="1"/>
    </xf>
    <xf numFmtId="0" fontId="30" fillId="8" borderId="10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4" fontId="29" fillId="0" borderId="1" xfId="5" applyNumberFormat="1" applyFont="1" applyFill="1" applyBorder="1" applyAlignment="1" applyProtection="1">
      <alignment horizontal="center" vertical="center"/>
      <protection hidden="1"/>
    </xf>
    <xf numFmtId="4" fontId="30" fillId="0" borderId="1" xfId="5" applyNumberFormat="1" applyFont="1" applyFill="1" applyBorder="1" applyAlignment="1" applyProtection="1">
      <alignment horizontal="center" vertical="center"/>
      <protection hidden="1"/>
    </xf>
    <xf numFmtId="49" fontId="26" fillId="0" borderId="1" xfId="0" applyNumberFormat="1" applyFont="1" applyBorder="1" applyAlignment="1" applyProtection="1">
      <alignment horizontal="center"/>
      <protection locked="0"/>
    </xf>
    <xf numFmtId="4" fontId="30" fillId="0" borderId="34" xfId="5" applyNumberFormat="1" applyFont="1" applyFill="1" applyBorder="1" applyAlignment="1" applyProtection="1">
      <alignment horizontal="center" vertical="center"/>
      <protection hidden="1"/>
    </xf>
    <xf numFmtId="4" fontId="30" fillId="0" borderId="87" xfId="5" applyNumberFormat="1" applyFont="1" applyFill="1" applyBorder="1" applyAlignment="1" applyProtection="1">
      <alignment horizontal="center" vertical="center"/>
      <protection hidden="1"/>
    </xf>
    <xf numFmtId="4" fontId="30" fillId="0" borderId="65" xfId="5" applyNumberFormat="1" applyFont="1" applyFill="1" applyBorder="1" applyAlignment="1" applyProtection="1">
      <alignment horizontal="center" vertical="center"/>
      <protection hidden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3" fontId="45" fillId="0" borderId="1" xfId="0" applyNumberFormat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/>
    </xf>
    <xf numFmtId="4" fontId="29" fillId="0" borderId="34" xfId="5" applyNumberFormat="1" applyFont="1" applyFill="1" applyBorder="1" applyAlignment="1" applyProtection="1">
      <alignment horizontal="center" vertical="center"/>
      <protection hidden="1"/>
    </xf>
    <xf numFmtId="4" fontId="29" fillId="0" borderId="87" xfId="5" applyNumberFormat="1" applyFont="1" applyFill="1" applyBorder="1" applyAlignment="1" applyProtection="1">
      <alignment horizontal="center" vertical="center"/>
      <protection hidden="1"/>
    </xf>
    <xf numFmtId="4" fontId="29" fillId="0" borderId="65" xfId="5" applyNumberFormat="1" applyFont="1" applyFill="1" applyBorder="1" applyAlignment="1" applyProtection="1">
      <alignment horizontal="center" vertical="center"/>
      <protection hidden="1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0" fillId="8" borderId="11" xfId="0" applyFont="1" applyFill="1" applyBorder="1" applyAlignment="1">
      <alignment horizontal="center" vertical="center" wrapText="1"/>
    </xf>
    <xf numFmtId="0" fontId="30" fillId="8" borderId="13" xfId="0" applyFont="1" applyFill="1" applyBorder="1" applyAlignment="1">
      <alignment horizontal="center" vertical="center" wrapText="1"/>
    </xf>
    <xf numFmtId="49" fontId="31" fillId="0" borderId="2" xfId="0" applyNumberFormat="1" applyFont="1" applyBorder="1" applyAlignment="1">
      <alignment horizontal="center" vertical="center"/>
    </xf>
    <xf numFmtId="49" fontId="31" fillId="0" borderId="4" xfId="0" applyNumberFormat="1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87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44" fillId="0" borderId="87" xfId="0" applyFont="1" applyBorder="1" applyAlignment="1">
      <alignment horizontal="center" vertical="center"/>
    </xf>
    <xf numFmtId="3" fontId="45" fillId="0" borderId="34" xfId="0" applyNumberFormat="1" applyFont="1" applyBorder="1" applyAlignment="1">
      <alignment horizontal="center" vertical="center" wrapText="1"/>
    </xf>
    <xf numFmtId="3" fontId="45" fillId="0" borderId="87" xfId="0" applyNumberFormat="1" applyFont="1" applyBorder="1" applyAlignment="1">
      <alignment horizontal="center" vertical="center" wrapText="1"/>
    </xf>
    <xf numFmtId="49" fontId="26" fillId="0" borderId="2" xfId="0" applyNumberFormat="1" applyFont="1" applyBorder="1" applyAlignment="1" applyProtection="1">
      <alignment horizontal="center"/>
      <protection locked="0"/>
    </xf>
    <xf numFmtId="49" fontId="26" fillId="0" borderId="4" xfId="0" applyNumberFormat="1" applyFont="1" applyBorder="1" applyAlignment="1" applyProtection="1">
      <alignment horizontal="center"/>
      <protection locked="0"/>
    </xf>
    <xf numFmtId="0" fontId="46" fillId="8" borderId="2" xfId="0" applyFont="1" applyFill="1" applyBorder="1" applyAlignment="1">
      <alignment horizontal="center" vertical="center"/>
    </xf>
    <xf numFmtId="0" fontId="46" fillId="8" borderId="3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47" fillId="15" borderId="12" xfId="0" applyFont="1" applyFill="1" applyBorder="1" applyAlignment="1">
      <alignment horizontal="center" vertical="center" wrapText="1"/>
    </xf>
    <xf numFmtId="0" fontId="48" fillId="15" borderId="12" xfId="0" applyFont="1" applyFill="1" applyBorder="1" applyAlignment="1">
      <alignment horizontal="center" vertical="center" wrapText="1"/>
    </xf>
    <xf numFmtId="0" fontId="30" fillId="6" borderId="6" xfId="0" applyFont="1" applyFill="1" applyBorder="1" applyAlignment="1">
      <alignment horizontal="center" vertical="center" wrapText="1"/>
    </xf>
    <xf numFmtId="0" fontId="30" fillId="6" borderId="97" xfId="0" applyFont="1" applyFill="1" applyBorder="1" applyAlignment="1">
      <alignment horizontal="center" vertical="center" wrapText="1"/>
    </xf>
    <xf numFmtId="0" fontId="30" fillId="6" borderId="98" xfId="0" applyFont="1" applyFill="1" applyBorder="1" applyAlignment="1">
      <alignment horizontal="center" vertical="center" wrapText="1"/>
    </xf>
    <xf numFmtId="0" fontId="30" fillId="6" borderId="99" xfId="0" applyFont="1" applyFill="1" applyBorder="1" applyAlignment="1">
      <alignment horizontal="center" vertical="center" wrapText="1"/>
    </xf>
    <xf numFmtId="0" fontId="29" fillId="0" borderId="66" xfId="0" applyFont="1" applyBorder="1" applyAlignment="1">
      <alignment horizontal="left" vertical="center"/>
    </xf>
    <xf numFmtId="0" fontId="29" fillId="0" borderId="67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7" fillId="15" borderId="88" xfId="0" applyFont="1" applyFill="1" applyBorder="1" applyAlignment="1">
      <alignment horizontal="center" vertical="center" wrapText="1"/>
    </xf>
    <xf numFmtId="0" fontId="47" fillId="15" borderId="85" xfId="0" applyFont="1" applyFill="1" applyBorder="1" applyAlignment="1">
      <alignment horizontal="center" vertical="center" wrapText="1"/>
    </xf>
    <xf numFmtId="0" fontId="46" fillId="8" borderId="62" xfId="0" applyFont="1" applyFill="1" applyBorder="1" applyAlignment="1">
      <alignment horizontal="center" vertical="center"/>
    </xf>
    <xf numFmtId="0" fontId="46" fillId="8" borderId="16" xfId="0" applyFont="1" applyFill="1" applyBorder="1" applyAlignment="1">
      <alignment horizontal="center" vertical="center"/>
    </xf>
    <xf numFmtId="0" fontId="46" fillId="8" borderId="89" xfId="0" applyFont="1" applyFill="1" applyBorder="1" applyAlignment="1">
      <alignment horizontal="center" vertical="center"/>
    </xf>
    <xf numFmtId="49" fontId="31" fillId="0" borderId="41" xfId="0" applyNumberFormat="1" applyFont="1" applyBorder="1" applyAlignment="1">
      <alignment horizontal="center" vertical="center"/>
    </xf>
    <xf numFmtId="165" fontId="49" fillId="4" borderId="14" xfId="4" applyFont="1" applyFill="1" applyBorder="1" applyAlignment="1">
      <alignment horizontal="center"/>
    </xf>
    <xf numFmtId="165" fontId="49" fillId="4" borderId="60" xfId="4" applyFont="1" applyFill="1" applyBorder="1" applyAlignment="1">
      <alignment horizontal="center"/>
    </xf>
    <xf numFmtId="0" fontId="29" fillId="0" borderId="38" xfId="0" applyFont="1" applyBorder="1" applyAlignment="1">
      <alignment horizontal="center" vertical="center" wrapText="1"/>
    </xf>
    <xf numFmtId="0" fontId="29" fillId="0" borderId="95" xfId="0" applyFont="1" applyBorder="1" applyAlignment="1">
      <alignment horizontal="center" vertical="center" wrapText="1"/>
    </xf>
    <xf numFmtId="0" fontId="29" fillId="0" borderId="96" xfId="0" applyFont="1" applyBorder="1" applyAlignment="1">
      <alignment horizontal="center" vertical="center" wrapText="1"/>
    </xf>
    <xf numFmtId="0" fontId="31" fillId="0" borderId="90" xfId="0" applyFont="1" applyBorder="1" applyAlignment="1">
      <alignment horizontal="center" vertical="center"/>
    </xf>
    <xf numFmtId="3" fontId="26" fillId="0" borderId="34" xfId="0" applyNumberFormat="1" applyFont="1" applyBorder="1" applyAlignment="1">
      <alignment horizontal="center" vertical="center" wrapText="1"/>
    </xf>
    <xf numFmtId="3" fontId="26" fillId="0" borderId="87" xfId="0" applyNumberFormat="1" applyFont="1" applyBorder="1" applyAlignment="1">
      <alignment horizontal="center" vertical="center" wrapText="1"/>
    </xf>
    <xf numFmtId="3" fontId="26" fillId="0" borderId="90" xfId="0" applyNumberFormat="1" applyFont="1" applyBorder="1" applyAlignment="1">
      <alignment horizontal="center" vertical="center" wrapText="1"/>
    </xf>
    <xf numFmtId="49" fontId="29" fillId="6" borderId="2" xfId="0" applyNumberFormat="1" applyFont="1" applyFill="1" applyBorder="1" applyAlignment="1">
      <alignment horizontal="center" vertical="center" wrapText="1"/>
    </xf>
    <xf numFmtId="49" fontId="29" fillId="6" borderId="3" xfId="0" applyNumberFormat="1" applyFont="1" applyFill="1" applyBorder="1" applyAlignment="1">
      <alignment horizontal="center" vertical="center" wrapText="1"/>
    </xf>
    <xf numFmtId="49" fontId="29" fillId="6" borderId="4" xfId="0" applyNumberFormat="1" applyFont="1" applyFill="1" applyBorder="1" applyAlignment="1">
      <alignment horizontal="center" vertical="center" wrapText="1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23" fillId="10" borderId="37" xfId="0" applyFont="1" applyFill="1" applyBorder="1" applyAlignment="1">
      <alignment horizontal="center"/>
    </xf>
    <xf numFmtId="0" fontId="23" fillId="10" borderId="14" xfId="0" applyFont="1" applyFill="1" applyBorder="1" applyAlignment="1">
      <alignment horizontal="center"/>
    </xf>
    <xf numFmtId="0" fontId="20" fillId="11" borderId="37" xfId="0" applyFont="1" applyFill="1" applyBorder="1" applyAlignment="1">
      <alignment horizontal="center"/>
    </xf>
    <xf numFmtId="0" fontId="20" fillId="11" borderId="14" xfId="0" applyFont="1" applyFill="1" applyBorder="1" applyAlignment="1">
      <alignment horizontal="center"/>
    </xf>
    <xf numFmtId="44" fontId="23" fillId="4" borderId="14" xfId="0" applyNumberFormat="1" applyFont="1" applyFill="1" applyBorder="1" applyAlignment="1">
      <alignment horizontal="center"/>
    </xf>
    <xf numFmtId="0" fontId="23" fillId="4" borderId="60" xfId="0" applyFont="1" applyFill="1" applyBorder="1" applyAlignment="1">
      <alignment horizontal="center"/>
    </xf>
    <xf numFmtId="4" fontId="29" fillId="0" borderId="34" xfId="4" applyNumberFormat="1" applyFont="1" applyFill="1" applyBorder="1" applyAlignment="1" applyProtection="1">
      <alignment horizontal="center" vertical="center"/>
      <protection hidden="1"/>
    </xf>
    <xf numFmtId="4" fontId="29" fillId="0" borderId="87" xfId="4" applyNumberFormat="1" applyFont="1" applyFill="1" applyBorder="1" applyAlignment="1" applyProtection="1">
      <alignment horizontal="center" vertical="center"/>
      <protection hidden="1"/>
    </xf>
    <xf numFmtId="4" fontId="29" fillId="0" borderId="90" xfId="4" applyNumberFormat="1" applyFont="1" applyFill="1" applyBorder="1" applyAlignment="1" applyProtection="1">
      <alignment horizontal="center" vertical="center"/>
      <protection hidden="1"/>
    </xf>
    <xf numFmtId="4" fontId="30" fillId="0" borderId="91" xfId="4" applyNumberFormat="1" applyFont="1" applyFill="1" applyBorder="1" applyAlignment="1" applyProtection="1">
      <alignment horizontal="center" vertical="center"/>
      <protection hidden="1"/>
    </xf>
    <xf numFmtId="4" fontId="30" fillId="0" borderId="92" xfId="4" applyNumberFormat="1" applyFont="1" applyFill="1" applyBorder="1" applyAlignment="1" applyProtection="1">
      <alignment horizontal="center" vertical="center"/>
      <protection hidden="1"/>
    </xf>
    <xf numFmtId="4" fontId="30" fillId="0" borderId="93" xfId="4" applyNumberFormat="1" applyFont="1" applyFill="1" applyBorder="1" applyAlignment="1" applyProtection="1">
      <alignment horizontal="center" vertical="center"/>
      <protection hidden="1"/>
    </xf>
    <xf numFmtId="49" fontId="31" fillId="0" borderId="55" xfId="0" applyNumberFormat="1" applyFont="1" applyBorder="1" applyAlignment="1">
      <alignment horizontal="center" vertical="center"/>
    </xf>
    <xf numFmtId="49" fontId="31" fillId="0" borderId="44" xfId="0" applyNumberFormat="1" applyFont="1" applyBorder="1" applyAlignment="1">
      <alignment horizontal="center" vertical="center"/>
    </xf>
    <xf numFmtId="0" fontId="29" fillId="0" borderId="88" xfId="0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94" xfId="0" applyFont="1" applyBorder="1" applyAlignment="1">
      <alignment horizontal="left" vertical="center"/>
    </xf>
    <xf numFmtId="0" fontId="29" fillId="0" borderId="84" xfId="0" applyFont="1" applyBorder="1" applyAlignment="1">
      <alignment horizontal="left" vertical="center"/>
    </xf>
    <xf numFmtId="0" fontId="46" fillId="0" borderId="11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4" borderId="1" xfId="8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9" fontId="1" fillId="0" borderId="3" xfId="11" applyFont="1" applyBorder="1" applyAlignment="1">
      <alignment horizontal="center" vertical="center" wrapText="1"/>
    </xf>
    <xf numFmtId="9" fontId="1" fillId="0" borderId="4" xfId="1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0" borderId="3" xfId="4" applyFont="1" applyBorder="1" applyAlignment="1">
      <alignment horizontal="center" vertical="center" wrapText="1"/>
    </xf>
    <xf numFmtId="165" fontId="1" fillId="0" borderId="4" xfId="4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4" xfId="0" applyFont="1" applyBorder="1" applyAlignment="1">
      <alignment horizontal="left" vertical="center" wrapText="1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52" fillId="0" borderId="4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1" fillId="16" borderId="12" xfId="8" applyFont="1" applyFill="1" applyBorder="1" applyAlignment="1">
      <alignment horizontal="center" vertical="center"/>
    </xf>
    <xf numFmtId="0" fontId="3" fillId="6" borderId="2" xfId="8" applyFont="1" applyFill="1" applyBorder="1" applyAlignment="1">
      <alignment horizontal="right" vertical="center"/>
    </xf>
    <xf numFmtId="0" fontId="3" fillId="6" borderId="3" xfId="8" applyFont="1" applyFill="1" applyBorder="1" applyAlignment="1">
      <alignment horizontal="right" vertical="center"/>
    </xf>
    <xf numFmtId="0" fontId="1" fillId="0" borderId="1" xfId="8" applyBorder="1" applyAlignment="1">
      <alignment horizontal="justify" vertical="center" wrapText="1"/>
    </xf>
    <xf numFmtId="9" fontId="1" fillId="0" borderId="2" xfId="11" applyFont="1" applyFill="1" applyBorder="1" applyAlignment="1" applyProtection="1">
      <alignment horizontal="center" vertical="center" wrapText="1"/>
    </xf>
    <xf numFmtId="9" fontId="52" fillId="0" borderId="4" xfId="11" applyFont="1" applyBorder="1" applyAlignment="1">
      <alignment horizontal="center" vertical="center" wrapText="1"/>
    </xf>
    <xf numFmtId="10" fontId="3" fillId="4" borderId="1" xfId="1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52" fillId="0" borderId="13" xfId="0" applyFont="1" applyBorder="1" applyAlignment="1">
      <alignment horizontal="center" vertical="center" wrapText="1"/>
    </xf>
    <xf numFmtId="10" fontId="1" fillId="0" borderId="2" xfId="11" applyNumberFormat="1" applyFont="1" applyFill="1" applyBorder="1" applyAlignment="1" applyProtection="1">
      <alignment horizontal="center" vertical="center" wrapText="1"/>
    </xf>
    <xf numFmtId="10" fontId="52" fillId="0" borderId="4" xfId="11" applyNumberFormat="1" applyFont="1" applyBorder="1" applyAlignment="1">
      <alignment horizontal="center" vertical="center" wrapText="1"/>
    </xf>
  </cellXfs>
  <cellStyles count="15">
    <cellStyle name="Hiperlink" xfId="1" builtinId="8"/>
    <cellStyle name="Hiperlink 2" xfId="2" xr:uid="{00000000-0005-0000-0000-000001000000}"/>
    <cellStyle name="Hiperlink 2 2" xfId="3" xr:uid="{00000000-0005-0000-0000-000002000000}"/>
    <cellStyle name="Moeda" xfId="4" builtinId="4"/>
    <cellStyle name="Moeda 2" xfId="5" xr:uid="{00000000-0005-0000-0000-000004000000}"/>
    <cellStyle name="Moeda 3" xfId="6" xr:uid="{00000000-0005-0000-0000-000005000000}"/>
    <cellStyle name="Moeda 4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Porcentagem" xfId="11" builtinId="5"/>
    <cellStyle name="Porcentagem 2" xfId="12" xr:uid="{00000000-0005-0000-0000-00000C000000}"/>
    <cellStyle name="Vírgula" xfId="13" builtinId="3"/>
    <cellStyle name="Vírgula 2" xfId="14" xr:uid="{00000000-0005-0000-0000-00000E000000}"/>
  </cellStyles>
  <dxfs count="4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31750</xdr:colOff>
      <xdr:row>0</xdr:row>
      <xdr:rowOff>520700</xdr:rowOff>
    </xdr:to>
    <xdr:pic>
      <xdr:nvPicPr>
        <xdr:cNvPr id="1453213" name="Imagem 1">
          <a:extLst>
            <a:ext uri="{FF2B5EF4-FFF2-40B4-BE49-F238E27FC236}">
              <a16:creationId xmlns:a16="http://schemas.microsoft.com/office/drawing/2014/main" id="{F51852F0-E6B8-452C-B145-1CF1BCC54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31750</xdr:colOff>
      <xdr:row>0</xdr:row>
      <xdr:rowOff>520700</xdr:rowOff>
    </xdr:to>
    <xdr:pic>
      <xdr:nvPicPr>
        <xdr:cNvPr id="1454197" name="Imagem 1">
          <a:extLst>
            <a:ext uri="{FF2B5EF4-FFF2-40B4-BE49-F238E27FC236}">
              <a16:creationId xmlns:a16="http://schemas.microsoft.com/office/drawing/2014/main" id="{9D1E63A1-BECF-CA21-B926-5483F98A0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0</xdr:rowOff>
    </xdr:from>
    <xdr:to>
      <xdr:col>1</xdr:col>
      <xdr:colOff>996950</xdr:colOff>
      <xdr:row>1</xdr:row>
      <xdr:rowOff>349250</xdr:rowOff>
    </xdr:to>
    <xdr:pic>
      <xdr:nvPicPr>
        <xdr:cNvPr id="1403371" name="Imagem 1" descr="anac_comp_horz_esp-cor.png">
          <a:extLst>
            <a:ext uri="{FF2B5EF4-FFF2-40B4-BE49-F238E27FC236}">
              <a16:creationId xmlns:a16="http://schemas.microsoft.com/office/drawing/2014/main" id="{63AA8093-7B19-18AF-07F1-A289CFD56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73050"/>
          <a:ext cx="86995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38100</xdr:rowOff>
    </xdr:from>
    <xdr:to>
      <xdr:col>3</xdr:col>
      <xdr:colOff>368300</xdr:colOff>
      <xdr:row>0</xdr:row>
      <xdr:rowOff>457200</xdr:rowOff>
    </xdr:to>
    <xdr:pic>
      <xdr:nvPicPr>
        <xdr:cNvPr id="1330800" name="Imagem 1" descr="anac_comp_horz_esp-cor.png">
          <a:extLst>
            <a:ext uri="{FF2B5EF4-FFF2-40B4-BE49-F238E27FC236}">
              <a16:creationId xmlns:a16="http://schemas.microsoft.com/office/drawing/2014/main" id="{4ED15BA4-FD20-8DD7-8206-690EF59FB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8100"/>
          <a:ext cx="11938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31750</xdr:rowOff>
    </xdr:from>
    <xdr:to>
      <xdr:col>3</xdr:col>
      <xdr:colOff>571500</xdr:colOff>
      <xdr:row>0</xdr:row>
      <xdr:rowOff>552450</xdr:rowOff>
    </xdr:to>
    <xdr:pic>
      <xdr:nvPicPr>
        <xdr:cNvPr id="1470501" name="Imagem 1" descr="anac_comp_horz_esp-cor.png">
          <a:extLst>
            <a:ext uri="{FF2B5EF4-FFF2-40B4-BE49-F238E27FC236}">
              <a16:creationId xmlns:a16="http://schemas.microsoft.com/office/drawing/2014/main" id="{EF2588CE-479B-7984-F086-13EEFDBA0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31750"/>
          <a:ext cx="137795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25400</xdr:rowOff>
    </xdr:from>
    <xdr:to>
      <xdr:col>3</xdr:col>
      <xdr:colOff>590550</xdr:colOff>
      <xdr:row>1</xdr:row>
      <xdr:rowOff>6350</xdr:rowOff>
    </xdr:to>
    <xdr:pic>
      <xdr:nvPicPr>
        <xdr:cNvPr id="1456229" name="Imagem 1" descr="anac_comp_horz_esp-cor.png">
          <a:extLst>
            <a:ext uri="{FF2B5EF4-FFF2-40B4-BE49-F238E27FC236}">
              <a16:creationId xmlns:a16="http://schemas.microsoft.com/office/drawing/2014/main" id="{2A239B91-05FF-FC2A-0D8F-D8E5E287B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25400"/>
          <a:ext cx="14859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57150</xdr:rowOff>
    </xdr:from>
    <xdr:to>
      <xdr:col>3</xdr:col>
      <xdr:colOff>603250</xdr:colOff>
      <xdr:row>1</xdr:row>
      <xdr:rowOff>0</xdr:rowOff>
    </xdr:to>
    <xdr:pic>
      <xdr:nvPicPr>
        <xdr:cNvPr id="1312490" name="Imagem 1" descr="anac_comp_horz_esp-cor.png">
          <a:extLst>
            <a:ext uri="{FF2B5EF4-FFF2-40B4-BE49-F238E27FC236}">
              <a16:creationId xmlns:a16="http://schemas.microsoft.com/office/drawing/2014/main" id="{27332F3F-BF54-1048-5927-31C6BED15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7150"/>
          <a:ext cx="13335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158750</xdr:colOff>
      <xdr:row>18</xdr:row>
      <xdr:rowOff>57150</xdr:rowOff>
    </xdr:from>
    <xdr:to>
      <xdr:col>3</xdr:col>
      <xdr:colOff>603250</xdr:colOff>
      <xdr:row>18</xdr:row>
      <xdr:rowOff>450850</xdr:rowOff>
    </xdr:to>
    <xdr:pic>
      <xdr:nvPicPr>
        <xdr:cNvPr id="1312491" name="Imagem 1" descr="anac_comp_horz_esp-cor.png">
          <a:extLst>
            <a:ext uri="{FF2B5EF4-FFF2-40B4-BE49-F238E27FC236}">
              <a16:creationId xmlns:a16="http://schemas.microsoft.com/office/drawing/2014/main" id="{39F7C357-6044-6BEE-6BB8-AABB13FD5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759200"/>
          <a:ext cx="13335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38100</xdr:colOff>
      <xdr:row>0</xdr:row>
      <xdr:rowOff>381000</xdr:rowOff>
    </xdr:to>
    <xdr:pic>
      <xdr:nvPicPr>
        <xdr:cNvPr id="1407437" name="Imagem 1" descr="anac_comp_horz_esp-cor.png">
          <a:extLst>
            <a:ext uri="{FF2B5EF4-FFF2-40B4-BE49-F238E27FC236}">
              <a16:creationId xmlns:a16="http://schemas.microsoft.com/office/drawing/2014/main" id="{40B7CD4C-F9A8-57B2-26A8-D881D15AD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844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co.amaral\Documents\TRANSI&#199;&#195;O\GTLC\PESQUISA%20DE%20MERCADO\2017\EXPEDIENTE%202017%20-%20aguardando%20procuradoria\Planilhas%20SEI\Compra%20Almox%202017%20(Recuperado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lton.uemura\Downloads\Custos_para_contratacao_de_seguranca_VS_FINAL_T_Desarmado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B"/>
      <sheetName val="Porto Alegre"/>
      <sheetName val="RJ"/>
      <sheetName val="São Paulo"/>
      <sheetName val="Recife"/>
      <sheetName val="Consolidado"/>
      <sheetName val="REFERÊNCIA"/>
      <sheetName val="Stats"/>
      <sheetName val="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B4">
            <v>316632</v>
          </cell>
        </row>
        <row r="5">
          <cell r="B5">
            <v>203488</v>
          </cell>
        </row>
        <row r="6">
          <cell r="B6">
            <v>150750</v>
          </cell>
        </row>
        <row r="7">
          <cell r="B7">
            <v>284284</v>
          </cell>
        </row>
        <row r="8">
          <cell r="B8">
            <v>150511</v>
          </cell>
        </row>
        <row r="9">
          <cell r="B9">
            <v>282826</v>
          </cell>
        </row>
        <row r="10">
          <cell r="B10">
            <v>150746</v>
          </cell>
        </row>
        <row r="11">
          <cell r="B11">
            <v>289328</v>
          </cell>
        </row>
        <row r="12">
          <cell r="B12">
            <v>237810</v>
          </cell>
        </row>
        <row r="13">
          <cell r="B13">
            <v>206993</v>
          </cell>
        </row>
        <row r="14">
          <cell r="B14">
            <v>234354</v>
          </cell>
        </row>
        <row r="15">
          <cell r="B15">
            <v>302702</v>
          </cell>
        </row>
        <row r="16">
          <cell r="B16">
            <v>249774</v>
          </cell>
        </row>
        <row r="17">
          <cell r="B17">
            <v>203640</v>
          </cell>
        </row>
        <row r="18">
          <cell r="B18">
            <v>390282</v>
          </cell>
        </row>
        <row r="19">
          <cell r="B19">
            <v>377912</v>
          </cell>
        </row>
        <row r="20">
          <cell r="B20">
            <v>377909</v>
          </cell>
        </row>
        <row r="21">
          <cell r="B21">
            <v>389314</v>
          </cell>
        </row>
        <row r="22">
          <cell r="B22">
            <v>263613</v>
          </cell>
        </row>
        <row r="23">
          <cell r="B23">
            <v>244441</v>
          </cell>
        </row>
        <row r="24">
          <cell r="B24">
            <v>432149</v>
          </cell>
        </row>
        <row r="25">
          <cell r="B25">
            <v>200621</v>
          </cell>
        </row>
        <row r="26">
          <cell r="B26">
            <v>234244</v>
          </cell>
        </row>
        <row r="27">
          <cell r="B27">
            <v>338598</v>
          </cell>
        </row>
        <row r="28">
          <cell r="B28">
            <v>310578</v>
          </cell>
        </row>
        <row r="29">
          <cell r="B29">
            <v>309116</v>
          </cell>
        </row>
        <row r="30">
          <cell r="B30">
            <v>228014</v>
          </cell>
        </row>
        <row r="31">
          <cell r="B31">
            <v>200069</v>
          </cell>
        </row>
        <row r="32">
          <cell r="B32">
            <v>289211</v>
          </cell>
        </row>
        <row r="33">
          <cell r="B33">
            <v>279313</v>
          </cell>
        </row>
        <row r="34">
          <cell r="B34">
            <v>279312</v>
          </cell>
        </row>
        <row r="35">
          <cell r="B35">
            <v>203821</v>
          </cell>
        </row>
        <row r="36">
          <cell r="B36">
            <v>203820</v>
          </cell>
        </row>
        <row r="37">
          <cell r="B37">
            <v>203822</v>
          </cell>
        </row>
        <row r="38">
          <cell r="B38">
            <v>150592</v>
          </cell>
        </row>
        <row r="39">
          <cell r="B39">
            <v>239916</v>
          </cell>
        </row>
        <row r="40">
          <cell r="B40">
            <v>357345</v>
          </cell>
        </row>
        <row r="41">
          <cell r="B41">
            <v>262836</v>
          </cell>
        </row>
        <row r="42">
          <cell r="B42">
            <v>325529</v>
          </cell>
        </row>
        <row r="43">
          <cell r="B43">
            <v>292710</v>
          </cell>
        </row>
        <row r="44">
          <cell r="B44">
            <v>274804</v>
          </cell>
        </row>
        <row r="45">
          <cell r="B45">
            <v>274803</v>
          </cell>
        </row>
        <row r="46">
          <cell r="B46">
            <v>281629</v>
          </cell>
        </row>
        <row r="47">
          <cell r="B47">
            <v>394466</v>
          </cell>
        </row>
        <row r="48">
          <cell r="B48">
            <v>282967</v>
          </cell>
        </row>
        <row r="49">
          <cell r="B49">
            <v>292447</v>
          </cell>
        </row>
        <row r="50">
          <cell r="B50">
            <v>278612</v>
          </cell>
        </row>
        <row r="51">
          <cell r="B51">
            <v>226342</v>
          </cell>
        </row>
        <row r="52">
          <cell r="B52">
            <v>225796</v>
          </cell>
        </row>
        <row r="53">
          <cell r="B53">
            <v>263471</v>
          </cell>
        </row>
        <row r="54">
          <cell r="B54">
            <v>361356</v>
          </cell>
        </row>
        <row r="55">
          <cell r="B55">
            <v>287740</v>
          </cell>
        </row>
        <row r="56">
          <cell r="B56">
            <v>294777</v>
          </cell>
        </row>
        <row r="57">
          <cell r="B57">
            <v>374737</v>
          </cell>
        </row>
        <row r="58">
          <cell r="B58">
            <v>253465</v>
          </cell>
        </row>
        <row r="59">
          <cell r="B59">
            <v>241933</v>
          </cell>
        </row>
        <row r="60">
          <cell r="B60">
            <v>313430</v>
          </cell>
        </row>
        <row r="61">
          <cell r="B61">
            <v>247690</v>
          </cell>
        </row>
        <row r="62">
          <cell r="B62">
            <v>352659</v>
          </cell>
        </row>
        <row r="63">
          <cell r="B63">
            <v>257922</v>
          </cell>
        </row>
        <row r="64">
          <cell r="B64">
            <v>275296</v>
          </cell>
        </row>
        <row r="65">
          <cell r="B65">
            <v>321152</v>
          </cell>
        </row>
        <row r="66">
          <cell r="B66">
            <v>390265</v>
          </cell>
        </row>
        <row r="67">
          <cell r="B67">
            <v>390560</v>
          </cell>
        </row>
        <row r="68">
          <cell r="B68">
            <v>407977</v>
          </cell>
        </row>
        <row r="69">
          <cell r="B69">
            <v>407976</v>
          </cell>
        </row>
        <row r="70">
          <cell r="B70">
            <v>233908</v>
          </cell>
        </row>
        <row r="71">
          <cell r="B71">
            <v>324040</v>
          </cell>
        </row>
        <row r="72">
          <cell r="B72">
            <v>285823</v>
          </cell>
        </row>
        <row r="73">
          <cell r="B73">
            <v>260197</v>
          </cell>
        </row>
        <row r="74">
          <cell r="B74">
            <v>238683</v>
          </cell>
        </row>
        <row r="75">
          <cell r="B75">
            <v>388460</v>
          </cell>
        </row>
        <row r="76">
          <cell r="B76">
            <v>388461</v>
          </cell>
        </row>
        <row r="77">
          <cell r="B77">
            <v>285291</v>
          </cell>
        </row>
        <row r="78">
          <cell r="B78">
            <v>283816</v>
          </cell>
        </row>
        <row r="79">
          <cell r="B79">
            <v>278812</v>
          </cell>
        </row>
        <row r="80">
          <cell r="B80">
            <v>228522</v>
          </cell>
        </row>
        <row r="81">
          <cell r="B81">
            <v>229223</v>
          </cell>
        </row>
        <row r="82">
          <cell r="B82">
            <v>328505</v>
          </cell>
        </row>
        <row r="83">
          <cell r="B83">
            <v>279024</v>
          </cell>
        </row>
        <row r="84">
          <cell r="B84">
            <v>327840</v>
          </cell>
        </row>
        <row r="85">
          <cell r="B85">
            <v>279073</v>
          </cell>
        </row>
        <row r="86">
          <cell r="B86">
            <v>356700</v>
          </cell>
        </row>
        <row r="87">
          <cell r="B87">
            <v>318187</v>
          </cell>
        </row>
        <row r="88">
          <cell r="B88">
            <v>229181</v>
          </cell>
        </row>
        <row r="89">
          <cell r="B89">
            <v>288218</v>
          </cell>
        </row>
        <row r="90">
          <cell r="B90">
            <v>203343</v>
          </cell>
        </row>
        <row r="91">
          <cell r="B91">
            <v>203335</v>
          </cell>
        </row>
        <row r="92">
          <cell r="B92">
            <v>203585</v>
          </cell>
        </row>
        <row r="93">
          <cell r="B93">
            <v>288921</v>
          </cell>
        </row>
        <row r="94">
          <cell r="B94">
            <v>234581</v>
          </cell>
        </row>
        <row r="95">
          <cell r="B95">
            <v>232421</v>
          </cell>
        </row>
        <row r="96">
          <cell r="B96">
            <v>274954</v>
          </cell>
        </row>
        <row r="97">
          <cell r="B97">
            <v>244698</v>
          </cell>
        </row>
        <row r="98">
          <cell r="B98">
            <v>336780</v>
          </cell>
        </row>
        <row r="99">
          <cell r="B99">
            <v>300536</v>
          </cell>
        </row>
        <row r="100">
          <cell r="B100">
            <v>323993</v>
          </cell>
        </row>
        <row r="101">
          <cell r="B101">
            <v>203137</v>
          </cell>
        </row>
        <row r="102">
          <cell r="B102">
            <v>265927</v>
          </cell>
        </row>
        <row r="103">
          <cell r="B103">
            <v>292449</v>
          </cell>
        </row>
        <row r="104">
          <cell r="B104">
            <v>300295</v>
          </cell>
        </row>
        <row r="105">
          <cell r="B105">
            <v>409001</v>
          </cell>
        </row>
        <row r="106">
          <cell r="B106">
            <v>389774</v>
          </cell>
        </row>
        <row r="107">
          <cell r="B107">
            <v>389775</v>
          </cell>
        </row>
        <row r="108">
          <cell r="B108">
            <v>252587</v>
          </cell>
        </row>
        <row r="109">
          <cell r="B109">
            <v>337247</v>
          </cell>
        </row>
        <row r="110">
          <cell r="B110">
            <v>245187</v>
          </cell>
        </row>
        <row r="111">
          <cell r="B111">
            <v>336575</v>
          </cell>
        </row>
        <row r="112">
          <cell r="B112">
            <v>258352</v>
          </cell>
        </row>
        <row r="113">
          <cell r="B113">
            <v>269947</v>
          </cell>
        </row>
        <row r="114">
          <cell r="B114">
            <v>231171</v>
          </cell>
        </row>
        <row r="115">
          <cell r="B115">
            <v>298560</v>
          </cell>
        </row>
        <row r="116">
          <cell r="B116">
            <v>355671</v>
          </cell>
        </row>
        <row r="117">
          <cell r="B117">
            <v>203351</v>
          </cell>
        </row>
        <row r="118">
          <cell r="B118">
            <v>245461</v>
          </cell>
        </row>
        <row r="119">
          <cell r="B119">
            <v>234508</v>
          </cell>
        </row>
        <row r="120">
          <cell r="B120">
            <v>330200</v>
          </cell>
        </row>
        <row r="121">
          <cell r="B121">
            <v>403456</v>
          </cell>
        </row>
        <row r="122">
          <cell r="B122">
            <v>300701</v>
          </cell>
        </row>
        <row r="123">
          <cell r="B123">
            <v>203550</v>
          </cell>
        </row>
        <row r="124">
          <cell r="B124">
            <v>238942</v>
          </cell>
        </row>
        <row r="125">
          <cell r="B125">
            <v>238066</v>
          </cell>
        </row>
        <row r="126">
          <cell r="B126">
            <v>391447</v>
          </cell>
        </row>
        <row r="127">
          <cell r="B127">
            <v>200399</v>
          </cell>
        </row>
        <row r="128">
          <cell r="B128">
            <v>965</v>
          </cell>
        </row>
        <row r="129">
          <cell r="B129">
            <v>247478</v>
          </cell>
        </row>
        <row r="130">
          <cell r="B130">
            <v>242651</v>
          </cell>
        </row>
        <row r="131">
          <cell r="B131">
            <v>232233</v>
          </cell>
        </row>
        <row r="132">
          <cell r="B132">
            <v>233907</v>
          </cell>
        </row>
        <row r="133">
          <cell r="B133">
            <v>283073</v>
          </cell>
        </row>
        <row r="134">
          <cell r="B134">
            <v>285101</v>
          </cell>
        </row>
        <row r="135">
          <cell r="B135">
            <v>389269</v>
          </cell>
        </row>
        <row r="136">
          <cell r="B136">
            <v>284509</v>
          </cell>
        </row>
        <row r="137">
          <cell r="B137">
            <v>262635</v>
          </cell>
        </row>
        <row r="138">
          <cell r="B138">
            <v>262636</v>
          </cell>
        </row>
        <row r="139">
          <cell r="B139">
            <v>282032</v>
          </cell>
        </row>
        <row r="140">
          <cell r="B140">
            <v>244622</v>
          </cell>
        </row>
        <row r="141">
          <cell r="B141">
            <v>246120</v>
          </cell>
        </row>
        <row r="142">
          <cell r="B142">
            <v>356684</v>
          </cell>
        </row>
        <row r="143">
          <cell r="B143">
            <v>356146</v>
          </cell>
        </row>
        <row r="144">
          <cell r="B144">
            <v>274259</v>
          </cell>
        </row>
        <row r="145">
          <cell r="B145">
            <v>283063</v>
          </cell>
        </row>
        <row r="146">
          <cell r="B146">
            <v>262642</v>
          </cell>
        </row>
        <row r="147">
          <cell r="B147">
            <v>258537</v>
          </cell>
        </row>
        <row r="148">
          <cell r="B148">
            <v>251750</v>
          </cell>
        </row>
        <row r="149">
          <cell r="B149">
            <v>202369</v>
          </cell>
        </row>
        <row r="150">
          <cell r="B150">
            <v>403984</v>
          </cell>
        </row>
        <row r="151">
          <cell r="B151">
            <v>403983</v>
          </cell>
        </row>
        <row r="152">
          <cell r="B152">
            <v>202044</v>
          </cell>
        </row>
        <row r="153">
          <cell r="B153">
            <v>202045</v>
          </cell>
        </row>
        <row r="154">
          <cell r="B154">
            <v>202047</v>
          </cell>
        </row>
        <row r="155">
          <cell r="B155">
            <v>344252</v>
          </cell>
        </row>
        <row r="156">
          <cell r="B156">
            <v>233845</v>
          </cell>
        </row>
        <row r="157">
          <cell r="B157">
            <v>233847</v>
          </cell>
        </row>
        <row r="158">
          <cell r="B158">
            <v>233846</v>
          </cell>
        </row>
        <row r="159">
          <cell r="B159">
            <v>233848</v>
          </cell>
        </row>
        <row r="160">
          <cell r="B160">
            <v>220990</v>
          </cell>
        </row>
        <row r="161">
          <cell r="B161">
            <v>289825</v>
          </cell>
        </row>
        <row r="162">
          <cell r="B162">
            <v>285236</v>
          </cell>
        </row>
        <row r="163">
          <cell r="B163">
            <v>271416</v>
          </cell>
        </row>
        <row r="164">
          <cell r="B164">
            <v>312750</v>
          </cell>
        </row>
        <row r="165">
          <cell r="B165">
            <v>278851</v>
          </cell>
        </row>
        <row r="166">
          <cell r="B166">
            <v>340452</v>
          </cell>
        </row>
        <row r="167">
          <cell r="B167">
            <v>345995</v>
          </cell>
        </row>
        <row r="168">
          <cell r="B168">
            <v>406522</v>
          </cell>
        </row>
        <row r="169">
          <cell r="B169">
            <v>236472</v>
          </cell>
        </row>
        <row r="170">
          <cell r="B170">
            <v>304451</v>
          </cell>
        </row>
        <row r="171">
          <cell r="B171">
            <v>328156</v>
          </cell>
        </row>
        <row r="172">
          <cell r="B172">
            <v>322569</v>
          </cell>
        </row>
        <row r="173">
          <cell r="B173">
            <v>328155</v>
          </cell>
        </row>
        <row r="174">
          <cell r="B174">
            <v>217910</v>
          </cell>
        </row>
        <row r="175">
          <cell r="B175">
            <v>238103</v>
          </cell>
        </row>
        <row r="176">
          <cell r="B176">
            <v>229171</v>
          </cell>
        </row>
        <row r="177">
          <cell r="B177">
            <v>229395</v>
          </cell>
        </row>
        <row r="178">
          <cell r="B178">
            <v>260989</v>
          </cell>
        </row>
        <row r="179">
          <cell r="B179">
            <v>355929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sq. Equipamentos"/>
      <sheetName val="Pesq. Posto 44h"/>
      <sheetName val="Pesq. Postos 12 x 36"/>
      <sheetName val="Editais"/>
      <sheetName val="Quadro Resumo - Pesq. MO"/>
      <sheetName val="Pesq. Uniforme"/>
      <sheetName val="Pesq. Materiais apoio"/>
      <sheetName val="Pesq. Seguro de Vida"/>
      <sheetName val="Quadro Resumo - Unif.Utensílios"/>
      <sheetName val="PCFP  44h Diu"/>
      <sheetName val="PCFP 12x36 Diu"/>
      <sheetName val="PCFP Trab12x36 Not"/>
      <sheetName val="Quadro Resumo - Custos Gerais"/>
    </sheetNames>
    <sheetDataSet>
      <sheetData sheetId="0" refreshError="1">
        <row r="6">
          <cell r="C6">
            <v>1</v>
          </cell>
        </row>
        <row r="16">
          <cell r="C16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ilitarbrasil.com.br/" TargetMode="External"/><Relationship Id="rId18" Type="http://schemas.openxmlformats.org/officeDocument/2006/relationships/hyperlink" Target="http://www.comandosartmil.com.br/A-Empresa" TargetMode="External"/><Relationship Id="rId26" Type="http://schemas.openxmlformats.org/officeDocument/2006/relationships/hyperlink" Target="http://www.lojapramil.com.br/" TargetMode="External"/><Relationship Id="rId39" Type="http://schemas.openxmlformats.org/officeDocument/2006/relationships/hyperlink" Target="https://www.usemilitar.com.br/" TargetMode="External"/><Relationship Id="rId21" Type="http://schemas.openxmlformats.org/officeDocument/2006/relationships/hyperlink" Target="https://www.couroart.com.br/" TargetMode="External"/><Relationship Id="rId34" Type="http://schemas.openxmlformats.org/officeDocument/2006/relationships/hyperlink" Target="https://www.citerol.com.br/" TargetMode="External"/><Relationship Id="rId42" Type="http://schemas.openxmlformats.org/officeDocument/2006/relationships/hyperlink" Target="http://www.vigilanteshop.com.br/" TargetMode="External"/><Relationship Id="rId47" Type="http://schemas.openxmlformats.org/officeDocument/2006/relationships/hyperlink" Target="https://www.dickiesbrasil.com.br/" TargetMode="External"/><Relationship Id="rId50" Type="http://schemas.openxmlformats.org/officeDocument/2006/relationships/hyperlink" Target="https://www.militarbrasil.com.br/" TargetMode="External"/><Relationship Id="rId55" Type="http://schemas.openxmlformats.org/officeDocument/2006/relationships/hyperlink" Target="https://www.printi.com.br/" TargetMode="External"/><Relationship Id="rId7" Type="http://schemas.openxmlformats.org/officeDocument/2006/relationships/hyperlink" Target="http://www.vigilanteshop.com.br/" TargetMode="External"/><Relationship Id="rId2" Type="http://schemas.openxmlformats.org/officeDocument/2006/relationships/hyperlink" Target="https://lojavigilanteqap.com.br/" TargetMode="External"/><Relationship Id="rId16" Type="http://schemas.openxmlformats.org/officeDocument/2006/relationships/hyperlink" Target="https://www.militarbrasil.com.br/" TargetMode="External"/><Relationship Id="rId29" Type="http://schemas.openxmlformats.org/officeDocument/2006/relationships/hyperlink" Target="https://www.citerol.com.br/" TargetMode="External"/><Relationship Id="rId11" Type="http://schemas.openxmlformats.org/officeDocument/2006/relationships/hyperlink" Target="http://www.vigilanteshop.com.br/" TargetMode="External"/><Relationship Id="rId24" Type="http://schemas.openxmlformats.org/officeDocument/2006/relationships/hyperlink" Target="http://www.lojapramil.com.br/" TargetMode="External"/><Relationship Id="rId32" Type="http://schemas.openxmlformats.org/officeDocument/2006/relationships/hyperlink" Target="https://www.citerol.com.br/" TargetMode="External"/><Relationship Id="rId37" Type="http://schemas.openxmlformats.org/officeDocument/2006/relationships/hyperlink" Target="https://www.usemilitar.com.br/" TargetMode="External"/><Relationship Id="rId40" Type="http://schemas.openxmlformats.org/officeDocument/2006/relationships/hyperlink" Target="https://www.usemilitar.com.br/" TargetMode="External"/><Relationship Id="rId45" Type="http://schemas.openxmlformats.org/officeDocument/2006/relationships/hyperlink" Target="https://www.citerol.com.br/" TargetMode="External"/><Relationship Id="rId53" Type="http://schemas.openxmlformats.org/officeDocument/2006/relationships/hyperlink" Target="http://www.fabricadeuniformes.com.br/" TargetMode="External"/><Relationship Id="rId58" Type="http://schemas.openxmlformats.org/officeDocument/2006/relationships/printerSettings" Target="../printerSettings/printerSettings5.bin"/><Relationship Id="rId5" Type="http://schemas.openxmlformats.org/officeDocument/2006/relationships/hyperlink" Target="https://lojavigilanteqap.com.br/" TargetMode="External"/><Relationship Id="rId19" Type="http://schemas.openxmlformats.org/officeDocument/2006/relationships/hyperlink" Target="http://www.comandosartmil.com.br/A-Empresa" TargetMode="External"/><Relationship Id="rId4" Type="http://schemas.openxmlformats.org/officeDocument/2006/relationships/hyperlink" Target="https://lojavigilanteqap.com.br/" TargetMode="External"/><Relationship Id="rId9" Type="http://schemas.openxmlformats.org/officeDocument/2006/relationships/hyperlink" Target="http://www.vigilanteshop.com.br/" TargetMode="External"/><Relationship Id="rId14" Type="http://schemas.openxmlformats.org/officeDocument/2006/relationships/hyperlink" Target="https://www.militarbrasil.com.br/" TargetMode="External"/><Relationship Id="rId22" Type="http://schemas.openxmlformats.org/officeDocument/2006/relationships/hyperlink" Target="https://www.giloplastic.com.br/" TargetMode="External"/><Relationship Id="rId27" Type="http://schemas.openxmlformats.org/officeDocument/2006/relationships/hyperlink" Target="http://www.lojapramil.com.br/" TargetMode="External"/><Relationship Id="rId30" Type="http://schemas.openxmlformats.org/officeDocument/2006/relationships/hyperlink" Target="https://www.citerol.com.br/" TargetMode="External"/><Relationship Id="rId35" Type="http://schemas.openxmlformats.org/officeDocument/2006/relationships/hyperlink" Target="https://www.usemilitar.com.br/" TargetMode="External"/><Relationship Id="rId43" Type="http://schemas.openxmlformats.org/officeDocument/2006/relationships/hyperlink" Target="http://www.comandosartmil.com.br/A-Empresa" TargetMode="External"/><Relationship Id="rId48" Type="http://schemas.openxmlformats.org/officeDocument/2006/relationships/hyperlink" Target="https://www.printi.com.br/" TargetMode="External"/><Relationship Id="rId56" Type="http://schemas.openxmlformats.org/officeDocument/2006/relationships/hyperlink" Target="https://www.riachuelo.com.br/" TargetMode="External"/><Relationship Id="rId8" Type="http://schemas.openxmlformats.org/officeDocument/2006/relationships/hyperlink" Target="http://www.vigilanteshop.com.br/" TargetMode="External"/><Relationship Id="rId51" Type="http://schemas.openxmlformats.org/officeDocument/2006/relationships/hyperlink" Target="https://www.citerol.com.br/" TargetMode="External"/><Relationship Id="rId3" Type="http://schemas.openxmlformats.org/officeDocument/2006/relationships/hyperlink" Target="https://lojavigilanteqap.com.br/" TargetMode="External"/><Relationship Id="rId12" Type="http://schemas.openxmlformats.org/officeDocument/2006/relationships/hyperlink" Target="https://www.militarbrasil.com.br/" TargetMode="External"/><Relationship Id="rId17" Type="http://schemas.openxmlformats.org/officeDocument/2006/relationships/hyperlink" Target="http://www.comandosartmil.com.br/A-Empresa" TargetMode="External"/><Relationship Id="rId25" Type="http://schemas.openxmlformats.org/officeDocument/2006/relationships/hyperlink" Target="http://www.lojapramil.com.br/" TargetMode="External"/><Relationship Id="rId33" Type="http://schemas.openxmlformats.org/officeDocument/2006/relationships/hyperlink" Target="https://www.citerol.com.br/" TargetMode="External"/><Relationship Id="rId38" Type="http://schemas.openxmlformats.org/officeDocument/2006/relationships/hyperlink" Target="https://www.usemilitar.com.br/" TargetMode="External"/><Relationship Id="rId46" Type="http://schemas.openxmlformats.org/officeDocument/2006/relationships/hyperlink" Target="https://www.usemilitar.com.br/" TargetMode="External"/><Relationship Id="rId59" Type="http://schemas.openxmlformats.org/officeDocument/2006/relationships/drawing" Target="../drawings/drawing4.xml"/><Relationship Id="rId20" Type="http://schemas.openxmlformats.org/officeDocument/2006/relationships/hyperlink" Target="http://www.comandosartmil.com.br/A-Empresa" TargetMode="External"/><Relationship Id="rId41" Type="http://schemas.openxmlformats.org/officeDocument/2006/relationships/hyperlink" Target="https://lojavigilanteqap.com.br/" TargetMode="External"/><Relationship Id="rId54" Type="http://schemas.openxmlformats.org/officeDocument/2006/relationships/hyperlink" Target="http://www.vigilanteshop.com.br/" TargetMode="External"/><Relationship Id="rId1" Type="http://schemas.openxmlformats.org/officeDocument/2006/relationships/hyperlink" Target="https://lojavigilanteqap.com.br/" TargetMode="External"/><Relationship Id="rId6" Type="http://schemas.openxmlformats.org/officeDocument/2006/relationships/hyperlink" Target="http://www.vigilanteshop.com.br/" TargetMode="External"/><Relationship Id="rId15" Type="http://schemas.openxmlformats.org/officeDocument/2006/relationships/hyperlink" Target="https://www.militarbrasil.com.br/" TargetMode="External"/><Relationship Id="rId23" Type="http://schemas.openxmlformats.org/officeDocument/2006/relationships/hyperlink" Target="https://www.giloplastic.com.br/" TargetMode="External"/><Relationship Id="rId28" Type="http://schemas.openxmlformats.org/officeDocument/2006/relationships/hyperlink" Target="http://www.lojapramil.com.br/" TargetMode="External"/><Relationship Id="rId36" Type="http://schemas.openxmlformats.org/officeDocument/2006/relationships/hyperlink" Target="https://www.usemilitar.com.br/" TargetMode="External"/><Relationship Id="rId49" Type="http://schemas.openxmlformats.org/officeDocument/2006/relationships/hyperlink" Target="https://lojavigilanteqap.com.br/" TargetMode="External"/><Relationship Id="rId57" Type="http://schemas.openxmlformats.org/officeDocument/2006/relationships/hyperlink" Target="https://www.riachuelo.com.br/" TargetMode="External"/><Relationship Id="rId10" Type="http://schemas.openxmlformats.org/officeDocument/2006/relationships/hyperlink" Target="http://www.vigilanteshop.com.br/" TargetMode="External"/><Relationship Id="rId31" Type="http://schemas.openxmlformats.org/officeDocument/2006/relationships/hyperlink" Target="https://www.citerol.com.br/" TargetMode="External"/><Relationship Id="rId44" Type="http://schemas.openxmlformats.org/officeDocument/2006/relationships/hyperlink" Target="http://www.lojapramil.com.br/" TargetMode="External"/><Relationship Id="rId52" Type="http://schemas.openxmlformats.org/officeDocument/2006/relationships/hyperlink" Target="https://www.citerol.com.br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ondel.com.br/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lojadoponto.com.br/" TargetMode="External"/><Relationship Id="rId1" Type="http://schemas.openxmlformats.org/officeDocument/2006/relationships/hyperlink" Target="http://vext.com.br/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loja.meupositivo.com.br/" TargetMode="External"/><Relationship Id="rId4" Type="http://schemas.openxmlformats.org/officeDocument/2006/relationships/hyperlink" Target="https://www.americanas.com.br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erol.com.br/" TargetMode="External"/><Relationship Id="rId13" Type="http://schemas.openxmlformats.org/officeDocument/2006/relationships/hyperlink" Target="https://www.gimba.com.br/" TargetMode="External"/><Relationship Id="rId18" Type="http://schemas.openxmlformats.org/officeDocument/2006/relationships/hyperlink" Target="https://www.usemilitar.com.br/" TargetMode="External"/><Relationship Id="rId26" Type="http://schemas.openxmlformats.org/officeDocument/2006/relationships/hyperlink" Target="http://www.vigilanteshop.com.br/" TargetMode="External"/><Relationship Id="rId3" Type="http://schemas.openxmlformats.org/officeDocument/2006/relationships/hyperlink" Target="https://lojavigilanteqap.com.br/" TargetMode="External"/><Relationship Id="rId21" Type="http://schemas.openxmlformats.org/officeDocument/2006/relationships/hyperlink" Target="http://www.comandosartmil.com.br/A-Empresa" TargetMode="External"/><Relationship Id="rId7" Type="http://schemas.openxmlformats.org/officeDocument/2006/relationships/hyperlink" Target="http://www.lojapramil.com.br/" TargetMode="External"/><Relationship Id="rId12" Type="http://schemas.openxmlformats.org/officeDocument/2006/relationships/hyperlink" Target="https://www.gimba.com.br/" TargetMode="External"/><Relationship Id="rId17" Type="http://schemas.openxmlformats.org/officeDocument/2006/relationships/hyperlink" Target="https://www.contabilista.com.br/" TargetMode="External"/><Relationship Id="rId25" Type="http://schemas.openxmlformats.org/officeDocument/2006/relationships/hyperlink" Target="https://www.decathlon.com.br/" TargetMode="External"/><Relationship Id="rId2" Type="http://schemas.openxmlformats.org/officeDocument/2006/relationships/hyperlink" Target="http://www.vigilanteshop.com.br/" TargetMode="External"/><Relationship Id="rId16" Type="http://schemas.openxmlformats.org/officeDocument/2006/relationships/hyperlink" Target="https://www.contabilista.com.br/" TargetMode="External"/><Relationship Id="rId20" Type="http://schemas.openxmlformats.org/officeDocument/2006/relationships/hyperlink" Target="https://www.giloplastic.com.br/" TargetMode="External"/><Relationship Id="rId29" Type="http://schemas.openxmlformats.org/officeDocument/2006/relationships/printerSettings" Target="../printerSettings/printerSettings7.bin"/><Relationship Id="rId1" Type="http://schemas.openxmlformats.org/officeDocument/2006/relationships/hyperlink" Target="http://www.vigilanteshop.com.br/" TargetMode="External"/><Relationship Id="rId6" Type="http://schemas.openxmlformats.org/officeDocument/2006/relationships/hyperlink" Target="https://www.giloplastic.com.br/" TargetMode="External"/><Relationship Id="rId11" Type="http://schemas.openxmlformats.org/officeDocument/2006/relationships/hyperlink" Target="https://www.kalunga.com.br/" TargetMode="External"/><Relationship Id="rId24" Type="http://schemas.openxmlformats.org/officeDocument/2006/relationships/hyperlink" Target="https://www.usemilitar.com.br/" TargetMode="External"/><Relationship Id="rId5" Type="http://schemas.openxmlformats.org/officeDocument/2006/relationships/hyperlink" Target="http://www.comandosartmil.com.br/A-Empresa" TargetMode="External"/><Relationship Id="rId15" Type="http://schemas.openxmlformats.org/officeDocument/2006/relationships/hyperlink" Target="https://www.oceanob2b.com/carrinho" TargetMode="External"/><Relationship Id="rId23" Type="http://schemas.openxmlformats.org/officeDocument/2006/relationships/hyperlink" Target="http://www.vigilanteshop.com.br/" TargetMode="External"/><Relationship Id="rId28" Type="http://schemas.openxmlformats.org/officeDocument/2006/relationships/hyperlink" Target="https://www.cayanarmas.com.br/" TargetMode="External"/><Relationship Id="rId10" Type="http://schemas.openxmlformats.org/officeDocument/2006/relationships/hyperlink" Target="https://www.kalunga.com.br/" TargetMode="External"/><Relationship Id="rId19" Type="http://schemas.openxmlformats.org/officeDocument/2006/relationships/hyperlink" Target="http://www.lojapramil.com.br/" TargetMode="External"/><Relationship Id="rId4" Type="http://schemas.openxmlformats.org/officeDocument/2006/relationships/hyperlink" Target="https://www.militarbrasil.com.br/" TargetMode="External"/><Relationship Id="rId9" Type="http://schemas.openxmlformats.org/officeDocument/2006/relationships/hyperlink" Target="https://www.usemilitar.com.br/" TargetMode="External"/><Relationship Id="rId14" Type="http://schemas.openxmlformats.org/officeDocument/2006/relationships/hyperlink" Target="https://www.oceanob2b.com/carrinho" TargetMode="External"/><Relationship Id="rId22" Type="http://schemas.openxmlformats.org/officeDocument/2006/relationships/hyperlink" Target="https://www.militarbrasil.com.br/" TargetMode="External"/><Relationship Id="rId27" Type="http://schemas.openxmlformats.org/officeDocument/2006/relationships/hyperlink" Target="https://www.citerol.com.br/" TargetMode="External"/><Relationship Id="rId30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2"/>
  <sheetViews>
    <sheetView showGridLines="0" topLeftCell="A115" zoomScale="80" zoomScaleNormal="80" workbookViewId="0">
      <selection activeCell="I71" sqref="I71"/>
    </sheetView>
  </sheetViews>
  <sheetFormatPr defaultRowHeight="14.5"/>
  <cols>
    <col min="1" max="1" width="10.453125" customWidth="1"/>
    <col min="2" max="2" width="49.54296875" bestFit="1" customWidth="1"/>
    <col min="7" max="7" width="9" bestFit="1" customWidth="1"/>
    <col min="8" max="8" width="9.26953125" bestFit="1" customWidth="1"/>
    <col min="9" max="9" width="23.7265625" customWidth="1"/>
  </cols>
  <sheetData>
    <row r="1" spans="1:9" ht="42" customHeight="1">
      <c r="A1" s="3"/>
      <c r="B1" s="329" t="s">
        <v>460</v>
      </c>
      <c r="C1" s="330"/>
      <c r="D1" s="330"/>
      <c r="E1" s="330"/>
      <c r="F1" s="330"/>
      <c r="G1" s="330"/>
      <c r="H1" s="330"/>
      <c r="I1" s="330"/>
    </row>
    <row r="2" spans="1:9">
      <c r="A2" s="271"/>
      <c r="B2" s="271"/>
      <c r="C2" s="271"/>
      <c r="D2" s="271"/>
      <c r="E2" s="271"/>
      <c r="F2" s="271"/>
      <c r="G2" s="271"/>
      <c r="H2" s="271"/>
      <c r="I2" s="271"/>
    </row>
    <row r="3" spans="1:9">
      <c r="A3" s="272" t="s">
        <v>461</v>
      </c>
      <c r="B3" s="272"/>
      <c r="C3" s="272"/>
      <c r="D3" s="272"/>
      <c r="E3" s="272"/>
      <c r="F3" s="272"/>
      <c r="G3" s="272"/>
      <c r="H3" s="272"/>
      <c r="I3" s="272"/>
    </row>
    <row r="4" spans="1:9">
      <c r="A4" s="273" t="s">
        <v>177</v>
      </c>
      <c r="B4" s="273"/>
      <c r="C4" s="273"/>
      <c r="D4" s="273"/>
      <c r="E4" s="273"/>
      <c r="F4" s="273"/>
      <c r="G4" s="273"/>
      <c r="H4" s="273"/>
      <c r="I4" s="273"/>
    </row>
    <row r="5" spans="1:9">
      <c r="A5" s="273" t="s">
        <v>178</v>
      </c>
      <c r="B5" s="273"/>
      <c r="C5" s="273"/>
      <c r="D5" s="273"/>
      <c r="E5" s="273"/>
      <c r="F5" s="273"/>
      <c r="G5" s="273"/>
      <c r="H5" s="273"/>
      <c r="I5" s="273"/>
    </row>
    <row r="6" spans="1:9">
      <c r="A6" s="274" t="s">
        <v>462</v>
      </c>
      <c r="B6" s="274"/>
      <c r="C6" s="274"/>
      <c r="D6" s="274"/>
      <c r="E6" s="274"/>
      <c r="F6" s="274"/>
      <c r="G6" s="274"/>
      <c r="H6" s="274"/>
      <c r="I6" s="274"/>
    </row>
    <row r="7" spans="1:9">
      <c r="A7" s="271"/>
      <c r="B7" s="271"/>
      <c r="C7" s="271"/>
      <c r="D7" s="271"/>
      <c r="E7" s="271"/>
      <c r="F7" s="271"/>
      <c r="G7" s="271"/>
      <c r="H7" s="271"/>
      <c r="I7" s="271"/>
    </row>
    <row r="8" spans="1:9">
      <c r="A8" s="265" t="s">
        <v>292</v>
      </c>
      <c r="B8" s="265"/>
      <c r="C8" s="265"/>
      <c r="D8" s="265"/>
      <c r="E8" s="265"/>
      <c r="F8" s="265"/>
      <c r="G8" s="265"/>
      <c r="H8" s="265"/>
      <c r="I8" s="265"/>
    </row>
    <row r="9" spans="1:9">
      <c r="A9" s="266"/>
      <c r="B9" s="266"/>
      <c r="C9" s="266"/>
      <c r="D9" s="266"/>
      <c r="E9" s="266"/>
      <c r="F9" s="266"/>
      <c r="G9" s="266"/>
      <c r="H9" s="266"/>
      <c r="I9" s="266"/>
    </row>
    <row r="10" spans="1:9">
      <c r="A10" s="267" t="s">
        <v>179</v>
      </c>
      <c r="B10" s="267"/>
      <c r="C10" s="267"/>
      <c r="D10" s="267"/>
      <c r="E10" s="267"/>
      <c r="F10" s="267"/>
      <c r="G10" s="267"/>
      <c r="H10" s="267"/>
      <c r="I10" s="267"/>
    </row>
    <row r="11" spans="1:9">
      <c r="A11" s="72" t="s">
        <v>21</v>
      </c>
      <c r="B11" s="268" t="s">
        <v>180</v>
      </c>
      <c r="C11" s="268"/>
      <c r="D11" s="268"/>
      <c r="E11" s="268"/>
      <c r="F11" s="268"/>
      <c r="G11" s="268"/>
      <c r="H11" s="269"/>
      <c r="I11" s="270"/>
    </row>
    <row r="12" spans="1:9">
      <c r="A12" s="72" t="s">
        <v>22</v>
      </c>
      <c r="B12" s="268" t="s">
        <v>181</v>
      </c>
      <c r="C12" s="268"/>
      <c r="D12" s="268"/>
      <c r="E12" s="268"/>
      <c r="F12" s="268"/>
      <c r="G12" s="268"/>
      <c r="H12" s="270" t="s">
        <v>293</v>
      </c>
      <c r="I12" s="270"/>
    </row>
    <row r="13" spans="1:9">
      <c r="A13" s="72" t="s">
        <v>23</v>
      </c>
      <c r="B13" s="268" t="s">
        <v>182</v>
      </c>
      <c r="C13" s="268"/>
      <c r="D13" s="268"/>
      <c r="E13" s="268"/>
      <c r="F13" s="268"/>
      <c r="G13" s="268"/>
      <c r="H13" s="275" t="s">
        <v>469</v>
      </c>
      <c r="I13" s="270"/>
    </row>
    <row r="14" spans="1:9">
      <c r="A14" s="72" t="s">
        <v>24</v>
      </c>
      <c r="B14" s="268" t="s">
        <v>183</v>
      </c>
      <c r="C14" s="268"/>
      <c r="D14" s="268"/>
      <c r="E14" s="268"/>
      <c r="F14" s="268"/>
      <c r="G14" s="268"/>
      <c r="H14" s="270">
        <v>12</v>
      </c>
      <c r="I14" s="270"/>
    </row>
    <row r="15" spans="1:9">
      <c r="A15" s="73"/>
      <c r="B15" s="74"/>
      <c r="C15" s="74"/>
      <c r="D15" s="74"/>
      <c r="E15" s="74"/>
      <c r="F15" s="74"/>
      <c r="G15" s="74"/>
      <c r="H15" s="73"/>
      <c r="I15" s="73"/>
    </row>
    <row r="16" spans="1:9">
      <c r="A16" s="267" t="s">
        <v>184</v>
      </c>
      <c r="B16" s="267"/>
      <c r="C16" s="267"/>
      <c r="D16" s="267"/>
      <c r="E16" s="267"/>
      <c r="F16" s="267"/>
      <c r="G16" s="267"/>
      <c r="H16" s="267"/>
      <c r="I16" s="267"/>
    </row>
    <row r="17" spans="1:10">
      <c r="A17" s="270" t="s">
        <v>185</v>
      </c>
      <c r="B17" s="270"/>
      <c r="C17" s="270" t="s">
        <v>186</v>
      </c>
      <c r="D17" s="270"/>
      <c r="E17" s="270" t="s">
        <v>187</v>
      </c>
      <c r="F17" s="270"/>
      <c r="G17" s="270"/>
      <c r="H17" s="270"/>
      <c r="I17" s="270"/>
      <c r="J17" s="3"/>
    </row>
    <row r="18" spans="1:10">
      <c r="A18" s="270" t="s">
        <v>294</v>
      </c>
      <c r="B18" s="270"/>
      <c r="C18" s="270" t="s">
        <v>148</v>
      </c>
      <c r="D18" s="270"/>
      <c r="E18" s="270">
        <v>1</v>
      </c>
      <c r="F18" s="270"/>
      <c r="G18" s="270"/>
      <c r="H18" s="270"/>
      <c r="I18" s="270"/>
      <c r="J18" s="3"/>
    </row>
    <row r="19" spans="1:10">
      <c r="A19" s="73"/>
      <c r="B19" s="74"/>
      <c r="C19" s="74"/>
      <c r="D19" s="74"/>
      <c r="E19" s="74"/>
      <c r="F19" s="74"/>
      <c r="G19" s="74"/>
      <c r="H19" s="73"/>
      <c r="I19" s="73"/>
      <c r="J19" s="3"/>
    </row>
    <row r="20" spans="1:10">
      <c r="A20" s="267" t="s">
        <v>188</v>
      </c>
      <c r="B20" s="267"/>
      <c r="C20" s="267"/>
      <c r="D20" s="267"/>
      <c r="E20" s="267"/>
      <c r="F20" s="267"/>
      <c r="G20" s="267"/>
      <c r="H20" s="267"/>
      <c r="I20" s="267"/>
      <c r="J20" s="3"/>
    </row>
    <row r="21" spans="1:10">
      <c r="A21" s="72">
        <v>1</v>
      </c>
      <c r="B21" s="268" t="s">
        <v>189</v>
      </c>
      <c r="C21" s="268"/>
      <c r="D21" s="268"/>
      <c r="E21" s="268"/>
      <c r="F21" s="268"/>
      <c r="G21" s="268"/>
      <c r="H21" s="270" t="s">
        <v>295</v>
      </c>
      <c r="I21" s="270"/>
      <c r="J21" s="3"/>
    </row>
    <row r="22" spans="1:10">
      <c r="A22" s="72">
        <v>2</v>
      </c>
      <c r="B22" s="268" t="s">
        <v>190</v>
      </c>
      <c r="C22" s="268"/>
      <c r="D22" s="268"/>
      <c r="E22" s="268"/>
      <c r="F22" s="268"/>
      <c r="G22" s="268"/>
      <c r="H22" s="270" t="s">
        <v>296</v>
      </c>
      <c r="I22" s="270"/>
      <c r="J22" s="3"/>
    </row>
    <row r="23" spans="1:10">
      <c r="A23" s="72">
        <v>3</v>
      </c>
      <c r="B23" s="268" t="s">
        <v>191</v>
      </c>
      <c r="C23" s="268"/>
      <c r="D23" s="268"/>
      <c r="E23" s="268"/>
      <c r="F23" s="268"/>
      <c r="G23" s="268"/>
      <c r="H23" s="278">
        <v>2045.92</v>
      </c>
      <c r="I23" s="270"/>
      <c r="J23" s="3"/>
    </row>
    <row r="24" spans="1:10">
      <c r="A24" s="72">
        <v>4</v>
      </c>
      <c r="B24" s="268" t="s">
        <v>192</v>
      </c>
      <c r="C24" s="268"/>
      <c r="D24" s="268"/>
      <c r="E24" s="268"/>
      <c r="F24" s="268"/>
      <c r="G24" s="268"/>
      <c r="H24" s="277" t="s">
        <v>297</v>
      </c>
      <c r="I24" s="277"/>
      <c r="J24" s="3"/>
    </row>
    <row r="25" spans="1:10">
      <c r="A25" s="72">
        <v>5</v>
      </c>
      <c r="B25" s="268" t="s">
        <v>193</v>
      </c>
      <c r="C25" s="268"/>
      <c r="D25" s="268"/>
      <c r="E25" s="268"/>
      <c r="F25" s="268"/>
      <c r="G25" s="268"/>
      <c r="H25" s="269">
        <v>45292</v>
      </c>
      <c r="I25" s="270"/>
      <c r="J25" s="3"/>
    </row>
    <row r="26" spans="1:10">
      <c r="A26" s="271"/>
      <c r="B26" s="271"/>
      <c r="C26" s="271"/>
      <c r="D26" s="271"/>
      <c r="E26" s="271"/>
      <c r="F26" s="271"/>
      <c r="G26" s="271"/>
      <c r="H26" s="271"/>
      <c r="I26" s="271"/>
      <c r="J26" s="3"/>
    </row>
    <row r="27" spans="1:10">
      <c r="A27" s="276" t="s">
        <v>194</v>
      </c>
      <c r="B27" s="276"/>
      <c r="C27" s="276"/>
      <c r="D27" s="276"/>
      <c r="E27" s="276"/>
      <c r="F27" s="276"/>
      <c r="G27" s="276"/>
      <c r="H27" s="276"/>
      <c r="I27" s="276"/>
      <c r="J27" s="3"/>
    </row>
    <row r="28" spans="1:10">
      <c r="A28" s="75">
        <v>1</v>
      </c>
      <c r="B28" s="277" t="s">
        <v>195</v>
      </c>
      <c r="C28" s="277"/>
      <c r="D28" s="277"/>
      <c r="E28" s="277"/>
      <c r="F28" s="277"/>
      <c r="G28" s="277"/>
      <c r="H28" s="75" t="s">
        <v>34</v>
      </c>
      <c r="I28" s="75" t="s">
        <v>196</v>
      </c>
      <c r="J28" s="3"/>
    </row>
    <row r="29" spans="1:10">
      <c r="A29" s="75" t="s">
        <v>21</v>
      </c>
      <c r="B29" s="268" t="s">
        <v>62</v>
      </c>
      <c r="C29" s="268"/>
      <c r="D29" s="268"/>
      <c r="E29" s="268"/>
      <c r="F29" s="268"/>
      <c r="G29" s="268"/>
      <c r="H29" s="76"/>
      <c r="I29" s="77">
        <f>H23</f>
        <v>2045.92</v>
      </c>
      <c r="J29" s="3"/>
    </row>
    <row r="30" spans="1:10">
      <c r="A30" s="75" t="s">
        <v>22</v>
      </c>
      <c r="B30" s="268" t="s">
        <v>197</v>
      </c>
      <c r="C30" s="268"/>
      <c r="D30" s="268"/>
      <c r="E30" s="268"/>
      <c r="F30" s="268"/>
      <c r="G30" s="268"/>
      <c r="H30" s="78">
        <v>0.3</v>
      </c>
      <c r="I30" s="77">
        <f>TRUNC(I29*H30,2)</f>
        <v>613.77</v>
      </c>
      <c r="J30" s="3"/>
    </row>
    <row r="31" spans="1:10">
      <c r="A31" s="75" t="s">
        <v>23</v>
      </c>
      <c r="B31" s="268" t="s">
        <v>198</v>
      </c>
      <c r="C31" s="268"/>
      <c r="D31" s="268"/>
      <c r="E31" s="268"/>
      <c r="F31" s="268"/>
      <c r="G31" s="268"/>
      <c r="H31" s="78"/>
      <c r="I31" s="77">
        <v>0</v>
      </c>
      <c r="J31" s="3"/>
    </row>
    <row r="32" spans="1:10">
      <c r="A32" s="75" t="s">
        <v>24</v>
      </c>
      <c r="B32" s="268" t="s">
        <v>305</v>
      </c>
      <c r="C32" s="268"/>
      <c r="D32" s="268"/>
      <c r="E32" s="268"/>
      <c r="F32" s="268"/>
      <c r="G32" s="268"/>
      <c r="H32" s="78"/>
      <c r="I32" s="77">
        <f>TRUNC(((I29+I30)*H32*(7/12)),2)</f>
        <v>0</v>
      </c>
      <c r="J32" s="3"/>
    </row>
    <row r="33" spans="1:13">
      <c r="A33" s="75" t="s">
        <v>26</v>
      </c>
      <c r="B33" s="268" t="s">
        <v>304</v>
      </c>
      <c r="C33" s="268"/>
      <c r="D33" s="268"/>
      <c r="E33" s="268"/>
      <c r="F33" s="268"/>
      <c r="G33" s="268"/>
      <c r="H33" s="79"/>
      <c r="I33" s="77">
        <f>TRUNC((I29+I30)*H33*(1/12),2)</f>
        <v>0</v>
      </c>
      <c r="J33" s="3"/>
    </row>
    <row r="34" spans="1:13">
      <c r="A34" s="75" t="s">
        <v>27</v>
      </c>
      <c r="B34" s="268" t="s">
        <v>37</v>
      </c>
      <c r="C34" s="268"/>
      <c r="D34" s="268"/>
      <c r="E34" s="268"/>
      <c r="F34" s="268"/>
      <c r="G34" s="268"/>
      <c r="H34" s="78"/>
      <c r="I34" s="77">
        <v>0</v>
      </c>
      <c r="J34" s="3"/>
    </row>
    <row r="35" spans="1:13">
      <c r="A35" s="277" t="s">
        <v>199</v>
      </c>
      <c r="B35" s="277"/>
      <c r="C35" s="277"/>
      <c r="D35" s="277"/>
      <c r="E35" s="277"/>
      <c r="F35" s="277"/>
      <c r="G35" s="277"/>
      <c r="H35" s="277"/>
      <c r="I35" s="80">
        <f>SUM(I29:I34)</f>
        <v>2659.69</v>
      </c>
      <c r="J35" s="3"/>
    </row>
    <row r="36" spans="1:13">
      <c r="A36" s="81"/>
      <c r="B36" s="81"/>
      <c r="C36" s="81"/>
      <c r="D36" s="81"/>
      <c r="E36" s="81"/>
      <c r="F36" s="81"/>
      <c r="G36" s="81"/>
      <c r="H36" s="81"/>
      <c r="I36" s="82"/>
      <c r="J36" s="71"/>
    </row>
    <row r="37" spans="1:13">
      <c r="A37" s="276" t="s">
        <v>200</v>
      </c>
      <c r="B37" s="276"/>
      <c r="C37" s="276"/>
      <c r="D37" s="276"/>
      <c r="E37" s="276"/>
      <c r="F37" s="276"/>
      <c r="G37" s="276"/>
      <c r="H37" s="276"/>
      <c r="I37" s="276"/>
      <c r="J37" s="71"/>
      <c r="L37" s="128"/>
    </row>
    <row r="38" spans="1:13">
      <c r="A38" s="277" t="s">
        <v>201</v>
      </c>
      <c r="B38" s="277"/>
      <c r="C38" s="277"/>
      <c r="D38" s="277"/>
      <c r="E38" s="277"/>
      <c r="F38" s="277"/>
      <c r="G38" s="277"/>
      <c r="H38" s="75" t="s">
        <v>34</v>
      </c>
      <c r="I38" s="75" t="s">
        <v>196</v>
      </c>
      <c r="J38" s="71"/>
    </row>
    <row r="39" spans="1:13">
      <c r="A39" s="75" t="s">
        <v>21</v>
      </c>
      <c r="B39" s="268" t="s">
        <v>298</v>
      </c>
      <c r="C39" s="268"/>
      <c r="D39" s="268"/>
      <c r="E39" s="268"/>
      <c r="F39" s="268"/>
      <c r="G39" s="268"/>
      <c r="H39" s="83">
        <f>1/12</f>
        <v>8.3333333333333329E-2</v>
      </c>
      <c r="I39" s="77">
        <f>TRUNC(I35*H39,2)</f>
        <v>221.64</v>
      </c>
      <c r="J39" s="71"/>
    </row>
    <row r="40" spans="1:13">
      <c r="A40" s="75" t="s">
        <v>22</v>
      </c>
      <c r="B40" s="268" t="s">
        <v>202</v>
      </c>
      <c r="C40" s="268"/>
      <c r="D40" s="268"/>
      <c r="E40" s="268"/>
      <c r="F40" s="268"/>
      <c r="G40" s="268"/>
      <c r="H40" s="84">
        <v>0.121</v>
      </c>
      <c r="I40" s="77">
        <f>TRUNC(I35*H40,2)</f>
        <v>321.82</v>
      </c>
      <c r="J40" s="71"/>
      <c r="K40" s="129"/>
      <c r="M40" s="129"/>
    </row>
    <row r="41" spans="1:13">
      <c r="A41" s="277" t="s">
        <v>203</v>
      </c>
      <c r="B41" s="277"/>
      <c r="C41" s="277"/>
      <c r="D41" s="277"/>
      <c r="E41" s="277"/>
      <c r="F41" s="277"/>
      <c r="G41" s="277"/>
      <c r="H41" s="85">
        <v>0.20430000000000001</v>
      </c>
      <c r="I41" s="80">
        <f>SUM(I39:I40)</f>
        <v>543.46</v>
      </c>
      <c r="J41" s="71"/>
    </row>
    <row r="42" spans="1:13">
      <c r="A42" s="279"/>
      <c r="B42" s="280"/>
      <c r="C42" s="280"/>
      <c r="D42" s="280"/>
      <c r="E42" s="280"/>
      <c r="F42" s="280"/>
      <c r="G42" s="280"/>
      <c r="H42" s="280"/>
      <c r="I42" s="280"/>
      <c r="J42" s="3"/>
    </row>
    <row r="43" spans="1:13">
      <c r="A43" s="277" t="s">
        <v>204</v>
      </c>
      <c r="B43" s="277"/>
      <c r="C43" s="277"/>
      <c r="D43" s="277"/>
      <c r="E43" s="277"/>
      <c r="F43" s="277"/>
      <c r="G43" s="277"/>
      <c r="H43" s="75" t="s">
        <v>34</v>
      </c>
      <c r="I43" s="75" t="s">
        <v>196</v>
      </c>
      <c r="J43" s="71"/>
      <c r="K43" s="126"/>
    </row>
    <row r="44" spans="1:13">
      <c r="A44" s="75" t="s">
        <v>21</v>
      </c>
      <c r="B44" s="268" t="s">
        <v>205</v>
      </c>
      <c r="C44" s="268"/>
      <c r="D44" s="268"/>
      <c r="E44" s="268"/>
      <c r="F44" s="268"/>
      <c r="G44" s="268"/>
      <c r="H44" s="83">
        <v>0.2</v>
      </c>
      <c r="I44" s="77">
        <f>TRUNC(($I$35+$I$41)*H44,2)</f>
        <v>640.63</v>
      </c>
      <c r="J44" s="71"/>
      <c r="K44" s="129"/>
      <c r="L44" s="129"/>
      <c r="M44" s="129"/>
    </row>
    <row r="45" spans="1:13">
      <c r="A45" s="75" t="s">
        <v>22</v>
      </c>
      <c r="B45" s="268" t="s">
        <v>206</v>
      </c>
      <c r="C45" s="268"/>
      <c r="D45" s="268"/>
      <c r="E45" s="268"/>
      <c r="F45" s="268"/>
      <c r="G45" s="268"/>
      <c r="H45" s="83">
        <v>2.5000000000000001E-2</v>
      </c>
      <c r="I45" s="77">
        <f t="shared" ref="I45:I51" si="0">TRUNC(($I$35+$I$41)*H45,2)</f>
        <v>80.069999999999993</v>
      </c>
      <c r="J45" s="71"/>
    </row>
    <row r="46" spans="1:13">
      <c r="A46" s="75" t="s">
        <v>23</v>
      </c>
      <c r="B46" s="268" t="s">
        <v>207</v>
      </c>
      <c r="C46" s="268"/>
      <c r="D46" s="268"/>
      <c r="E46" s="268"/>
      <c r="F46" s="268"/>
      <c r="G46" s="268"/>
      <c r="H46" s="83">
        <v>0.03</v>
      </c>
      <c r="I46" s="77">
        <f t="shared" si="0"/>
        <v>96.09</v>
      </c>
      <c r="J46" s="71"/>
      <c r="K46" s="126"/>
    </row>
    <row r="47" spans="1:13">
      <c r="A47" s="75" t="s">
        <v>24</v>
      </c>
      <c r="B47" s="268" t="s">
        <v>208</v>
      </c>
      <c r="C47" s="268"/>
      <c r="D47" s="268"/>
      <c r="E47" s="268"/>
      <c r="F47" s="268"/>
      <c r="G47" s="268"/>
      <c r="H47" s="83">
        <v>1.4999999999999999E-2</v>
      </c>
      <c r="I47" s="77">
        <f t="shared" si="0"/>
        <v>48.04</v>
      </c>
      <c r="J47" s="71"/>
    </row>
    <row r="48" spans="1:13">
      <c r="A48" s="75" t="s">
        <v>26</v>
      </c>
      <c r="B48" s="268" t="s">
        <v>209</v>
      </c>
      <c r="C48" s="268"/>
      <c r="D48" s="268"/>
      <c r="E48" s="268"/>
      <c r="F48" s="268"/>
      <c r="G48" s="268"/>
      <c r="H48" s="83">
        <v>0.01</v>
      </c>
      <c r="I48" s="77">
        <f t="shared" si="0"/>
        <v>32.03</v>
      </c>
      <c r="J48" s="71"/>
    </row>
    <row r="49" spans="1:10">
      <c r="A49" s="75" t="s">
        <v>27</v>
      </c>
      <c r="B49" s="268" t="s">
        <v>210</v>
      </c>
      <c r="C49" s="268"/>
      <c r="D49" s="268"/>
      <c r="E49" s="268"/>
      <c r="F49" s="268"/>
      <c r="G49" s="268"/>
      <c r="H49" s="83">
        <v>6.0000000000000001E-3</v>
      </c>
      <c r="I49" s="77">
        <f t="shared" si="0"/>
        <v>19.21</v>
      </c>
      <c r="J49" s="71"/>
    </row>
    <row r="50" spans="1:10">
      <c r="A50" s="75" t="s">
        <v>28</v>
      </c>
      <c r="B50" s="268" t="s">
        <v>211</v>
      </c>
      <c r="C50" s="268"/>
      <c r="D50" s="268"/>
      <c r="E50" s="268"/>
      <c r="F50" s="268"/>
      <c r="G50" s="268"/>
      <c r="H50" s="83">
        <v>2E-3</v>
      </c>
      <c r="I50" s="77">
        <f t="shared" si="0"/>
        <v>6.4</v>
      </c>
      <c r="J50" s="71"/>
    </row>
    <row r="51" spans="1:10">
      <c r="A51" s="75" t="s">
        <v>29</v>
      </c>
      <c r="B51" s="268" t="s">
        <v>212</v>
      </c>
      <c r="C51" s="268"/>
      <c r="D51" s="268"/>
      <c r="E51" s="268"/>
      <c r="F51" s="268"/>
      <c r="G51" s="268"/>
      <c r="H51" s="83">
        <v>0.08</v>
      </c>
      <c r="I51" s="77">
        <f t="shared" si="0"/>
        <v>256.25</v>
      </c>
      <c r="J51" s="71"/>
    </row>
    <row r="52" spans="1:10">
      <c r="A52" s="277" t="s">
        <v>213</v>
      </c>
      <c r="B52" s="277"/>
      <c r="C52" s="277"/>
      <c r="D52" s="277"/>
      <c r="E52" s="277"/>
      <c r="F52" s="277"/>
      <c r="G52" s="277"/>
      <c r="H52" s="85">
        <v>0.36800000000000005</v>
      </c>
      <c r="I52" s="80">
        <f>SUM(I44:I51)</f>
        <v>1178.72</v>
      </c>
      <c r="J52" s="71"/>
    </row>
    <row r="53" spans="1:10">
      <c r="A53" s="281"/>
      <c r="B53" s="281"/>
      <c r="C53" s="281"/>
      <c r="D53" s="281"/>
      <c r="E53" s="281"/>
      <c r="F53" s="281"/>
      <c r="G53" s="281"/>
      <c r="H53" s="281"/>
      <c r="I53" s="282"/>
      <c r="J53" s="71"/>
    </row>
    <row r="54" spans="1:10">
      <c r="A54" s="277" t="s">
        <v>88</v>
      </c>
      <c r="B54" s="277"/>
      <c r="C54" s="277"/>
      <c r="D54" s="277"/>
      <c r="E54" s="277"/>
      <c r="F54" s="277"/>
      <c r="G54" s="277"/>
      <c r="H54" s="85"/>
      <c r="I54" s="75" t="s">
        <v>196</v>
      </c>
      <c r="J54" s="71"/>
    </row>
    <row r="55" spans="1:10">
      <c r="A55" s="75" t="s">
        <v>21</v>
      </c>
      <c r="B55" s="283" t="s">
        <v>463</v>
      </c>
      <c r="C55" s="283"/>
      <c r="D55" s="283"/>
      <c r="E55" s="283"/>
      <c r="F55" s="283"/>
      <c r="G55" s="283"/>
      <c r="H55" s="72" t="s">
        <v>214</v>
      </c>
      <c r="I55" s="86">
        <f>TRUNC((5.2*2*15)-(6%*I29*50%),2)</f>
        <v>94.62</v>
      </c>
      <c r="J55" s="71" t="s">
        <v>464</v>
      </c>
    </row>
    <row r="56" spans="1:10">
      <c r="A56" s="75" t="s">
        <v>22</v>
      </c>
      <c r="B56" s="283" t="s">
        <v>470</v>
      </c>
      <c r="C56" s="283"/>
      <c r="D56" s="283"/>
      <c r="E56" s="283"/>
      <c r="F56" s="283"/>
      <c r="G56" s="283"/>
      <c r="H56" s="72" t="s">
        <v>214</v>
      </c>
      <c r="I56" s="86">
        <f>TRUNC(((37-(37*18%))*15),2)</f>
        <v>455.1</v>
      </c>
      <c r="J56" s="71"/>
    </row>
    <row r="57" spans="1:10">
      <c r="A57" s="75" t="s">
        <v>23</v>
      </c>
      <c r="B57" s="283" t="s">
        <v>215</v>
      </c>
      <c r="C57" s="283"/>
      <c r="D57" s="283"/>
      <c r="E57" s="283"/>
      <c r="F57" s="283"/>
      <c r="G57" s="283"/>
      <c r="H57" s="72" t="s">
        <v>214</v>
      </c>
      <c r="I57" s="86">
        <v>160.78</v>
      </c>
      <c r="J57" s="71"/>
    </row>
    <row r="58" spans="1:10">
      <c r="A58" s="75" t="s">
        <v>24</v>
      </c>
      <c r="B58" s="283" t="s">
        <v>216</v>
      </c>
      <c r="C58" s="283"/>
      <c r="D58" s="283"/>
      <c r="E58" s="283"/>
      <c r="F58" s="283"/>
      <c r="G58" s="283"/>
      <c r="H58" s="72" t="s">
        <v>214</v>
      </c>
      <c r="I58" s="86">
        <v>14.99</v>
      </c>
      <c r="J58" s="71"/>
    </row>
    <row r="59" spans="1:10">
      <c r="A59" s="75" t="s">
        <v>26</v>
      </c>
      <c r="B59" s="284" t="s">
        <v>37</v>
      </c>
      <c r="C59" s="285"/>
      <c r="D59" s="285"/>
      <c r="E59" s="285"/>
      <c r="F59" s="285"/>
      <c r="G59" s="286"/>
      <c r="H59" s="72" t="s">
        <v>214</v>
      </c>
      <c r="I59" s="86">
        <v>0</v>
      </c>
      <c r="J59" s="71"/>
    </row>
    <row r="60" spans="1:10">
      <c r="A60" s="277" t="s">
        <v>217</v>
      </c>
      <c r="B60" s="277"/>
      <c r="C60" s="277"/>
      <c r="D60" s="277"/>
      <c r="E60" s="277"/>
      <c r="F60" s="277"/>
      <c r="G60" s="277"/>
      <c r="H60" s="277"/>
      <c r="I60" s="80">
        <f>SUM(I55:I59)</f>
        <v>725.49</v>
      </c>
      <c r="J60" s="71"/>
    </row>
    <row r="61" spans="1:10">
      <c r="A61" s="281"/>
      <c r="B61" s="281"/>
      <c r="C61" s="281"/>
      <c r="D61" s="281"/>
      <c r="E61" s="281"/>
      <c r="F61" s="281"/>
      <c r="G61" s="281"/>
      <c r="H61" s="281"/>
      <c r="I61" s="282"/>
      <c r="J61" s="71"/>
    </row>
    <row r="62" spans="1:10">
      <c r="A62" s="267" t="s">
        <v>218</v>
      </c>
      <c r="B62" s="267"/>
      <c r="C62" s="267"/>
      <c r="D62" s="267"/>
      <c r="E62" s="267"/>
      <c r="F62" s="267"/>
      <c r="G62" s="267"/>
      <c r="H62" s="267"/>
      <c r="I62" s="267"/>
      <c r="J62" s="71"/>
    </row>
    <row r="63" spans="1:10">
      <c r="A63" s="277" t="s">
        <v>219</v>
      </c>
      <c r="B63" s="277"/>
      <c r="C63" s="277"/>
      <c r="D63" s="277"/>
      <c r="E63" s="277"/>
      <c r="F63" s="277"/>
      <c r="G63" s="277"/>
      <c r="H63" s="277"/>
      <c r="I63" s="75" t="s">
        <v>196</v>
      </c>
      <c r="J63" s="71"/>
    </row>
    <row r="64" spans="1:10">
      <c r="A64" s="75" t="s">
        <v>69</v>
      </c>
      <c r="B64" s="268" t="s">
        <v>220</v>
      </c>
      <c r="C64" s="268"/>
      <c r="D64" s="268"/>
      <c r="E64" s="268"/>
      <c r="F64" s="268"/>
      <c r="G64" s="268"/>
      <c r="H64" s="268"/>
      <c r="I64" s="77">
        <f>I41</f>
        <v>543.46</v>
      </c>
      <c r="J64" s="71"/>
    </row>
    <row r="65" spans="1:10">
      <c r="A65" s="75" t="s">
        <v>77</v>
      </c>
      <c r="B65" s="268" t="s">
        <v>221</v>
      </c>
      <c r="C65" s="268"/>
      <c r="D65" s="268"/>
      <c r="E65" s="268"/>
      <c r="F65" s="268"/>
      <c r="G65" s="268"/>
      <c r="H65" s="268"/>
      <c r="I65" s="77">
        <f>I52</f>
        <v>1178.72</v>
      </c>
      <c r="J65" s="71"/>
    </row>
    <row r="66" spans="1:10">
      <c r="A66" s="75" t="s">
        <v>89</v>
      </c>
      <c r="B66" s="268" t="s">
        <v>90</v>
      </c>
      <c r="C66" s="268"/>
      <c r="D66" s="268"/>
      <c r="E66" s="268"/>
      <c r="F66" s="268"/>
      <c r="G66" s="268"/>
      <c r="H66" s="268"/>
      <c r="I66" s="77">
        <f>I60</f>
        <v>725.49</v>
      </c>
      <c r="J66" s="71"/>
    </row>
    <row r="67" spans="1:10">
      <c r="A67" s="277" t="s">
        <v>222</v>
      </c>
      <c r="B67" s="277"/>
      <c r="C67" s="277"/>
      <c r="D67" s="277"/>
      <c r="E67" s="277"/>
      <c r="F67" s="277"/>
      <c r="G67" s="277"/>
      <c r="H67" s="277"/>
      <c r="I67" s="80">
        <f>SUM(I64:I66)</f>
        <v>2447.67</v>
      </c>
      <c r="J67" s="71"/>
    </row>
    <row r="68" spans="1:10">
      <c r="A68" s="290"/>
      <c r="B68" s="291"/>
      <c r="C68" s="291"/>
      <c r="D68" s="291"/>
      <c r="E68" s="291"/>
      <c r="F68" s="291"/>
      <c r="G68" s="291"/>
      <c r="H68" s="291"/>
      <c r="I68" s="291"/>
      <c r="J68" s="71"/>
    </row>
    <row r="69" spans="1:10">
      <c r="A69" s="276" t="s">
        <v>223</v>
      </c>
      <c r="B69" s="276"/>
      <c r="C69" s="276"/>
      <c r="D69" s="276"/>
      <c r="E69" s="276"/>
      <c r="F69" s="276"/>
      <c r="G69" s="276"/>
      <c r="H69" s="276"/>
      <c r="I69" s="276"/>
      <c r="J69" s="71"/>
    </row>
    <row r="70" spans="1:10">
      <c r="A70" s="75">
        <v>3</v>
      </c>
      <c r="B70" s="277" t="s">
        <v>224</v>
      </c>
      <c r="C70" s="277"/>
      <c r="D70" s="277"/>
      <c r="E70" s="277"/>
      <c r="F70" s="277"/>
      <c r="G70" s="277"/>
      <c r="H70" s="75" t="s">
        <v>34</v>
      </c>
      <c r="I70" s="75" t="s">
        <v>196</v>
      </c>
      <c r="J70" s="71"/>
    </row>
    <row r="71" spans="1:10">
      <c r="A71" s="75" t="s">
        <v>21</v>
      </c>
      <c r="B71" s="268" t="s">
        <v>100</v>
      </c>
      <c r="C71" s="268"/>
      <c r="D71" s="268"/>
      <c r="E71" s="268"/>
      <c r="F71" s="268"/>
      <c r="G71" s="268"/>
      <c r="H71" s="83">
        <f>(1/12)*5.5%</f>
        <v>4.5833333333333334E-3</v>
      </c>
      <c r="I71" s="77">
        <f>TRUNC(H71*$I$35,2)</f>
        <v>12.19</v>
      </c>
      <c r="J71" s="71"/>
    </row>
    <row r="72" spans="1:10">
      <c r="A72" s="75" t="s">
        <v>22</v>
      </c>
      <c r="B72" s="268" t="s">
        <v>225</v>
      </c>
      <c r="C72" s="268"/>
      <c r="D72" s="268"/>
      <c r="E72" s="268"/>
      <c r="F72" s="268"/>
      <c r="G72" s="268"/>
      <c r="H72" s="83">
        <f>H51*H71</f>
        <v>3.6666666666666667E-4</v>
      </c>
      <c r="I72" s="77">
        <f>TRUNC(H72*$I$35,2)</f>
        <v>0.97</v>
      </c>
      <c r="J72" s="71"/>
    </row>
    <row r="73" spans="1:10">
      <c r="A73" s="75" t="s">
        <v>23</v>
      </c>
      <c r="B73" s="268" t="s">
        <v>226</v>
      </c>
      <c r="C73" s="268"/>
      <c r="D73" s="268"/>
      <c r="E73" s="268"/>
      <c r="F73" s="268"/>
      <c r="G73" s="268"/>
      <c r="H73" s="83">
        <f>((7/30)/12)</f>
        <v>1.9444444444444445E-2</v>
      </c>
      <c r="I73" s="77">
        <f>TRUNC(H73*$I$35,2)</f>
        <v>51.71</v>
      </c>
      <c r="J73" s="71"/>
    </row>
    <row r="74" spans="1:10">
      <c r="A74" s="75" t="s">
        <v>24</v>
      </c>
      <c r="B74" s="268" t="s">
        <v>155</v>
      </c>
      <c r="C74" s="268"/>
      <c r="D74" s="268"/>
      <c r="E74" s="268"/>
      <c r="F74" s="268"/>
      <c r="G74" s="268"/>
      <c r="H74" s="84">
        <f>H52*H73</f>
        <v>7.1555555555555565E-3</v>
      </c>
      <c r="I74" s="77">
        <f>TRUNC(H74*$I$35,2)</f>
        <v>19.03</v>
      </c>
      <c r="J74" s="71"/>
    </row>
    <row r="75" spans="1:10" ht="24.75" customHeight="1">
      <c r="A75" s="75" t="s">
        <v>26</v>
      </c>
      <c r="B75" s="287" t="s">
        <v>227</v>
      </c>
      <c r="C75" s="287"/>
      <c r="D75" s="287"/>
      <c r="E75" s="287"/>
      <c r="F75" s="287"/>
      <c r="G75" s="287"/>
      <c r="H75" s="83">
        <v>0.04</v>
      </c>
      <c r="I75" s="77">
        <f>TRUNC(H75*$I$35,2)</f>
        <v>106.38</v>
      </c>
      <c r="J75" s="71"/>
    </row>
    <row r="76" spans="1:10">
      <c r="A76" s="277" t="s">
        <v>228</v>
      </c>
      <c r="B76" s="277"/>
      <c r="C76" s="277"/>
      <c r="D76" s="277"/>
      <c r="E76" s="277"/>
      <c r="F76" s="277"/>
      <c r="G76" s="277"/>
      <c r="H76" s="85">
        <v>8.1000000000000003E-2</v>
      </c>
      <c r="I76" s="80">
        <f>SUM(I71:I75)</f>
        <v>190.28</v>
      </c>
      <c r="J76" s="71"/>
    </row>
    <row r="77" spans="1:10">
      <c r="A77" s="288"/>
      <c r="B77" s="289"/>
      <c r="C77" s="289"/>
      <c r="D77" s="289"/>
      <c r="E77" s="289"/>
      <c r="F77" s="289"/>
      <c r="G77" s="289"/>
      <c r="H77" s="289"/>
      <c r="I77" s="289"/>
      <c r="J77" s="71"/>
    </row>
    <row r="78" spans="1:10">
      <c r="A78" s="276" t="s">
        <v>229</v>
      </c>
      <c r="B78" s="276"/>
      <c r="C78" s="276"/>
      <c r="D78" s="276"/>
      <c r="E78" s="276"/>
      <c r="F78" s="276"/>
      <c r="G78" s="276"/>
      <c r="H78" s="276"/>
      <c r="I78" s="276"/>
      <c r="J78" s="71"/>
    </row>
    <row r="79" spans="1:10">
      <c r="A79" s="277" t="s">
        <v>230</v>
      </c>
      <c r="B79" s="277"/>
      <c r="C79" s="277"/>
      <c r="D79" s="277"/>
      <c r="E79" s="277"/>
      <c r="F79" s="277"/>
      <c r="G79" s="277"/>
      <c r="H79" s="75" t="s">
        <v>34</v>
      </c>
      <c r="I79" s="75" t="s">
        <v>196</v>
      </c>
      <c r="J79" s="71"/>
    </row>
    <row r="80" spans="1:10">
      <c r="A80" s="75" t="s">
        <v>21</v>
      </c>
      <c r="B80" s="268" t="s">
        <v>231</v>
      </c>
      <c r="C80" s="268"/>
      <c r="D80" s="268"/>
      <c r="E80" s="268"/>
      <c r="F80" s="268"/>
      <c r="G80" s="268"/>
      <c r="H80" s="83">
        <f>(((1/12)+(1/12)+((1/12)/3))/12)</f>
        <v>1.6203703703703703E-2</v>
      </c>
      <c r="I80" s="77">
        <f>TRUNC($I$35*H80,2)</f>
        <v>43.09</v>
      </c>
      <c r="J80" s="71"/>
    </row>
    <row r="81" spans="1:16">
      <c r="A81" s="75" t="s">
        <v>22</v>
      </c>
      <c r="B81" s="268" t="s">
        <v>232</v>
      </c>
      <c r="C81" s="268"/>
      <c r="D81" s="268"/>
      <c r="E81" s="268"/>
      <c r="F81" s="268"/>
      <c r="G81" s="268"/>
      <c r="H81" s="83">
        <f>(1/30)/12</f>
        <v>2.7777777777777779E-3</v>
      </c>
      <c r="I81" s="77">
        <f>TRUNC($I$35*H81,2)</f>
        <v>7.38</v>
      </c>
      <c r="J81" s="71"/>
    </row>
    <row r="82" spans="1:16">
      <c r="A82" s="75" t="s">
        <v>23</v>
      </c>
      <c r="B82" s="268" t="s">
        <v>233</v>
      </c>
      <c r="C82" s="268"/>
      <c r="D82" s="268"/>
      <c r="E82" s="268"/>
      <c r="F82" s="268"/>
      <c r="G82" s="268"/>
      <c r="H82" s="83">
        <f>((5/30)/12)*1.5%</f>
        <v>2.0833333333333332E-4</v>
      </c>
      <c r="I82" s="77">
        <f>TRUNC($I$35*H82,2)</f>
        <v>0.55000000000000004</v>
      </c>
      <c r="J82" s="71"/>
    </row>
    <row r="83" spans="1:16">
      <c r="A83" s="75" t="s">
        <v>24</v>
      </c>
      <c r="B83" s="268" t="s">
        <v>234</v>
      </c>
      <c r="C83" s="268"/>
      <c r="D83" s="268"/>
      <c r="E83" s="268"/>
      <c r="F83" s="268"/>
      <c r="G83" s="268"/>
      <c r="H83" s="83">
        <f>((15/30)/12)*8%</f>
        <v>3.3333333333333331E-3</v>
      </c>
      <c r="I83" s="77">
        <f>TRUNC($I$35*H83,2)</f>
        <v>8.86</v>
      </c>
      <c r="J83" s="71"/>
      <c r="P83" s="130"/>
    </row>
    <row r="84" spans="1:16">
      <c r="A84" s="75" t="s">
        <v>26</v>
      </c>
      <c r="B84" s="268" t="s">
        <v>235</v>
      </c>
      <c r="C84" s="268"/>
      <c r="D84" s="268"/>
      <c r="E84" s="268"/>
      <c r="F84" s="268"/>
      <c r="G84" s="268"/>
      <c r="H84" s="83">
        <f>(((4*8.33%)+(4*2.78%))/12)*2%</f>
        <v>7.4066666666666671E-4</v>
      </c>
      <c r="I84" s="77">
        <f>TRUNC($I$35*H84,2)</f>
        <v>1.96</v>
      </c>
      <c r="J84" s="71"/>
    </row>
    <row r="85" spans="1:16">
      <c r="A85" s="75" t="s">
        <v>27</v>
      </c>
      <c r="B85" s="268" t="s">
        <v>236</v>
      </c>
      <c r="C85" s="268"/>
      <c r="D85" s="268"/>
      <c r="E85" s="268"/>
      <c r="F85" s="268"/>
      <c r="G85" s="268"/>
      <c r="H85" s="83">
        <v>0</v>
      </c>
      <c r="I85" s="77">
        <f>TRUNC(($I$35+$I$67+$I$76)*H85,2)</f>
        <v>0</v>
      </c>
      <c r="J85" s="71"/>
    </row>
    <row r="86" spans="1:16">
      <c r="A86" s="277" t="s">
        <v>237</v>
      </c>
      <c r="B86" s="277"/>
      <c r="C86" s="277"/>
      <c r="D86" s="277"/>
      <c r="E86" s="277"/>
      <c r="F86" s="277"/>
      <c r="G86" s="277"/>
      <c r="H86" s="85">
        <f>SUM(H80:H85)</f>
        <v>2.3263814814814817E-2</v>
      </c>
      <c r="I86" s="80">
        <f>SUM(I80:I85)</f>
        <v>61.84</v>
      </c>
      <c r="J86" s="71"/>
    </row>
    <row r="87" spans="1:16">
      <c r="A87" s="292"/>
      <c r="B87" s="293"/>
      <c r="C87" s="293"/>
      <c r="D87" s="293"/>
      <c r="E87" s="293"/>
      <c r="F87" s="293"/>
      <c r="G87" s="293"/>
      <c r="H87" s="293"/>
      <c r="I87" s="293"/>
      <c r="J87" s="71"/>
    </row>
    <row r="88" spans="1:16">
      <c r="A88" s="277" t="s">
        <v>238</v>
      </c>
      <c r="B88" s="277"/>
      <c r="C88" s="277"/>
      <c r="D88" s="277"/>
      <c r="E88" s="277"/>
      <c r="F88" s="277"/>
      <c r="G88" s="277"/>
      <c r="H88" s="75" t="s">
        <v>34</v>
      </c>
      <c r="I88" s="75" t="s">
        <v>196</v>
      </c>
      <c r="J88" s="71"/>
    </row>
    <row r="89" spans="1:16">
      <c r="A89" s="75" t="s">
        <v>21</v>
      </c>
      <c r="B89" s="287" t="s">
        <v>239</v>
      </c>
      <c r="C89" s="268"/>
      <c r="D89" s="268"/>
      <c r="E89" s="268"/>
      <c r="F89" s="268"/>
      <c r="G89" s="268"/>
      <c r="H89" s="83">
        <v>0</v>
      </c>
      <c r="I89" s="77">
        <v>0</v>
      </c>
      <c r="J89" s="71"/>
    </row>
    <row r="90" spans="1:16">
      <c r="A90" s="277" t="s">
        <v>240</v>
      </c>
      <c r="B90" s="277"/>
      <c r="C90" s="277"/>
      <c r="D90" s="277"/>
      <c r="E90" s="277"/>
      <c r="F90" s="277"/>
      <c r="G90" s="277"/>
      <c r="H90" s="85">
        <v>0</v>
      </c>
      <c r="I90" s="80">
        <v>0</v>
      </c>
      <c r="J90" s="71"/>
    </row>
    <row r="91" spans="1:16">
      <c r="A91" s="294"/>
      <c r="B91" s="295"/>
      <c r="C91" s="295"/>
      <c r="D91" s="295"/>
      <c r="E91" s="295"/>
      <c r="F91" s="295"/>
      <c r="G91" s="295"/>
      <c r="H91" s="295"/>
      <c r="I91" s="295"/>
      <c r="J91" s="71"/>
    </row>
    <row r="92" spans="1:16">
      <c r="A92" s="267" t="s">
        <v>241</v>
      </c>
      <c r="B92" s="267"/>
      <c r="C92" s="267"/>
      <c r="D92" s="267"/>
      <c r="E92" s="267"/>
      <c r="F92" s="267"/>
      <c r="G92" s="267"/>
      <c r="H92" s="267"/>
      <c r="I92" s="267"/>
      <c r="J92" s="71"/>
    </row>
    <row r="93" spans="1:16">
      <c r="A93" s="277" t="s">
        <v>242</v>
      </c>
      <c r="B93" s="277"/>
      <c r="C93" s="277"/>
      <c r="D93" s="277"/>
      <c r="E93" s="277"/>
      <c r="F93" s="277"/>
      <c r="G93" s="277"/>
      <c r="H93" s="277"/>
      <c r="I93" s="75" t="s">
        <v>196</v>
      </c>
      <c r="J93" s="71"/>
    </row>
    <row r="94" spans="1:16">
      <c r="A94" s="75" t="s">
        <v>33</v>
      </c>
      <c r="B94" s="268" t="s">
        <v>243</v>
      </c>
      <c r="C94" s="268"/>
      <c r="D94" s="268"/>
      <c r="E94" s="268"/>
      <c r="F94" s="268"/>
      <c r="G94" s="268"/>
      <c r="H94" s="268"/>
      <c r="I94" s="77">
        <f>I86</f>
        <v>61.84</v>
      </c>
      <c r="J94" s="71"/>
    </row>
    <row r="95" spans="1:16">
      <c r="A95" s="75" t="s">
        <v>36</v>
      </c>
      <c r="B95" s="268" t="s">
        <v>164</v>
      </c>
      <c r="C95" s="268"/>
      <c r="D95" s="268"/>
      <c r="E95" s="268"/>
      <c r="F95" s="268"/>
      <c r="G95" s="268"/>
      <c r="H95" s="268"/>
      <c r="I95" s="77">
        <f>I90</f>
        <v>0</v>
      </c>
      <c r="J95" s="71"/>
    </row>
    <row r="96" spans="1:16">
      <c r="A96" s="277" t="s">
        <v>244</v>
      </c>
      <c r="B96" s="277"/>
      <c r="C96" s="277"/>
      <c r="D96" s="277"/>
      <c r="E96" s="277"/>
      <c r="F96" s="277"/>
      <c r="G96" s="277"/>
      <c r="H96" s="277"/>
      <c r="I96" s="80">
        <f>SUM(I94:I95)</f>
        <v>61.84</v>
      </c>
      <c r="J96" s="71"/>
    </row>
    <row r="97" spans="1:12">
      <c r="A97" s="290"/>
      <c r="B97" s="291"/>
      <c r="C97" s="291"/>
      <c r="D97" s="291"/>
      <c r="E97" s="291"/>
      <c r="F97" s="291"/>
      <c r="G97" s="291"/>
      <c r="H97" s="291"/>
      <c r="I97" s="291"/>
      <c r="J97" s="71"/>
    </row>
    <row r="98" spans="1:12">
      <c r="A98" s="276" t="s">
        <v>245</v>
      </c>
      <c r="B98" s="276"/>
      <c r="C98" s="276"/>
      <c r="D98" s="276"/>
      <c r="E98" s="276"/>
      <c r="F98" s="276"/>
      <c r="G98" s="276"/>
      <c r="H98" s="276"/>
      <c r="I98" s="276"/>
      <c r="J98" s="71"/>
    </row>
    <row r="99" spans="1:12">
      <c r="A99" s="75">
        <v>5</v>
      </c>
      <c r="B99" s="277" t="s">
        <v>246</v>
      </c>
      <c r="C99" s="277"/>
      <c r="D99" s="277"/>
      <c r="E99" s="277"/>
      <c r="F99" s="277"/>
      <c r="G99" s="277"/>
      <c r="H99" s="75"/>
      <c r="I99" s="75" t="s">
        <v>196</v>
      </c>
      <c r="J99" s="71"/>
    </row>
    <row r="100" spans="1:12">
      <c r="A100" s="75" t="s">
        <v>21</v>
      </c>
      <c r="B100" s="283" t="s">
        <v>247</v>
      </c>
      <c r="C100" s="283"/>
      <c r="D100" s="283"/>
      <c r="E100" s="283"/>
      <c r="F100" s="283"/>
      <c r="G100" s="283"/>
      <c r="H100" s="72" t="s">
        <v>214</v>
      </c>
      <c r="I100" s="77">
        <f>'Resumo Unif.Equip'!E17</f>
        <v>164.91499999999999</v>
      </c>
      <c r="J100" s="71"/>
    </row>
    <row r="101" spans="1:12">
      <c r="A101" s="75" t="s">
        <v>22</v>
      </c>
      <c r="B101" s="283" t="s">
        <v>32</v>
      </c>
      <c r="C101" s="283"/>
      <c r="D101" s="283"/>
      <c r="E101" s="283"/>
      <c r="F101" s="283"/>
      <c r="G101" s="283"/>
      <c r="H101" s="72" t="s">
        <v>214</v>
      </c>
      <c r="I101" s="77">
        <f>'Resumo Unif.Equip'!F26</f>
        <v>10.731208333333333</v>
      </c>
      <c r="J101" s="71"/>
    </row>
    <row r="102" spans="1:12">
      <c r="A102" s="87" t="s">
        <v>23</v>
      </c>
      <c r="B102" s="283" t="s">
        <v>442</v>
      </c>
      <c r="C102" s="283"/>
      <c r="D102" s="283"/>
      <c r="E102" s="283"/>
      <c r="F102" s="283"/>
      <c r="G102" s="283"/>
      <c r="H102" s="72" t="s">
        <v>214</v>
      </c>
      <c r="I102" s="77">
        <f>'Resumo Unif.Equip'!F40</f>
        <v>7.2115138888888888</v>
      </c>
      <c r="J102" s="71"/>
    </row>
    <row r="103" spans="1:12">
      <c r="A103" s="87" t="s">
        <v>24</v>
      </c>
      <c r="B103" s="283" t="s">
        <v>37</v>
      </c>
      <c r="C103" s="283"/>
      <c r="D103" s="283"/>
      <c r="E103" s="283"/>
      <c r="F103" s="283"/>
      <c r="G103" s="283"/>
      <c r="H103" s="72" t="s">
        <v>214</v>
      </c>
      <c r="I103" s="77">
        <v>0</v>
      </c>
      <c r="J103" s="71"/>
    </row>
    <row r="104" spans="1:12">
      <c r="A104" s="277" t="s">
        <v>248</v>
      </c>
      <c r="B104" s="277"/>
      <c r="C104" s="277"/>
      <c r="D104" s="277"/>
      <c r="E104" s="277"/>
      <c r="F104" s="277"/>
      <c r="G104" s="277"/>
      <c r="H104" s="85" t="s">
        <v>214</v>
      </c>
      <c r="I104" s="80">
        <f>SUM(I100:I103)</f>
        <v>182.85772222222224</v>
      </c>
      <c r="J104" s="71"/>
      <c r="K104" s="126"/>
      <c r="L104" s="264"/>
    </row>
    <row r="105" spans="1:12">
      <c r="A105" s="290"/>
      <c r="B105" s="291"/>
      <c r="C105" s="291"/>
      <c r="D105" s="291"/>
      <c r="E105" s="291"/>
      <c r="F105" s="291"/>
      <c r="G105" s="291"/>
      <c r="H105" s="291"/>
      <c r="I105" s="291"/>
      <c r="J105" s="71"/>
    </row>
    <row r="106" spans="1:12">
      <c r="A106" s="276" t="s">
        <v>249</v>
      </c>
      <c r="B106" s="276"/>
      <c r="C106" s="276"/>
      <c r="D106" s="276"/>
      <c r="E106" s="276"/>
      <c r="F106" s="276"/>
      <c r="G106" s="276"/>
      <c r="H106" s="276"/>
      <c r="I106" s="276"/>
      <c r="J106" s="71"/>
    </row>
    <row r="107" spans="1:12">
      <c r="A107" s="75">
        <v>6</v>
      </c>
      <c r="B107" s="277" t="s">
        <v>250</v>
      </c>
      <c r="C107" s="277"/>
      <c r="D107" s="277"/>
      <c r="E107" s="277"/>
      <c r="F107" s="277"/>
      <c r="G107" s="277"/>
      <c r="H107" s="75" t="s">
        <v>34</v>
      </c>
      <c r="I107" s="75" t="s">
        <v>196</v>
      </c>
      <c r="J107" s="71"/>
    </row>
    <row r="108" spans="1:12">
      <c r="A108" s="75" t="s">
        <v>21</v>
      </c>
      <c r="B108" s="268" t="s">
        <v>251</v>
      </c>
      <c r="C108" s="268"/>
      <c r="D108" s="268"/>
      <c r="E108" s="268"/>
      <c r="F108" s="268"/>
      <c r="G108" s="268"/>
      <c r="H108" s="88">
        <v>0.06</v>
      </c>
      <c r="I108" s="77">
        <f>TRUNC((($I$35+$I$67+$I$76+$I$96+$I$104)*H108),2)</f>
        <v>332.54</v>
      </c>
      <c r="J108" s="71"/>
    </row>
    <row r="109" spans="1:12">
      <c r="A109" s="75" t="s">
        <v>22</v>
      </c>
      <c r="B109" s="268" t="s">
        <v>252</v>
      </c>
      <c r="C109" s="268"/>
      <c r="D109" s="268"/>
      <c r="E109" s="268"/>
      <c r="F109" s="268"/>
      <c r="G109" s="268"/>
      <c r="H109" s="88">
        <v>6.7900000000000002E-2</v>
      </c>
      <c r="I109" s="77">
        <f>TRUNC((($I$35+$I$67+$I$76+$I$96+$I$104+I108)*H109),2)</f>
        <v>398.9</v>
      </c>
      <c r="J109" s="71"/>
    </row>
    <row r="110" spans="1:12">
      <c r="A110" s="75" t="s">
        <v>23</v>
      </c>
      <c r="B110" s="296" t="s">
        <v>253</v>
      </c>
      <c r="C110" s="296"/>
      <c r="D110" s="296"/>
      <c r="E110" s="296"/>
      <c r="F110" s="296"/>
      <c r="G110" s="296"/>
      <c r="H110" s="78"/>
      <c r="I110" s="89"/>
      <c r="J110" s="71"/>
    </row>
    <row r="111" spans="1:12">
      <c r="A111" s="75" t="s">
        <v>254</v>
      </c>
      <c r="B111" s="268" t="s">
        <v>290</v>
      </c>
      <c r="C111" s="268"/>
      <c r="D111" s="268"/>
      <c r="E111" s="268"/>
      <c r="F111" s="268"/>
      <c r="G111" s="268"/>
      <c r="H111" s="90">
        <v>6.4999999999999997E-3</v>
      </c>
      <c r="I111" s="77">
        <f>TRUNC(H111*I121,2)</f>
        <v>43.68</v>
      </c>
      <c r="J111" s="71"/>
    </row>
    <row r="112" spans="1:12">
      <c r="A112" s="75" t="s">
        <v>255</v>
      </c>
      <c r="B112" s="268" t="s">
        <v>291</v>
      </c>
      <c r="C112" s="268"/>
      <c r="D112" s="268"/>
      <c r="E112" s="268"/>
      <c r="F112" s="268"/>
      <c r="G112" s="268"/>
      <c r="H112" s="90">
        <v>0.03</v>
      </c>
      <c r="I112" s="77">
        <f>TRUNC(H112*I121,2)</f>
        <v>201.62</v>
      </c>
      <c r="J112" s="71"/>
    </row>
    <row r="113" spans="1:10">
      <c r="A113" s="75" t="s">
        <v>256</v>
      </c>
      <c r="B113" s="268" t="s">
        <v>257</v>
      </c>
      <c r="C113" s="268"/>
      <c r="D113" s="268"/>
      <c r="E113" s="268"/>
      <c r="F113" s="268"/>
      <c r="G113" s="268"/>
      <c r="H113" s="90">
        <v>0.03</v>
      </c>
      <c r="I113" s="77">
        <f>TRUNC(H113*I121,2)</f>
        <v>201.62</v>
      </c>
      <c r="J113" s="102"/>
    </row>
    <row r="114" spans="1:10">
      <c r="A114" s="277" t="s">
        <v>258</v>
      </c>
      <c r="B114" s="277"/>
      <c r="C114" s="277"/>
      <c r="D114" s="277"/>
      <c r="E114" s="277"/>
      <c r="F114" s="277"/>
      <c r="G114" s="277"/>
      <c r="H114" s="90">
        <f>SUM(H108:H113)</f>
        <v>0.19440000000000002</v>
      </c>
      <c r="I114" s="80">
        <f>SUM(I108:I113)</f>
        <v>1178.3600000000001</v>
      </c>
      <c r="J114" s="71"/>
    </row>
    <row r="115" spans="1:10">
      <c r="A115" s="73"/>
      <c r="B115" s="297"/>
      <c r="C115" s="297"/>
      <c r="D115" s="297"/>
      <c r="E115" s="297"/>
      <c r="F115" s="297"/>
      <c r="G115" s="297"/>
      <c r="H115" s="297"/>
      <c r="I115" s="297"/>
      <c r="J115" s="3"/>
    </row>
    <row r="116" spans="1:10">
      <c r="A116" s="91" t="s">
        <v>259</v>
      </c>
      <c r="B116" s="298" t="s">
        <v>260</v>
      </c>
      <c r="C116" s="298"/>
      <c r="D116" s="298"/>
      <c r="E116" s="298"/>
      <c r="F116" s="298"/>
      <c r="G116" s="298"/>
      <c r="H116" s="92">
        <f>H111+H112+H113</f>
        <v>6.6500000000000004E-2</v>
      </c>
      <c r="I116" s="93"/>
      <c r="J116" s="3"/>
    </row>
    <row r="117" spans="1:10">
      <c r="A117" s="94"/>
      <c r="B117" s="299">
        <v>100</v>
      </c>
      <c r="C117" s="299"/>
      <c r="D117" s="299"/>
      <c r="E117" s="299"/>
      <c r="F117" s="299"/>
      <c r="G117" s="299"/>
      <c r="H117" s="95"/>
      <c r="I117" s="96"/>
      <c r="J117" s="3"/>
    </row>
    <row r="118" spans="1:10">
      <c r="A118" s="97"/>
      <c r="B118" s="98"/>
      <c r="C118" s="98"/>
      <c r="D118" s="98"/>
      <c r="E118" s="98"/>
      <c r="F118" s="98"/>
      <c r="G118" s="98"/>
      <c r="H118" s="95"/>
      <c r="I118" s="96"/>
      <c r="J118" s="3"/>
    </row>
    <row r="119" spans="1:10">
      <c r="A119" s="94" t="s">
        <v>261</v>
      </c>
      <c r="B119" s="299" t="s">
        <v>303</v>
      </c>
      <c r="C119" s="299"/>
      <c r="D119" s="299"/>
      <c r="E119" s="299"/>
      <c r="F119" s="299"/>
      <c r="G119" s="299"/>
      <c r="H119" s="95"/>
      <c r="I119" s="96">
        <f>I35+I67+I76+I96+I104+I108+I109</f>
        <v>6273.7777222222221</v>
      </c>
      <c r="J119" s="3"/>
    </row>
    <row r="120" spans="1:10">
      <c r="A120" s="94"/>
      <c r="B120" s="98"/>
      <c r="C120" s="98"/>
      <c r="D120" s="98"/>
      <c r="E120" s="98"/>
      <c r="F120" s="98"/>
      <c r="G120" s="98"/>
      <c r="H120" s="95"/>
      <c r="I120" s="96"/>
      <c r="J120" s="3"/>
    </row>
    <row r="121" spans="1:10">
      <c r="A121" s="94" t="s">
        <v>263</v>
      </c>
      <c r="B121" s="299" t="s">
        <v>264</v>
      </c>
      <c r="C121" s="299"/>
      <c r="D121" s="299"/>
      <c r="E121" s="299"/>
      <c r="F121" s="299"/>
      <c r="G121" s="299"/>
      <c r="H121" s="95"/>
      <c r="I121" s="96">
        <f>TRUNC(I119/(1-H116),2)</f>
        <v>6720.7</v>
      </c>
      <c r="J121" s="3"/>
    </row>
    <row r="122" spans="1:10">
      <c r="A122" s="94"/>
      <c r="B122" s="98"/>
      <c r="C122" s="98"/>
      <c r="D122" s="98"/>
      <c r="E122" s="98"/>
      <c r="F122" s="98"/>
      <c r="G122" s="98"/>
      <c r="H122" s="95"/>
      <c r="I122" s="96"/>
      <c r="J122" s="3"/>
    </row>
    <row r="123" spans="1:10">
      <c r="A123" s="99"/>
      <c r="B123" s="300" t="s">
        <v>265</v>
      </c>
      <c r="C123" s="300"/>
      <c r="D123" s="300"/>
      <c r="E123" s="300"/>
      <c r="F123" s="300"/>
      <c r="G123" s="300"/>
      <c r="H123" s="100"/>
      <c r="I123" s="101">
        <f>I121-I119</f>
        <v>446.92227777777771</v>
      </c>
      <c r="J123" s="3"/>
    </row>
    <row r="124" spans="1:10">
      <c r="A124" s="73"/>
      <c r="B124" s="73"/>
      <c r="C124" s="73"/>
      <c r="D124" s="73"/>
      <c r="E124" s="73"/>
      <c r="F124" s="73"/>
      <c r="G124" s="73"/>
      <c r="H124" s="73"/>
      <c r="I124" s="82"/>
      <c r="J124" s="3"/>
    </row>
    <row r="125" spans="1:10">
      <c r="A125" s="267" t="s">
        <v>266</v>
      </c>
      <c r="B125" s="267"/>
      <c r="C125" s="267"/>
      <c r="D125" s="267"/>
      <c r="E125" s="267"/>
      <c r="F125" s="267"/>
      <c r="G125" s="267"/>
      <c r="H125" s="267"/>
      <c r="I125" s="267"/>
      <c r="J125" s="3"/>
    </row>
    <row r="126" spans="1:10">
      <c r="A126" s="277" t="s">
        <v>267</v>
      </c>
      <c r="B126" s="277"/>
      <c r="C126" s="277"/>
      <c r="D126" s="277"/>
      <c r="E126" s="277"/>
      <c r="F126" s="277"/>
      <c r="G126" s="277"/>
      <c r="H126" s="277"/>
      <c r="I126" s="75" t="s">
        <v>196</v>
      </c>
      <c r="J126" s="3"/>
    </row>
    <row r="127" spans="1:10">
      <c r="A127" s="72" t="s">
        <v>21</v>
      </c>
      <c r="B127" s="268" t="s">
        <v>194</v>
      </c>
      <c r="C127" s="268"/>
      <c r="D127" s="268"/>
      <c r="E127" s="268"/>
      <c r="F127" s="268"/>
      <c r="G127" s="268"/>
      <c r="H127" s="268"/>
      <c r="I127" s="77">
        <f>I35</f>
        <v>2659.69</v>
      </c>
    </row>
    <row r="128" spans="1:10">
      <c r="A128" s="72" t="s">
        <v>22</v>
      </c>
      <c r="B128" s="268" t="s">
        <v>200</v>
      </c>
      <c r="C128" s="268"/>
      <c r="D128" s="268"/>
      <c r="E128" s="268"/>
      <c r="F128" s="268"/>
      <c r="G128" s="268"/>
      <c r="H128" s="268"/>
      <c r="I128" s="77">
        <f>I67</f>
        <v>2447.67</v>
      </c>
    </row>
    <row r="129" spans="1:9">
      <c r="A129" s="72" t="s">
        <v>23</v>
      </c>
      <c r="B129" s="268" t="s">
        <v>223</v>
      </c>
      <c r="C129" s="268"/>
      <c r="D129" s="268"/>
      <c r="E129" s="268"/>
      <c r="F129" s="268"/>
      <c r="G129" s="268"/>
      <c r="H129" s="268"/>
      <c r="I129" s="77">
        <f>I76</f>
        <v>190.28</v>
      </c>
    </row>
    <row r="130" spans="1:9">
      <c r="A130" s="72" t="s">
        <v>24</v>
      </c>
      <c r="B130" s="268" t="s">
        <v>229</v>
      </c>
      <c r="C130" s="268"/>
      <c r="D130" s="268"/>
      <c r="E130" s="268"/>
      <c r="F130" s="268"/>
      <c r="G130" s="268"/>
      <c r="H130" s="268"/>
      <c r="I130" s="77">
        <f>I96</f>
        <v>61.84</v>
      </c>
    </row>
    <row r="131" spans="1:9">
      <c r="A131" s="72" t="s">
        <v>26</v>
      </c>
      <c r="B131" s="268" t="s">
        <v>245</v>
      </c>
      <c r="C131" s="268"/>
      <c r="D131" s="268"/>
      <c r="E131" s="268"/>
      <c r="F131" s="268"/>
      <c r="G131" s="268"/>
      <c r="H131" s="268"/>
      <c r="I131" s="77">
        <f>I104</f>
        <v>182.85772222222224</v>
      </c>
    </row>
    <row r="132" spans="1:9">
      <c r="A132" s="75"/>
      <c r="B132" s="277" t="s">
        <v>268</v>
      </c>
      <c r="C132" s="277"/>
      <c r="D132" s="277"/>
      <c r="E132" s="277"/>
      <c r="F132" s="277"/>
      <c r="G132" s="277"/>
      <c r="H132" s="277"/>
      <c r="I132" s="80">
        <f>SUM(I127:I131)</f>
        <v>5542.3377222222225</v>
      </c>
    </row>
    <row r="133" spans="1:9">
      <c r="A133" s="72" t="s">
        <v>27</v>
      </c>
      <c r="B133" s="268" t="s">
        <v>249</v>
      </c>
      <c r="C133" s="268"/>
      <c r="D133" s="268"/>
      <c r="E133" s="268"/>
      <c r="F133" s="268"/>
      <c r="G133" s="268"/>
      <c r="H133" s="268"/>
      <c r="I133" s="77">
        <f>I114</f>
        <v>1178.3600000000001</v>
      </c>
    </row>
    <row r="134" spans="1:9">
      <c r="A134" s="277" t="s">
        <v>269</v>
      </c>
      <c r="B134" s="277"/>
      <c r="C134" s="277"/>
      <c r="D134" s="277"/>
      <c r="E134" s="277"/>
      <c r="F134" s="277"/>
      <c r="G134" s="277"/>
      <c r="H134" s="277"/>
      <c r="I134" s="80">
        <f>I132+I133</f>
        <v>6720.6977222222231</v>
      </c>
    </row>
    <row r="135" spans="1:9">
      <c r="A135" s="277" t="s">
        <v>457</v>
      </c>
      <c r="B135" s="277"/>
      <c r="C135" s="277"/>
      <c r="D135" s="277"/>
      <c r="E135" s="277"/>
      <c r="F135" s="277"/>
      <c r="G135" s="277"/>
      <c r="H135" s="277"/>
      <c r="I135" s="80">
        <f>TRUNC(I134*2,2)</f>
        <v>13441.39</v>
      </c>
    </row>
    <row r="136" spans="1:9">
      <c r="A136" s="3"/>
      <c r="B136" s="3"/>
      <c r="C136" s="3"/>
      <c r="D136" s="3"/>
      <c r="E136" s="3"/>
      <c r="F136" s="3"/>
      <c r="G136" s="3"/>
      <c r="H136" s="3"/>
      <c r="I136" s="102"/>
    </row>
    <row r="137" spans="1:9" ht="15" hidden="1" thickBot="1">
      <c r="A137" s="73"/>
      <c r="B137" s="271" t="s">
        <v>270</v>
      </c>
      <c r="C137" s="271"/>
      <c r="D137" s="271"/>
      <c r="E137" s="271"/>
      <c r="F137" s="271"/>
      <c r="G137" s="271"/>
      <c r="H137" s="81"/>
      <c r="I137" s="81"/>
    </row>
    <row r="138" spans="1:9" ht="65.5" hidden="1" thickBot="1">
      <c r="A138" s="312" t="s">
        <v>271</v>
      </c>
      <c r="B138" s="313"/>
      <c r="C138" s="312" t="s">
        <v>272</v>
      </c>
      <c r="D138" s="313"/>
      <c r="E138" s="312" t="s">
        <v>273</v>
      </c>
      <c r="F138" s="313"/>
      <c r="G138" s="103" t="s">
        <v>274</v>
      </c>
      <c r="H138" s="104" t="s">
        <v>275</v>
      </c>
      <c r="I138" s="105" t="s">
        <v>196</v>
      </c>
    </row>
    <row r="139" spans="1:9" hidden="1">
      <c r="A139" s="301" t="s">
        <v>276</v>
      </c>
      <c r="B139" s="302"/>
      <c r="C139" s="303" t="s">
        <v>150</v>
      </c>
      <c r="D139" s="304"/>
      <c r="E139" s="305"/>
      <c r="F139" s="306"/>
      <c r="G139" s="106" t="s">
        <v>150</v>
      </c>
      <c r="H139" s="107"/>
      <c r="I139" s="108">
        <v>0</v>
      </c>
    </row>
    <row r="140" spans="1:9" hidden="1">
      <c r="A140" s="270" t="s">
        <v>277</v>
      </c>
      <c r="B140" s="307"/>
      <c r="C140" s="308" t="s">
        <v>150</v>
      </c>
      <c r="D140" s="309"/>
      <c r="E140" s="310"/>
      <c r="F140" s="311"/>
      <c r="G140" s="109" t="s">
        <v>150</v>
      </c>
      <c r="H140" s="110"/>
      <c r="I140" s="111">
        <v>0</v>
      </c>
    </row>
    <row r="141" spans="1:9" hidden="1">
      <c r="A141" s="270" t="s">
        <v>278</v>
      </c>
      <c r="B141" s="307"/>
      <c r="C141" s="308" t="s">
        <v>150</v>
      </c>
      <c r="D141" s="309"/>
      <c r="E141" s="310"/>
      <c r="F141" s="311"/>
      <c r="G141" s="109" t="s">
        <v>150</v>
      </c>
      <c r="H141" s="110"/>
      <c r="I141" s="111">
        <v>0</v>
      </c>
    </row>
    <row r="142" spans="1:9" hidden="1">
      <c r="A142" s="270" t="s">
        <v>279</v>
      </c>
      <c r="B142" s="307"/>
      <c r="C142" s="308" t="s">
        <v>150</v>
      </c>
      <c r="D142" s="309"/>
      <c r="E142" s="310"/>
      <c r="F142" s="311"/>
      <c r="G142" s="109" t="s">
        <v>150</v>
      </c>
      <c r="H142" s="110"/>
      <c r="I142" s="111">
        <v>0</v>
      </c>
    </row>
    <row r="143" spans="1:9" hidden="1">
      <c r="A143" s="338"/>
      <c r="B143" s="288"/>
      <c r="C143" s="310"/>
      <c r="D143" s="311"/>
      <c r="E143" s="310"/>
      <c r="F143" s="311"/>
      <c r="G143" s="112"/>
      <c r="H143" s="113"/>
      <c r="I143" s="111"/>
    </row>
    <row r="144" spans="1:9" ht="15" hidden="1" thickBot="1">
      <c r="A144" s="339"/>
      <c r="B144" s="340"/>
      <c r="C144" s="341"/>
      <c r="D144" s="342"/>
      <c r="E144" s="341"/>
      <c r="F144" s="342"/>
      <c r="G144" s="114"/>
      <c r="H144" s="115"/>
      <c r="I144" s="116"/>
    </row>
    <row r="145" spans="1:9" ht="15" hidden="1" thickBot="1">
      <c r="A145" s="323" t="s">
        <v>280</v>
      </c>
      <c r="B145" s="324"/>
      <c r="C145" s="324"/>
      <c r="D145" s="324"/>
      <c r="E145" s="324"/>
      <c r="F145" s="324"/>
      <c r="G145" s="324"/>
      <c r="H145" s="325"/>
      <c r="I145" s="117">
        <v>0</v>
      </c>
    </row>
    <row r="146" spans="1:9" hidden="1">
      <c r="A146" s="3"/>
      <c r="B146" s="3"/>
      <c r="C146" s="3"/>
      <c r="D146" s="3"/>
      <c r="E146" s="3"/>
      <c r="F146" s="3"/>
      <c r="G146" s="3"/>
      <c r="H146" s="3"/>
      <c r="I146" s="3"/>
    </row>
    <row r="147" spans="1:9" ht="15" hidden="1" thickBot="1">
      <c r="A147" s="73" t="s">
        <v>281</v>
      </c>
      <c r="B147" s="271" t="s">
        <v>282</v>
      </c>
      <c r="C147" s="271"/>
      <c r="D147" s="271"/>
      <c r="E147" s="271"/>
      <c r="F147" s="271"/>
      <c r="G147" s="271"/>
      <c r="H147" s="81"/>
      <c r="I147" s="81"/>
    </row>
    <row r="148" spans="1:9" ht="15" hidden="1" thickBot="1">
      <c r="A148" s="326" t="s">
        <v>283</v>
      </c>
      <c r="B148" s="327"/>
      <c r="C148" s="327"/>
      <c r="D148" s="327"/>
      <c r="E148" s="327"/>
      <c r="F148" s="327"/>
      <c r="G148" s="327"/>
      <c r="H148" s="327"/>
      <c r="I148" s="328"/>
    </row>
    <row r="149" spans="1:9" ht="15" hidden="1" thickBot="1">
      <c r="A149" s="118"/>
      <c r="B149" s="332" t="s">
        <v>284</v>
      </c>
      <c r="C149" s="333"/>
      <c r="D149" s="333"/>
      <c r="E149" s="333"/>
      <c r="F149" s="333"/>
      <c r="G149" s="333"/>
      <c r="H149" s="334"/>
      <c r="I149" s="105" t="s">
        <v>196</v>
      </c>
    </row>
    <row r="150" spans="1:9" hidden="1">
      <c r="A150" s="119" t="s">
        <v>21</v>
      </c>
      <c r="B150" s="335" t="s">
        <v>285</v>
      </c>
      <c r="C150" s="336"/>
      <c r="D150" s="336"/>
      <c r="E150" s="336"/>
      <c r="F150" s="336"/>
      <c r="G150" s="336"/>
      <c r="H150" s="337"/>
      <c r="I150" s="120">
        <v>115.15</v>
      </c>
    </row>
    <row r="151" spans="1:9" hidden="1">
      <c r="A151" s="121" t="s">
        <v>22</v>
      </c>
      <c r="B151" s="314" t="s">
        <v>286</v>
      </c>
      <c r="C151" s="315"/>
      <c r="D151" s="315"/>
      <c r="E151" s="315"/>
      <c r="F151" s="315"/>
      <c r="G151" s="315"/>
      <c r="H151" s="316"/>
      <c r="I151" s="122" t="e">
        <v>#REF!</v>
      </c>
    </row>
    <row r="152" spans="1:9" ht="15" hidden="1" thickBot="1">
      <c r="A152" s="121" t="s">
        <v>23</v>
      </c>
      <c r="B152" s="317" t="s">
        <v>287</v>
      </c>
      <c r="C152" s="318"/>
      <c r="D152" s="318"/>
      <c r="E152" s="318"/>
      <c r="F152" s="318"/>
      <c r="G152" s="318"/>
      <c r="H152" s="319"/>
      <c r="I152" s="122">
        <v>1641.84</v>
      </c>
    </row>
    <row r="153" spans="1:9" ht="15" hidden="1" thickBot="1">
      <c r="A153" s="320" t="s">
        <v>30</v>
      </c>
      <c r="B153" s="321"/>
      <c r="C153" s="321"/>
      <c r="D153" s="321"/>
      <c r="E153" s="321"/>
      <c r="F153" s="321"/>
      <c r="G153" s="321"/>
      <c r="H153" s="322"/>
      <c r="I153" s="117" t="e">
        <v>#REF!</v>
      </c>
    </row>
    <row r="154" spans="1:9" hidden="1">
      <c r="A154" s="73" t="s">
        <v>288</v>
      </c>
      <c r="B154" s="71" t="s">
        <v>289</v>
      </c>
      <c r="C154" s="3"/>
      <c r="D154" s="3"/>
      <c r="E154" s="3"/>
      <c r="F154" s="3"/>
      <c r="G154" s="3"/>
      <c r="H154" s="3"/>
      <c r="I154" s="3"/>
    </row>
    <row r="155" spans="1:9" hidden="1">
      <c r="A155" s="3"/>
      <c r="B155" s="3"/>
      <c r="C155" s="3"/>
      <c r="D155" s="3"/>
      <c r="E155" s="3"/>
      <c r="F155" s="3"/>
      <c r="G155" s="3"/>
      <c r="H155" s="3"/>
      <c r="I155" s="3"/>
    </row>
    <row r="156" spans="1:9" ht="15" hidden="1" customHeight="1">
      <c r="A156" s="3"/>
      <c r="B156" s="3"/>
      <c r="C156" s="3"/>
      <c r="D156" s="3"/>
      <c r="E156" s="3"/>
      <c r="F156" s="3"/>
      <c r="G156" s="3"/>
      <c r="H156" s="3"/>
      <c r="I156" s="3"/>
    </row>
    <row r="157" spans="1:9" ht="15" customHeight="1">
      <c r="A157" s="331" t="s">
        <v>145</v>
      </c>
      <c r="B157" s="331"/>
      <c r="C157" s="331"/>
      <c r="D157" s="331"/>
      <c r="E157" s="331"/>
      <c r="F157" s="331"/>
      <c r="G157" s="331"/>
      <c r="H157" s="331"/>
      <c r="I157" s="127">
        <f>I134/I35</f>
        <v>2.5268725762108453</v>
      </c>
    </row>
    <row r="158" spans="1:9" ht="31.5" customHeight="1">
      <c r="A158" s="287" t="s">
        <v>146</v>
      </c>
      <c r="B158" s="287"/>
      <c r="C158" s="287"/>
      <c r="D158" s="287"/>
      <c r="E158" s="287"/>
      <c r="F158" s="287"/>
      <c r="G158" s="287"/>
      <c r="H158" s="287"/>
      <c r="I158" s="287"/>
    </row>
    <row r="159" spans="1:9" ht="63" customHeight="1">
      <c r="A159" s="287" t="s">
        <v>147</v>
      </c>
      <c r="B159" s="287"/>
      <c r="C159" s="287"/>
      <c r="D159" s="287"/>
      <c r="E159" s="287"/>
      <c r="F159" s="287"/>
      <c r="G159" s="287"/>
      <c r="H159" s="287"/>
      <c r="I159" s="287"/>
    </row>
    <row r="160" spans="1:9">
      <c r="A160" s="123"/>
      <c r="B160" s="123"/>
      <c r="C160" s="124"/>
    </row>
    <row r="161" spans="1:3">
      <c r="A161" s="125"/>
      <c r="B161" s="3"/>
      <c r="C161" s="3"/>
    </row>
    <row r="162" spans="1:3">
      <c r="A162" s="125"/>
      <c r="B162" s="3"/>
      <c r="C162" s="3"/>
    </row>
  </sheetData>
  <mergeCells count="174">
    <mergeCell ref="B151:H151"/>
    <mergeCell ref="B152:H152"/>
    <mergeCell ref="A153:H153"/>
    <mergeCell ref="A145:H145"/>
    <mergeCell ref="B147:G147"/>
    <mergeCell ref="A148:I148"/>
    <mergeCell ref="B1:I1"/>
    <mergeCell ref="A158:I158"/>
    <mergeCell ref="A159:I159"/>
    <mergeCell ref="A157:H157"/>
    <mergeCell ref="B149:H149"/>
    <mergeCell ref="B150:H150"/>
    <mergeCell ref="A143:B143"/>
    <mergeCell ref="C143:D143"/>
    <mergeCell ref="E143:F143"/>
    <mergeCell ref="A144:B144"/>
    <mergeCell ref="C144:D144"/>
    <mergeCell ref="E144:F144"/>
    <mergeCell ref="A141:B141"/>
    <mergeCell ref="C141:D141"/>
    <mergeCell ref="E141:F141"/>
    <mergeCell ref="A142:B142"/>
    <mergeCell ref="C142:D142"/>
    <mergeCell ref="E142:F142"/>
    <mergeCell ref="A139:B139"/>
    <mergeCell ref="C139:D139"/>
    <mergeCell ref="E139:F139"/>
    <mergeCell ref="A140:B140"/>
    <mergeCell ref="C140:D140"/>
    <mergeCell ref="E140:F140"/>
    <mergeCell ref="B131:H131"/>
    <mergeCell ref="B132:H132"/>
    <mergeCell ref="B133:H133"/>
    <mergeCell ref="A134:H134"/>
    <mergeCell ref="B137:G137"/>
    <mergeCell ref="A138:B138"/>
    <mergeCell ref="C138:D138"/>
    <mergeCell ref="E138:F138"/>
    <mergeCell ref="A135:H135"/>
    <mergeCell ref="A125:I125"/>
    <mergeCell ref="A126:H126"/>
    <mergeCell ref="B127:H127"/>
    <mergeCell ref="B128:H128"/>
    <mergeCell ref="B129:H129"/>
    <mergeCell ref="B130:H130"/>
    <mergeCell ref="B115:I115"/>
    <mergeCell ref="B116:G116"/>
    <mergeCell ref="B117:G117"/>
    <mergeCell ref="B119:G119"/>
    <mergeCell ref="B121:G121"/>
    <mergeCell ref="B123:G123"/>
    <mergeCell ref="B109:G109"/>
    <mergeCell ref="B110:G110"/>
    <mergeCell ref="B111:G111"/>
    <mergeCell ref="B112:G112"/>
    <mergeCell ref="B113:G113"/>
    <mergeCell ref="A114:G114"/>
    <mergeCell ref="B103:G103"/>
    <mergeCell ref="A104:G104"/>
    <mergeCell ref="A105:I105"/>
    <mergeCell ref="A106:I106"/>
    <mergeCell ref="B107:G107"/>
    <mergeCell ref="B108:G108"/>
    <mergeCell ref="A97:I97"/>
    <mergeCell ref="A98:I98"/>
    <mergeCell ref="B99:G99"/>
    <mergeCell ref="B100:G100"/>
    <mergeCell ref="B101:G101"/>
    <mergeCell ref="B102:G102"/>
    <mergeCell ref="A91:I91"/>
    <mergeCell ref="A92:I92"/>
    <mergeCell ref="A93:H93"/>
    <mergeCell ref="B94:H94"/>
    <mergeCell ref="B95:H95"/>
    <mergeCell ref="A96:H96"/>
    <mergeCell ref="B85:G85"/>
    <mergeCell ref="A86:G86"/>
    <mergeCell ref="A87:I87"/>
    <mergeCell ref="A88:G88"/>
    <mergeCell ref="B89:G89"/>
    <mergeCell ref="A90:G90"/>
    <mergeCell ref="A79:G79"/>
    <mergeCell ref="B80:G80"/>
    <mergeCell ref="B81:G81"/>
    <mergeCell ref="B82:G82"/>
    <mergeCell ref="B83:G83"/>
    <mergeCell ref="B84:G84"/>
    <mergeCell ref="B73:G73"/>
    <mergeCell ref="B74:G74"/>
    <mergeCell ref="B75:G75"/>
    <mergeCell ref="A76:G76"/>
    <mergeCell ref="A77:I77"/>
    <mergeCell ref="A78:I78"/>
    <mergeCell ref="A67:H67"/>
    <mergeCell ref="A68:I68"/>
    <mergeCell ref="A69:I69"/>
    <mergeCell ref="B70:G70"/>
    <mergeCell ref="B71:G71"/>
    <mergeCell ref="B72:G72"/>
    <mergeCell ref="A61:I61"/>
    <mergeCell ref="A62:I62"/>
    <mergeCell ref="A63:H63"/>
    <mergeCell ref="B64:H64"/>
    <mergeCell ref="B65:H65"/>
    <mergeCell ref="B66:H66"/>
    <mergeCell ref="B55:G55"/>
    <mergeCell ref="B56:G56"/>
    <mergeCell ref="B57:G57"/>
    <mergeCell ref="B59:G59"/>
    <mergeCell ref="A60:H60"/>
    <mergeCell ref="B58:G58"/>
    <mergeCell ref="B49:G49"/>
    <mergeCell ref="B50:G50"/>
    <mergeCell ref="B51:G51"/>
    <mergeCell ref="A52:G52"/>
    <mergeCell ref="A53:I53"/>
    <mergeCell ref="A54:G54"/>
    <mergeCell ref="A43:G43"/>
    <mergeCell ref="B44:G44"/>
    <mergeCell ref="B45:G45"/>
    <mergeCell ref="B46:G46"/>
    <mergeCell ref="B47:G47"/>
    <mergeCell ref="B48:G48"/>
    <mergeCell ref="A37:I37"/>
    <mergeCell ref="A38:G38"/>
    <mergeCell ref="B39:G39"/>
    <mergeCell ref="B40:G40"/>
    <mergeCell ref="A41:G41"/>
    <mergeCell ref="A42:I42"/>
    <mergeCell ref="B30:G30"/>
    <mergeCell ref="B31:G31"/>
    <mergeCell ref="B32:G32"/>
    <mergeCell ref="B33:G33"/>
    <mergeCell ref="B34:G34"/>
    <mergeCell ref="A35:H35"/>
    <mergeCell ref="B25:G25"/>
    <mergeCell ref="H25:I25"/>
    <mergeCell ref="A26:I26"/>
    <mergeCell ref="A27:I27"/>
    <mergeCell ref="B28:G28"/>
    <mergeCell ref="B29:G29"/>
    <mergeCell ref="B22:G22"/>
    <mergeCell ref="H22:I22"/>
    <mergeCell ref="B23:G23"/>
    <mergeCell ref="H23:I23"/>
    <mergeCell ref="B24:G24"/>
    <mergeCell ref="H24:I24"/>
    <mergeCell ref="A18:B18"/>
    <mergeCell ref="C18:D18"/>
    <mergeCell ref="E18:I18"/>
    <mergeCell ref="A20:I20"/>
    <mergeCell ref="B21:G21"/>
    <mergeCell ref="H21:I21"/>
    <mergeCell ref="B13:G13"/>
    <mergeCell ref="H13:I13"/>
    <mergeCell ref="B14:G14"/>
    <mergeCell ref="H14:I14"/>
    <mergeCell ref="A16:I16"/>
    <mergeCell ref="A17:B17"/>
    <mergeCell ref="C17:D17"/>
    <mergeCell ref="E17:I17"/>
    <mergeCell ref="A8:I8"/>
    <mergeCell ref="A9:I9"/>
    <mergeCell ref="A10:I10"/>
    <mergeCell ref="B11:G11"/>
    <mergeCell ref="H11:I11"/>
    <mergeCell ref="B12:G12"/>
    <mergeCell ref="H12:I12"/>
    <mergeCell ref="A2:I2"/>
    <mergeCell ref="A3:I3"/>
    <mergeCell ref="A4:I4"/>
    <mergeCell ref="A5:I5"/>
    <mergeCell ref="A6:I6"/>
    <mergeCell ref="A7:I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7" fitToHeight="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50"/>
  <sheetViews>
    <sheetView topLeftCell="A36" workbookViewId="0">
      <selection activeCell="I57" sqref="I57"/>
    </sheetView>
  </sheetViews>
  <sheetFormatPr defaultColWidth="9.1796875" defaultRowHeight="12.5"/>
  <cols>
    <col min="1" max="1" width="11.54296875" style="3" customWidth="1"/>
    <col min="2" max="2" width="25.1796875" style="3" customWidth="1"/>
    <col min="3" max="3" width="23.7265625" style="3" customWidth="1"/>
    <col min="4" max="4" width="20" style="3" customWidth="1"/>
    <col min="5" max="5" width="12.1796875" style="3" bestFit="1" customWidth="1"/>
    <col min="6" max="6" width="14.81640625" style="3" customWidth="1"/>
    <col min="7" max="16384" width="9.1796875" style="3"/>
  </cols>
  <sheetData>
    <row r="1" spans="1:6" ht="31.5" customHeight="1">
      <c r="B1" s="529" t="s">
        <v>144</v>
      </c>
      <c r="C1" s="529"/>
      <c r="D1" s="529"/>
      <c r="E1" s="529"/>
      <c r="F1" s="529"/>
    </row>
    <row r="2" spans="1:6" ht="15.5">
      <c r="A2" s="495" t="s">
        <v>39</v>
      </c>
      <c r="B2" s="495"/>
      <c r="C2" s="495"/>
      <c r="D2" s="495"/>
      <c r="E2" s="495"/>
      <c r="F2" s="495"/>
    </row>
    <row r="3" spans="1:6" ht="16.5" customHeight="1">
      <c r="A3" s="4" t="s">
        <v>40</v>
      </c>
      <c r="B3" s="5"/>
      <c r="C3" s="4" t="s">
        <v>41</v>
      </c>
      <c r="D3" s="4"/>
      <c r="E3" s="6" t="s">
        <v>42</v>
      </c>
      <c r="F3" s="6"/>
    </row>
    <row r="4" spans="1:6" ht="17.25" customHeight="1">
      <c r="A4" s="496" t="s">
        <v>43</v>
      </c>
      <c r="B4" s="496"/>
      <c r="C4" s="496"/>
      <c r="D4" s="496"/>
      <c r="E4" s="496"/>
      <c r="F4" s="496"/>
    </row>
    <row r="5" spans="1:6" ht="30" customHeight="1">
      <c r="A5" s="494" t="s">
        <v>44</v>
      </c>
      <c r="B5" s="494"/>
      <c r="C5" s="7"/>
      <c r="D5" s="494" t="s">
        <v>45</v>
      </c>
      <c r="E5" s="494"/>
      <c r="F5" s="8">
        <v>12</v>
      </c>
    </row>
    <row r="6" spans="1:6" ht="38.25" customHeight="1">
      <c r="A6" s="494" t="s">
        <v>46</v>
      </c>
      <c r="B6" s="494"/>
      <c r="C6" s="8" t="s">
        <v>143</v>
      </c>
      <c r="D6" s="494" t="s">
        <v>47</v>
      </c>
      <c r="E6" s="494"/>
      <c r="F6" s="8" t="s">
        <v>20</v>
      </c>
    </row>
    <row r="7" spans="1:6" ht="36.75" customHeight="1">
      <c r="A7" s="494" t="s">
        <v>48</v>
      </c>
      <c r="B7" s="494"/>
      <c r="C7" s="9" t="s">
        <v>142</v>
      </c>
      <c r="D7" s="494" t="s">
        <v>49</v>
      </c>
      <c r="E7" s="494"/>
      <c r="F7" s="70">
        <v>43466</v>
      </c>
    </row>
    <row r="8" spans="1:6" ht="28.5" customHeight="1">
      <c r="A8" s="494" t="s">
        <v>51</v>
      </c>
      <c r="B8" s="494"/>
      <c r="C8" s="8"/>
      <c r="D8" s="494" t="s">
        <v>52</v>
      </c>
      <c r="E8" s="494"/>
      <c r="F8" s="10">
        <v>1194.49</v>
      </c>
    </row>
    <row r="9" spans="1:6" ht="28.5" customHeight="1">
      <c r="A9" s="494" t="s">
        <v>53</v>
      </c>
      <c r="B9" s="494"/>
      <c r="C9" s="8" t="s">
        <v>20</v>
      </c>
      <c r="D9" s="494" t="s">
        <v>54</v>
      </c>
      <c r="E9" s="494"/>
      <c r="F9" s="10" t="s">
        <v>50</v>
      </c>
    </row>
    <row r="10" spans="1:6" ht="14.25" customHeight="1">
      <c r="A10" s="503"/>
      <c r="B10" s="504"/>
      <c r="C10" s="504"/>
      <c r="D10" s="504"/>
      <c r="E10" s="504"/>
      <c r="F10" s="504"/>
    </row>
    <row r="11" spans="1:6" ht="15.5">
      <c r="A11" s="505" t="s">
        <v>55</v>
      </c>
      <c r="B11" s="505"/>
      <c r="C11" s="505"/>
      <c r="D11" s="505"/>
      <c r="E11" s="505"/>
      <c r="F11" s="505"/>
    </row>
    <row r="12" spans="1:6" ht="39">
      <c r="A12" s="8" t="s">
        <v>56</v>
      </c>
      <c r="B12" s="9"/>
      <c r="C12" s="8" t="s">
        <v>57</v>
      </c>
      <c r="D12" s="9"/>
      <c r="E12" s="8" t="s">
        <v>58</v>
      </c>
      <c r="F12" s="8"/>
    </row>
    <row r="13" spans="1:6" ht="13">
      <c r="A13" s="11"/>
      <c r="B13" s="12"/>
      <c r="C13" s="11"/>
      <c r="D13" s="12"/>
      <c r="E13" s="11"/>
      <c r="F13" s="11"/>
    </row>
    <row r="14" spans="1:6" ht="15.5">
      <c r="A14" s="506" t="s">
        <v>59</v>
      </c>
      <c r="B14" s="507"/>
      <c r="C14" s="507"/>
      <c r="D14" s="507"/>
      <c r="E14" s="507"/>
      <c r="F14" s="508"/>
    </row>
    <row r="15" spans="1:6" ht="12.75" customHeight="1">
      <c r="A15" s="13">
        <v>1</v>
      </c>
      <c r="B15" s="509" t="s">
        <v>60</v>
      </c>
      <c r="C15" s="510"/>
      <c r="D15" s="510"/>
      <c r="E15" s="511"/>
      <c r="F15" s="13" t="s">
        <v>61</v>
      </c>
    </row>
    <row r="16" spans="1:6" ht="12.75" customHeight="1">
      <c r="A16" s="14" t="s">
        <v>21</v>
      </c>
      <c r="B16" s="497" t="s">
        <v>62</v>
      </c>
      <c r="C16" s="498"/>
      <c r="D16" s="501"/>
      <c r="E16" s="502"/>
      <c r="F16" s="15">
        <f>F8</f>
        <v>1194.49</v>
      </c>
    </row>
    <row r="17" spans="1:6" ht="12.75" customHeight="1">
      <c r="A17" s="14" t="s">
        <v>22</v>
      </c>
      <c r="B17" s="497" t="s">
        <v>63</v>
      </c>
      <c r="C17" s="498"/>
      <c r="D17" s="499"/>
      <c r="E17" s="500"/>
      <c r="F17" s="15">
        <f>D17*F16</f>
        <v>0</v>
      </c>
    </row>
    <row r="18" spans="1:6">
      <c r="A18" s="14" t="s">
        <v>23</v>
      </c>
      <c r="B18" s="497" t="s">
        <v>64</v>
      </c>
      <c r="C18" s="498"/>
      <c r="D18" s="501"/>
      <c r="E18" s="502"/>
      <c r="F18" s="15"/>
    </row>
    <row r="19" spans="1:6">
      <c r="A19" s="14" t="s">
        <v>24</v>
      </c>
      <c r="B19" s="497" t="s">
        <v>25</v>
      </c>
      <c r="C19" s="498"/>
      <c r="D19" s="501"/>
      <c r="E19" s="502"/>
      <c r="F19" s="15"/>
    </row>
    <row r="20" spans="1:6">
      <c r="A20" s="14" t="s">
        <v>26</v>
      </c>
      <c r="B20" s="497" t="s">
        <v>65</v>
      </c>
      <c r="C20" s="498"/>
      <c r="D20" s="501"/>
      <c r="E20" s="502"/>
      <c r="F20" s="15"/>
    </row>
    <row r="21" spans="1:6">
      <c r="A21" s="14" t="s">
        <v>27</v>
      </c>
      <c r="B21" s="497" t="s">
        <v>66</v>
      </c>
      <c r="C21" s="498"/>
      <c r="D21" s="501"/>
      <c r="E21" s="502"/>
      <c r="F21" s="15"/>
    </row>
    <row r="22" spans="1:6">
      <c r="A22" s="14" t="s">
        <v>28</v>
      </c>
      <c r="B22" s="497" t="s">
        <v>37</v>
      </c>
      <c r="C22" s="498"/>
      <c r="D22" s="501"/>
      <c r="E22" s="502"/>
      <c r="F22" s="15" t="s">
        <v>50</v>
      </c>
    </row>
    <row r="23" spans="1:6" ht="13">
      <c r="A23" s="509" t="s">
        <v>30</v>
      </c>
      <c r="B23" s="510"/>
      <c r="C23" s="510"/>
      <c r="D23" s="510"/>
      <c r="E23" s="511"/>
      <c r="F23" s="16">
        <f>SUM(F16:F22)</f>
        <v>1194.49</v>
      </c>
    </row>
    <row r="24" spans="1:6" ht="23.25" customHeight="1">
      <c r="A24" s="497" t="s">
        <v>168</v>
      </c>
      <c r="B24" s="498"/>
      <c r="C24" s="498"/>
      <c r="D24" s="498"/>
      <c r="E24" s="498"/>
      <c r="F24" s="516"/>
    </row>
    <row r="25" spans="1:6" ht="15" customHeight="1">
      <c r="A25" s="29"/>
      <c r="B25" s="30"/>
      <c r="C25" s="30"/>
      <c r="D25" s="30"/>
      <c r="E25" s="30"/>
      <c r="F25" s="31"/>
    </row>
    <row r="26" spans="1:6" ht="15.5">
      <c r="A26" s="512" t="s">
        <v>67</v>
      </c>
      <c r="B26" s="513"/>
      <c r="C26" s="513"/>
      <c r="D26" s="513"/>
      <c r="E26" s="513"/>
      <c r="F26" s="514"/>
    </row>
    <row r="27" spans="1:6" ht="13">
      <c r="A27" s="509" t="s">
        <v>68</v>
      </c>
      <c r="B27" s="510"/>
      <c r="C27" s="510"/>
      <c r="D27" s="510"/>
      <c r="E27" s="510"/>
      <c r="F27" s="510"/>
    </row>
    <row r="28" spans="1:6" ht="13">
      <c r="A28" s="13" t="s">
        <v>69</v>
      </c>
      <c r="B28" s="509" t="s">
        <v>70</v>
      </c>
      <c r="C28" s="510"/>
      <c r="D28" s="510"/>
      <c r="E28" s="511"/>
      <c r="F28" s="13" t="s">
        <v>61</v>
      </c>
    </row>
    <row r="29" spans="1:6">
      <c r="A29" s="14" t="s">
        <v>71</v>
      </c>
      <c r="B29" s="515" t="s">
        <v>72</v>
      </c>
      <c r="C29" s="501"/>
      <c r="D29" s="20" t="s">
        <v>73</v>
      </c>
      <c r="E29" s="21">
        <v>8.3299999999999999E-2</v>
      </c>
      <c r="F29" s="22">
        <f>ROUND($E$29*F23,2)</f>
        <v>99.5</v>
      </c>
    </row>
    <row r="30" spans="1:6">
      <c r="A30" s="14" t="s">
        <v>22</v>
      </c>
      <c r="B30" s="515" t="s">
        <v>74</v>
      </c>
      <c r="C30" s="501"/>
      <c r="D30" s="20" t="s">
        <v>75</v>
      </c>
      <c r="E30" s="21">
        <v>0.121</v>
      </c>
      <c r="F30" s="22">
        <f>E30*F23</f>
        <v>144.53328999999999</v>
      </c>
    </row>
    <row r="31" spans="1:6" ht="13">
      <c r="A31" s="509" t="s">
        <v>30</v>
      </c>
      <c r="B31" s="510"/>
      <c r="C31" s="510"/>
      <c r="D31" s="510"/>
      <c r="E31" s="511"/>
      <c r="F31" s="16">
        <f>SUM(F24:F30)</f>
        <v>244.03328999999999</v>
      </c>
    </row>
    <row r="32" spans="1:6" ht="27.75" customHeight="1">
      <c r="A32" s="497" t="s">
        <v>169</v>
      </c>
      <c r="B32" s="498"/>
      <c r="C32" s="498"/>
      <c r="D32" s="498"/>
      <c r="E32" s="498"/>
      <c r="F32" s="516"/>
    </row>
    <row r="33" spans="1:8" ht="25.5" customHeight="1">
      <c r="A33" s="497" t="s">
        <v>170</v>
      </c>
      <c r="B33" s="498"/>
      <c r="C33" s="498"/>
      <c r="D33" s="498"/>
      <c r="E33" s="498"/>
      <c r="F33" s="516"/>
    </row>
    <row r="34" spans="1:8" ht="42" customHeight="1">
      <c r="A34" s="497" t="s">
        <v>171</v>
      </c>
      <c r="B34" s="498"/>
      <c r="C34" s="498"/>
      <c r="D34" s="498"/>
      <c r="E34" s="498"/>
      <c r="F34" s="516"/>
    </row>
    <row r="35" spans="1:8" s="25" customFormat="1" ht="13">
      <c r="A35" s="17"/>
      <c r="B35" s="18"/>
      <c r="C35" s="18"/>
      <c r="D35" s="18"/>
      <c r="E35" s="18"/>
      <c r="F35" s="24"/>
    </row>
    <row r="36" spans="1:8" ht="13">
      <c r="A36" s="509" t="s">
        <v>76</v>
      </c>
      <c r="B36" s="510"/>
      <c r="C36" s="510"/>
      <c r="D36" s="510"/>
      <c r="E36" s="510"/>
      <c r="F36" s="511"/>
    </row>
    <row r="37" spans="1:8" ht="13">
      <c r="A37" s="13" t="s">
        <v>77</v>
      </c>
      <c r="B37" s="517" t="s">
        <v>78</v>
      </c>
      <c r="C37" s="517"/>
      <c r="D37" s="517"/>
      <c r="E37" s="13" t="s">
        <v>34</v>
      </c>
      <c r="F37" s="13" t="s">
        <v>61</v>
      </c>
      <c r="H37" s="23"/>
    </row>
    <row r="38" spans="1:8">
      <c r="A38" s="14" t="s">
        <v>21</v>
      </c>
      <c r="B38" s="518" t="s">
        <v>79</v>
      </c>
      <c r="C38" s="518"/>
      <c r="D38" s="518"/>
      <c r="E38" s="26">
        <v>0.2</v>
      </c>
      <c r="F38" s="27">
        <f t="shared" ref="F38:F45" si="0">ROUND(($F$23+$F$31)*E38,2)</f>
        <v>287.7</v>
      </c>
      <c r="H38" s="23"/>
    </row>
    <row r="39" spans="1:8" ht="15" customHeight="1">
      <c r="A39" s="14" t="s">
        <v>22</v>
      </c>
      <c r="B39" s="518" t="s">
        <v>80</v>
      </c>
      <c r="C39" s="518"/>
      <c r="D39" s="518"/>
      <c r="E39" s="26">
        <v>2.5000000000000001E-2</v>
      </c>
      <c r="F39" s="27">
        <f t="shared" si="0"/>
        <v>35.96</v>
      </c>
    </row>
    <row r="40" spans="1:8" ht="13.5" customHeight="1">
      <c r="A40" s="14" t="s">
        <v>23</v>
      </c>
      <c r="B40" s="518" t="s">
        <v>81</v>
      </c>
      <c r="C40" s="518"/>
      <c r="D40" s="518"/>
      <c r="E40" s="26">
        <v>0.03</v>
      </c>
      <c r="F40" s="27">
        <f t="shared" si="0"/>
        <v>43.16</v>
      </c>
    </row>
    <row r="41" spans="1:8">
      <c r="A41" s="14" t="s">
        <v>24</v>
      </c>
      <c r="B41" s="518" t="s">
        <v>82</v>
      </c>
      <c r="C41" s="518"/>
      <c r="D41" s="518"/>
      <c r="E41" s="26">
        <v>1.4999999999999999E-2</v>
      </c>
      <c r="F41" s="27">
        <f t="shared" si="0"/>
        <v>21.58</v>
      </c>
    </row>
    <row r="42" spans="1:8">
      <c r="A42" s="14" t="s">
        <v>26</v>
      </c>
      <c r="B42" s="518" t="s">
        <v>83</v>
      </c>
      <c r="C42" s="518"/>
      <c r="D42" s="518"/>
      <c r="E42" s="26">
        <v>0.01</v>
      </c>
      <c r="F42" s="27">
        <f t="shared" si="0"/>
        <v>14.39</v>
      </c>
    </row>
    <row r="43" spans="1:8">
      <c r="A43" s="14" t="s">
        <v>27</v>
      </c>
      <c r="B43" s="518" t="s">
        <v>35</v>
      </c>
      <c r="C43" s="518"/>
      <c r="D43" s="518"/>
      <c r="E43" s="26">
        <v>6.0000000000000001E-3</v>
      </c>
      <c r="F43" s="27">
        <f t="shared" si="0"/>
        <v>8.6300000000000008</v>
      </c>
    </row>
    <row r="44" spans="1:8">
      <c r="A44" s="14" t="s">
        <v>28</v>
      </c>
      <c r="B44" s="518" t="s">
        <v>84</v>
      </c>
      <c r="C44" s="518"/>
      <c r="D44" s="518"/>
      <c r="E44" s="26">
        <v>2E-3</v>
      </c>
      <c r="F44" s="27">
        <f t="shared" si="0"/>
        <v>2.88</v>
      </c>
    </row>
    <row r="45" spans="1:8">
      <c r="A45" s="14" t="s">
        <v>29</v>
      </c>
      <c r="B45" s="518" t="s">
        <v>85</v>
      </c>
      <c r="C45" s="518"/>
      <c r="D45" s="518"/>
      <c r="E45" s="26">
        <v>0.08</v>
      </c>
      <c r="F45" s="27">
        <f t="shared" si="0"/>
        <v>115.08</v>
      </c>
    </row>
    <row r="46" spans="1:8" ht="13">
      <c r="A46" s="517" t="s">
        <v>30</v>
      </c>
      <c r="B46" s="517"/>
      <c r="C46" s="517"/>
      <c r="D46" s="517"/>
      <c r="E46" s="28">
        <f>SUM(E38:E45)</f>
        <v>0.36800000000000005</v>
      </c>
      <c r="F46" s="16">
        <f>SUM(F38:F45)</f>
        <v>529.37999999999988</v>
      </c>
    </row>
    <row r="47" spans="1:8" ht="27.75" customHeight="1">
      <c r="A47" s="497" t="s">
        <v>86</v>
      </c>
      <c r="B47" s="498"/>
      <c r="C47" s="498"/>
      <c r="D47" s="498"/>
      <c r="E47" s="498"/>
      <c r="F47" s="516"/>
    </row>
    <row r="48" spans="1:8" ht="31.5" customHeight="1">
      <c r="A48" s="497" t="s">
        <v>87</v>
      </c>
      <c r="B48" s="498"/>
      <c r="C48" s="498"/>
      <c r="D48" s="498"/>
      <c r="E48" s="498"/>
      <c r="F48" s="516"/>
    </row>
    <row r="49" spans="1:7" ht="23.25" customHeight="1">
      <c r="A49" s="497" t="s">
        <v>172</v>
      </c>
      <c r="B49" s="498"/>
      <c r="C49" s="498"/>
      <c r="D49" s="498"/>
      <c r="E49" s="498"/>
      <c r="F49" s="516"/>
    </row>
    <row r="50" spans="1:7" ht="12.75" customHeight="1">
      <c r="A50" s="32"/>
      <c r="B50" s="515"/>
      <c r="C50" s="501"/>
      <c r="D50" s="501"/>
      <c r="E50" s="502"/>
      <c r="F50" s="32"/>
    </row>
    <row r="51" spans="1:7" ht="24" customHeight="1">
      <c r="A51" s="509" t="s">
        <v>88</v>
      </c>
      <c r="B51" s="510"/>
      <c r="C51" s="510"/>
      <c r="D51" s="510"/>
      <c r="E51" s="510"/>
      <c r="F51" s="511"/>
    </row>
    <row r="52" spans="1:7" ht="12.75" customHeight="1">
      <c r="A52" s="13" t="s">
        <v>89</v>
      </c>
      <c r="B52" s="509" t="s">
        <v>90</v>
      </c>
      <c r="C52" s="510"/>
      <c r="D52" s="510"/>
      <c r="E52" s="511"/>
      <c r="F52" s="13" t="s">
        <v>61</v>
      </c>
    </row>
    <row r="53" spans="1:7">
      <c r="A53" s="14" t="s">
        <v>21</v>
      </c>
      <c r="B53" s="497" t="s">
        <v>91</v>
      </c>
      <c r="C53" s="498"/>
      <c r="D53" s="33">
        <v>4.57</v>
      </c>
      <c r="E53" s="34"/>
      <c r="F53" s="35">
        <f>ROUND(IF((D53*44)-(6%*F16)&gt;0,(D53*44)-(6%*F16),0),2)</f>
        <v>129.41</v>
      </c>
    </row>
    <row r="54" spans="1:7" ht="12.75" customHeight="1">
      <c r="A54" s="14" t="s">
        <v>22</v>
      </c>
      <c r="B54" s="497" t="s">
        <v>92</v>
      </c>
      <c r="C54" s="498"/>
      <c r="D54" s="33">
        <v>15.39</v>
      </c>
      <c r="E54" s="36"/>
      <c r="F54" s="37">
        <f>D54*22</f>
        <v>338.58000000000004</v>
      </c>
      <c r="G54" s="23"/>
    </row>
    <row r="55" spans="1:7" ht="12.75" customHeight="1">
      <c r="A55" s="14" t="s">
        <v>23</v>
      </c>
      <c r="B55" s="497" t="s">
        <v>93</v>
      </c>
      <c r="C55" s="498"/>
      <c r="D55" s="501"/>
      <c r="E55" s="502"/>
      <c r="F55" s="35">
        <v>107.19</v>
      </c>
    </row>
    <row r="56" spans="1:7" ht="12.75" customHeight="1">
      <c r="A56" s="14" t="s">
        <v>24</v>
      </c>
      <c r="B56" s="497" t="s">
        <v>151</v>
      </c>
      <c r="C56" s="498"/>
      <c r="D56" s="519"/>
      <c r="E56" s="520"/>
      <c r="F56" s="38"/>
    </row>
    <row r="57" spans="1:7" ht="12.75" customHeight="1">
      <c r="A57" s="14" t="s">
        <v>26</v>
      </c>
      <c r="B57" s="497" t="s">
        <v>94</v>
      </c>
      <c r="C57" s="498"/>
      <c r="D57" s="501"/>
      <c r="E57" s="502"/>
      <c r="F57" s="37"/>
    </row>
    <row r="58" spans="1:7">
      <c r="A58" s="14" t="s">
        <v>27</v>
      </c>
      <c r="B58" s="497" t="s">
        <v>38</v>
      </c>
      <c r="C58" s="498"/>
      <c r="D58" s="501"/>
      <c r="E58" s="502"/>
      <c r="F58" s="39"/>
    </row>
    <row r="59" spans="1:7" ht="15" customHeight="1">
      <c r="A59" s="509" t="s">
        <v>30</v>
      </c>
      <c r="B59" s="510"/>
      <c r="C59" s="510"/>
      <c r="D59" s="510"/>
      <c r="E59" s="511"/>
      <c r="F59" s="40">
        <f>SUM(F53:F58)</f>
        <v>575.18000000000006</v>
      </c>
    </row>
    <row r="60" spans="1:7" ht="29.25" customHeight="1">
      <c r="A60" s="497" t="s">
        <v>173</v>
      </c>
      <c r="B60" s="498"/>
      <c r="C60" s="498"/>
      <c r="D60" s="498"/>
      <c r="E60" s="498"/>
      <c r="F60" s="516"/>
    </row>
    <row r="61" spans="1:7" ht="29.25" customHeight="1">
      <c r="A61" s="497" t="s">
        <v>95</v>
      </c>
      <c r="B61" s="498"/>
      <c r="C61" s="498"/>
      <c r="D61" s="498"/>
      <c r="E61" s="498"/>
      <c r="F61" s="516"/>
    </row>
    <row r="62" spans="1:7" ht="15" customHeight="1">
      <c r="A62" s="29"/>
      <c r="B62" s="30"/>
      <c r="C62" s="30"/>
      <c r="D62" s="30"/>
      <c r="E62" s="30"/>
      <c r="F62" s="31"/>
    </row>
    <row r="63" spans="1:7" ht="28.5" customHeight="1">
      <c r="A63" s="509" t="s">
        <v>96</v>
      </c>
      <c r="B63" s="510"/>
      <c r="C63" s="510"/>
      <c r="D63" s="510"/>
      <c r="E63" s="510"/>
      <c r="F63" s="511"/>
    </row>
    <row r="64" spans="1:7" ht="12.75" customHeight="1">
      <c r="A64" s="13">
        <v>2</v>
      </c>
      <c r="B64" s="509" t="s">
        <v>97</v>
      </c>
      <c r="C64" s="510"/>
      <c r="D64" s="510"/>
      <c r="E64" s="511"/>
      <c r="F64" s="13" t="s">
        <v>61</v>
      </c>
    </row>
    <row r="65" spans="1:6" ht="16.5" customHeight="1">
      <c r="A65" s="14" t="s">
        <v>69</v>
      </c>
      <c r="B65" s="518" t="s">
        <v>68</v>
      </c>
      <c r="C65" s="518"/>
      <c r="D65" s="518"/>
      <c r="E65" s="518"/>
      <c r="F65" s="41">
        <f>F31</f>
        <v>244.03328999999999</v>
      </c>
    </row>
    <row r="66" spans="1:6" ht="24" customHeight="1">
      <c r="A66" s="14" t="s">
        <v>77</v>
      </c>
      <c r="B66" s="518" t="s">
        <v>76</v>
      </c>
      <c r="C66" s="518"/>
      <c r="D66" s="518"/>
      <c r="E66" s="518"/>
      <c r="F66" s="41">
        <f>F46</f>
        <v>529.37999999999988</v>
      </c>
    </row>
    <row r="67" spans="1:6" ht="15.75" customHeight="1">
      <c r="A67" s="14" t="s">
        <v>89</v>
      </c>
      <c r="B67" s="518" t="s">
        <v>88</v>
      </c>
      <c r="C67" s="518"/>
      <c r="D67" s="518"/>
      <c r="E67" s="518"/>
      <c r="F67" s="41">
        <f>F59</f>
        <v>575.18000000000006</v>
      </c>
    </row>
    <row r="68" spans="1:6" ht="15" customHeight="1">
      <c r="A68" s="509" t="s">
        <v>30</v>
      </c>
      <c r="B68" s="510"/>
      <c r="C68" s="510"/>
      <c r="D68" s="510"/>
      <c r="E68" s="511"/>
      <c r="F68" s="40">
        <f>SUM(F62:F67)</f>
        <v>1348.5932899999998</v>
      </c>
    </row>
    <row r="69" spans="1:6" s="25" customFormat="1" ht="15" customHeight="1">
      <c r="A69" s="17"/>
      <c r="B69" s="18"/>
      <c r="C69" s="18"/>
      <c r="D69" s="18"/>
      <c r="E69" s="18"/>
      <c r="F69" s="42"/>
    </row>
    <row r="70" spans="1:6" ht="15.5">
      <c r="A70" s="506" t="s">
        <v>98</v>
      </c>
      <c r="B70" s="507"/>
      <c r="C70" s="507"/>
      <c r="D70" s="507"/>
      <c r="E70" s="507"/>
      <c r="F70" s="508"/>
    </row>
    <row r="71" spans="1:6" ht="13">
      <c r="A71" s="13" t="s">
        <v>99</v>
      </c>
      <c r="B71" s="517" t="s">
        <v>100</v>
      </c>
      <c r="C71" s="517"/>
      <c r="D71" s="517"/>
      <c r="E71" s="13"/>
      <c r="F71" s="13" t="s">
        <v>61</v>
      </c>
    </row>
    <row r="72" spans="1:6" ht="14.25" customHeight="1">
      <c r="A72" s="14" t="s">
        <v>21</v>
      </c>
      <c r="B72" s="497" t="s">
        <v>101</v>
      </c>
      <c r="C72" s="498"/>
      <c r="D72" s="516"/>
      <c r="E72" s="43">
        <v>4.5999999999999999E-3</v>
      </c>
      <c r="F72" s="27">
        <f t="shared" ref="F72:F77" si="1">E72*$F$23</f>
        <v>5.4946539999999997</v>
      </c>
    </row>
    <row r="73" spans="1:6" ht="14.25" customHeight="1">
      <c r="A73" s="14" t="s">
        <v>22</v>
      </c>
      <c r="B73" s="497" t="s">
        <v>102</v>
      </c>
      <c r="C73" s="498"/>
      <c r="D73" s="516"/>
      <c r="E73" s="43">
        <f>E72*E45</f>
        <v>3.68E-4</v>
      </c>
      <c r="F73" s="27">
        <f t="shared" si="1"/>
        <v>0.43957232000000002</v>
      </c>
    </row>
    <row r="74" spans="1:6" ht="14.25" customHeight="1">
      <c r="A74" s="14" t="s">
        <v>23</v>
      </c>
      <c r="B74" s="497" t="s">
        <v>156</v>
      </c>
      <c r="C74" s="498"/>
      <c r="D74" s="516"/>
      <c r="E74" s="44">
        <v>4.3499999999999997E-2</v>
      </c>
      <c r="F74" s="27">
        <f t="shared" si="1"/>
        <v>51.960314999999994</v>
      </c>
    </row>
    <row r="75" spans="1:6" ht="15" customHeight="1">
      <c r="A75" s="14" t="s">
        <v>24</v>
      </c>
      <c r="B75" s="497" t="s">
        <v>103</v>
      </c>
      <c r="C75" s="498"/>
      <c r="D75" s="516"/>
      <c r="E75" s="43">
        <v>1.9400000000000001E-2</v>
      </c>
      <c r="F75" s="27">
        <f t="shared" si="1"/>
        <v>23.173106000000001</v>
      </c>
    </row>
    <row r="76" spans="1:6" ht="15" customHeight="1">
      <c r="A76" s="14" t="s">
        <v>26</v>
      </c>
      <c r="B76" s="497" t="s">
        <v>155</v>
      </c>
      <c r="C76" s="498"/>
      <c r="D76" s="516"/>
      <c r="E76" s="44">
        <f>E46*E75</f>
        <v>7.1392000000000009E-3</v>
      </c>
      <c r="F76" s="27">
        <f t="shared" si="1"/>
        <v>8.5277030080000014</v>
      </c>
    </row>
    <row r="77" spans="1:6" ht="14.25" customHeight="1">
      <c r="A77" s="14" t="s">
        <v>27</v>
      </c>
      <c r="B77" s="497" t="s">
        <v>157</v>
      </c>
      <c r="C77" s="498"/>
      <c r="D77" s="516"/>
      <c r="E77" s="44">
        <f>((E45*50%)*E76)</f>
        <v>2.8556800000000004E-4</v>
      </c>
      <c r="F77" s="27">
        <f t="shared" si="1"/>
        <v>0.34110812032000004</v>
      </c>
    </row>
    <row r="78" spans="1:6" ht="13">
      <c r="A78" s="509" t="s">
        <v>30</v>
      </c>
      <c r="B78" s="510"/>
      <c r="C78" s="510"/>
      <c r="D78" s="510"/>
      <c r="E78" s="511"/>
      <c r="F78" s="16">
        <f>SUM(F72:F77)</f>
        <v>89.936458448319996</v>
      </c>
    </row>
    <row r="79" spans="1:6">
      <c r="A79" s="29"/>
      <c r="B79" s="30"/>
      <c r="C79" s="30"/>
      <c r="D79" s="30"/>
      <c r="E79" s="30"/>
      <c r="F79" s="31"/>
    </row>
    <row r="80" spans="1:6" ht="15.5" hidden="1">
      <c r="A80" s="506" t="s">
        <v>98</v>
      </c>
      <c r="B80" s="507"/>
      <c r="C80" s="507"/>
      <c r="D80" s="507"/>
      <c r="E80" s="507"/>
      <c r="F80" s="508"/>
    </row>
    <row r="81" spans="1:6" ht="13" hidden="1">
      <c r="A81" s="13" t="s">
        <v>99</v>
      </c>
      <c r="B81" s="517" t="s">
        <v>100</v>
      </c>
      <c r="C81" s="517"/>
      <c r="D81" s="517"/>
      <c r="E81" s="13"/>
      <c r="F81" s="13" t="s">
        <v>61</v>
      </c>
    </row>
    <row r="82" spans="1:6" ht="13" hidden="1">
      <c r="A82" s="13"/>
      <c r="B82" s="509" t="s">
        <v>105</v>
      </c>
      <c r="C82" s="510"/>
      <c r="D82" s="511"/>
      <c r="E82" s="45" t="s">
        <v>50</v>
      </c>
      <c r="F82" s="45" t="e">
        <f>F14+F56+F37+F58</f>
        <v>#VALUE!</v>
      </c>
    </row>
    <row r="83" spans="1:6" ht="24" hidden="1" customHeight="1">
      <c r="A83" s="14" t="s">
        <v>21</v>
      </c>
      <c r="B83" s="521" t="s">
        <v>106</v>
      </c>
      <c r="C83" s="522"/>
      <c r="D83" s="38">
        <f>F23+F31+F45+F59</f>
        <v>2128.7832900000003</v>
      </c>
      <c r="E83" s="46">
        <v>0.38700000000000001</v>
      </c>
      <c r="F83" s="27">
        <f>((D83/12)+F85)*E83</f>
        <v>90.921601631700014</v>
      </c>
    </row>
    <row r="84" spans="1:6" ht="23.25" hidden="1" customHeight="1">
      <c r="A84" s="14" t="s">
        <v>22</v>
      </c>
      <c r="B84" s="521" t="s">
        <v>107</v>
      </c>
      <c r="C84" s="522"/>
      <c r="D84" s="47">
        <f>F83+F85</f>
        <v>148.46253323170004</v>
      </c>
      <c r="E84" s="48">
        <v>0.08</v>
      </c>
      <c r="F84" s="27">
        <f>D84*E84</f>
        <v>11.877002658536004</v>
      </c>
    </row>
    <row r="85" spans="1:6" ht="27" hidden="1" customHeight="1">
      <c r="A85" s="14" t="s">
        <v>23</v>
      </c>
      <c r="B85" s="521" t="s">
        <v>108</v>
      </c>
      <c r="C85" s="522"/>
      <c r="D85" s="38">
        <f>F23+F31</f>
        <v>1438.5232900000001</v>
      </c>
      <c r="E85" s="44">
        <v>0.5</v>
      </c>
      <c r="F85" s="27">
        <f>D85*E84*E85</f>
        <v>57.540931600000008</v>
      </c>
    </row>
    <row r="86" spans="1:6" ht="29.25" hidden="1" customHeight="1">
      <c r="A86" s="14" t="s">
        <v>24</v>
      </c>
      <c r="B86" s="521" t="s">
        <v>109</v>
      </c>
      <c r="C86" s="523"/>
      <c r="D86" s="22">
        <f>F23+F68</f>
        <v>2543.0832899999996</v>
      </c>
      <c r="E86" s="46">
        <v>0.38700000000000001</v>
      </c>
      <c r="F86" s="27">
        <f>((D86/12)+F88)*E86</f>
        <v>104.28277663169999</v>
      </c>
    </row>
    <row r="87" spans="1:6" ht="25.5" hidden="1" customHeight="1">
      <c r="A87" s="14" t="s">
        <v>26</v>
      </c>
      <c r="B87" s="521" t="s">
        <v>104</v>
      </c>
      <c r="C87" s="522"/>
      <c r="D87" s="32"/>
      <c r="E87" s="44">
        <f>E46</f>
        <v>0.36800000000000005</v>
      </c>
      <c r="F87" s="27">
        <f>E87*F86</f>
        <v>38.3760618004656</v>
      </c>
    </row>
    <row r="88" spans="1:6" ht="21.75" hidden="1" customHeight="1">
      <c r="A88" s="14" t="s">
        <v>27</v>
      </c>
      <c r="B88" s="521" t="s">
        <v>110</v>
      </c>
      <c r="C88" s="522"/>
      <c r="D88" s="38">
        <f>F23+F31</f>
        <v>1438.5232900000001</v>
      </c>
      <c r="E88" s="44">
        <v>0.5</v>
      </c>
      <c r="F88" s="27">
        <f>D88*E84*E88</f>
        <v>57.540931600000008</v>
      </c>
    </row>
    <row r="89" spans="1:6" ht="21.75" hidden="1" customHeight="1">
      <c r="A89" s="14"/>
      <c r="B89" s="497" t="s">
        <v>111</v>
      </c>
      <c r="C89" s="516"/>
      <c r="D89" s="38">
        <f>F31</f>
        <v>244.03328999999999</v>
      </c>
      <c r="E89" s="44">
        <v>2.76E-2</v>
      </c>
      <c r="F89" s="27">
        <f>D89*E89</f>
        <v>6.7353188039999994</v>
      </c>
    </row>
    <row r="90" spans="1:6" ht="13" hidden="1">
      <c r="A90" s="509" t="s">
        <v>30</v>
      </c>
      <c r="B90" s="510"/>
      <c r="C90" s="510"/>
      <c r="D90" s="510"/>
      <c r="E90" s="511"/>
      <c r="F90" s="16">
        <f>(F83+F84+F85+F86+F87+F88)-F89</f>
        <v>353.80398711840166</v>
      </c>
    </row>
    <row r="91" spans="1:6" hidden="1">
      <c r="A91" s="515"/>
      <c r="B91" s="501"/>
      <c r="C91" s="501"/>
      <c r="D91" s="501"/>
      <c r="E91" s="501"/>
      <c r="F91" s="502"/>
    </row>
    <row r="92" spans="1:6" s="25" customFormat="1" ht="13">
      <c r="A92" s="17"/>
      <c r="B92" s="18"/>
      <c r="C92" s="18"/>
      <c r="D92" s="18"/>
      <c r="E92" s="49"/>
      <c r="F92" s="19"/>
    </row>
    <row r="93" spans="1:6" ht="15.5">
      <c r="A93" s="506" t="s">
        <v>112</v>
      </c>
      <c r="B93" s="507"/>
      <c r="C93" s="507"/>
      <c r="D93" s="507"/>
      <c r="E93" s="507"/>
      <c r="F93" s="508"/>
    </row>
    <row r="94" spans="1:6" ht="29.25" customHeight="1">
      <c r="A94" s="497" t="s">
        <v>174</v>
      </c>
      <c r="B94" s="498"/>
      <c r="C94" s="498"/>
      <c r="D94" s="498"/>
      <c r="E94" s="498"/>
      <c r="F94" s="516"/>
    </row>
    <row r="95" spans="1:6" ht="13">
      <c r="A95" s="13" t="s">
        <v>33</v>
      </c>
      <c r="B95" s="517" t="s">
        <v>158</v>
      </c>
      <c r="C95" s="517"/>
      <c r="D95" s="517"/>
      <c r="E95" s="13" t="s">
        <v>50</v>
      </c>
      <c r="F95" s="13" t="s">
        <v>61</v>
      </c>
    </row>
    <row r="96" spans="1:6">
      <c r="A96" s="14" t="s">
        <v>21</v>
      </c>
      <c r="B96" s="518" t="s">
        <v>159</v>
      </c>
      <c r="C96" s="518"/>
      <c r="D96" s="518"/>
      <c r="E96" s="50">
        <v>1.6299999999999999E-2</v>
      </c>
      <c r="F96" s="27">
        <f>(E96*($F$23+$F$68+$F$78))</f>
        <v>42.918221899707603</v>
      </c>
    </row>
    <row r="97" spans="1:6">
      <c r="A97" s="14" t="s">
        <v>22</v>
      </c>
      <c r="B97" s="518" t="s">
        <v>160</v>
      </c>
      <c r="C97" s="518"/>
      <c r="D97" s="518"/>
      <c r="E97" s="50">
        <v>1.6299999999999999E-2</v>
      </c>
      <c r="F97" s="27">
        <f>(E97*($F$23+$F$68+$F$78))</f>
        <v>42.918221899707603</v>
      </c>
    </row>
    <row r="98" spans="1:6">
      <c r="A98" s="14" t="s">
        <v>23</v>
      </c>
      <c r="B98" s="518" t="s">
        <v>161</v>
      </c>
      <c r="C98" s="518"/>
      <c r="D98" s="518"/>
      <c r="E98" s="50">
        <v>2.0000000000000001E-4</v>
      </c>
      <c r="F98" s="27">
        <f>(E98*($F$23+$F$68+$F$78))</f>
        <v>0.52660394968966395</v>
      </c>
    </row>
    <row r="99" spans="1:6">
      <c r="A99" s="14" t="s">
        <v>24</v>
      </c>
      <c r="B99" s="524" t="s">
        <v>162</v>
      </c>
      <c r="C99" s="524"/>
      <c r="D99" s="524"/>
      <c r="E99" s="50">
        <v>3.3E-3</v>
      </c>
      <c r="F99" s="27">
        <f>(E99*($F$23+$F$68+$F$78))</f>
        <v>8.6889651698794541</v>
      </c>
    </row>
    <row r="100" spans="1:6">
      <c r="A100" s="14" t="s">
        <v>26</v>
      </c>
      <c r="B100" s="524" t="s">
        <v>165</v>
      </c>
      <c r="C100" s="524"/>
      <c r="D100" s="524"/>
      <c r="E100" s="50">
        <v>5.5000000000000003E-4</v>
      </c>
      <c r="F100" s="27">
        <f>(E100*($F$23+$F$68+$F$78))</f>
        <v>1.448160861646576</v>
      </c>
    </row>
    <row r="101" spans="1:6" ht="15" customHeight="1">
      <c r="A101" s="14" t="s">
        <v>27</v>
      </c>
      <c r="B101" s="497" t="s">
        <v>163</v>
      </c>
      <c r="C101" s="498"/>
      <c r="D101" s="516"/>
      <c r="E101" s="51"/>
      <c r="F101" s="15">
        <v>0</v>
      </c>
    </row>
    <row r="102" spans="1:6" ht="13">
      <c r="A102" s="517" t="s">
        <v>30</v>
      </c>
      <c r="B102" s="517"/>
      <c r="C102" s="517"/>
      <c r="D102" s="517"/>
      <c r="E102" s="52">
        <f>SUM(E96:E100)</f>
        <v>3.6649999999999995E-2</v>
      </c>
      <c r="F102" s="16">
        <f>SUM(F96:F101)</f>
        <v>96.500173780630888</v>
      </c>
    </row>
    <row r="103" spans="1:6" s="25" customFormat="1" ht="13">
      <c r="A103" s="17"/>
      <c r="B103" s="18"/>
      <c r="C103" s="18"/>
      <c r="D103" s="18"/>
      <c r="E103" s="49"/>
      <c r="F103" s="19"/>
    </row>
    <row r="104" spans="1:6" ht="15.5">
      <c r="A104" s="506" t="s">
        <v>112</v>
      </c>
      <c r="B104" s="507"/>
      <c r="C104" s="507"/>
      <c r="D104" s="507"/>
      <c r="E104" s="507"/>
      <c r="F104" s="508"/>
    </row>
    <row r="105" spans="1:6" ht="13">
      <c r="A105" s="13" t="s">
        <v>36</v>
      </c>
      <c r="B105" s="517" t="s">
        <v>164</v>
      </c>
      <c r="C105" s="517"/>
      <c r="D105" s="517"/>
      <c r="E105" s="13" t="s">
        <v>50</v>
      </c>
      <c r="F105" s="13" t="s">
        <v>61</v>
      </c>
    </row>
    <row r="106" spans="1:6">
      <c r="A106" s="14" t="s">
        <v>21</v>
      </c>
      <c r="B106" s="518" t="s">
        <v>166</v>
      </c>
      <c r="C106" s="518"/>
      <c r="D106" s="518"/>
      <c r="E106" s="44"/>
      <c r="F106" s="27"/>
    </row>
    <row r="107" spans="1:6" ht="13">
      <c r="A107" s="509" t="s">
        <v>30</v>
      </c>
      <c r="B107" s="510"/>
      <c r="C107" s="510"/>
      <c r="D107" s="511"/>
      <c r="E107" s="53"/>
      <c r="F107" s="16">
        <f>SUM(F106)</f>
        <v>0</v>
      </c>
    </row>
    <row r="109" spans="1:6" ht="13">
      <c r="A109" s="509" t="s">
        <v>113</v>
      </c>
      <c r="B109" s="510"/>
      <c r="C109" s="510"/>
      <c r="D109" s="510"/>
      <c r="E109" s="510"/>
      <c r="F109" s="511"/>
    </row>
    <row r="110" spans="1:6" ht="13">
      <c r="A110" s="13">
        <v>4</v>
      </c>
      <c r="B110" s="509" t="s">
        <v>114</v>
      </c>
      <c r="C110" s="510"/>
      <c r="D110" s="510"/>
      <c r="E110" s="511"/>
      <c r="F110" s="13" t="s">
        <v>61</v>
      </c>
    </row>
    <row r="111" spans="1:6" ht="16.5" customHeight="1">
      <c r="A111" s="14" t="s">
        <v>69</v>
      </c>
      <c r="B111" s="497" t="s">
        <v>158</v>
      </c>
      <c r="C111" s="498"/>
      <c r="D111" s="498"/>
      <c r="E111" s="516"/>
      <c r="F111" s="54">
        <f>F102</f>
        <v>96.500173780630888</v>
      </c>
    </row>
    <row r="112" spans="1:6" ht="18" customHeight="1">
      <c r="A112" s="14" t="s">
        <v>77</v>
      </c>
      <c r="B112" s="497" t="s">
        <v>164</v>
      </c>
      <c r="C112" s="498"/>
      <c r="D112" s="498"/>
      <c r="E112" s="516"/>
      <c r="F112" s="54">
        <f>F107</f>
        <v>0</v>
      </c>
    </row>
    <row r="113" spans="1:6" ht="15" customHeight="1">
      <c r="A113" s="509" t="s">
        <v>30</v>
      </c>
      <c r="B113" s="510"/>
      <c r="C113" s="510"/>
      <c r="D113" s="510"/>
      <c r="E113" s="511"/>
      <c r="F113" s="40">
        <f>SUM(F107:F112)</f>
        <v>96.500173780630888</v>
      </c>
    </row>
    <row r="114" spans="1:6" ht="15" customHeight="1"/>
    <row r="115" spans="1:6" ht="15.75" customHeight="1">
      <c r="A115" s="510" t="s">
        <v>115</v>
      </c>
      <c r="B115" s="510"/>
      <c r="C115" s="510"/>
      <c r="D115" s="510"/>
      <c r="E115" s="510"/>
      <c r="F115" s="510"/>
    </row>
    <row r="116" spans="1:6" ht="13">
      <c r="A116" s="13">
        <v>5</v>
      </c>
      <c r="B116" s="509" t="s">
        <v>116</v>
      </c>
      <c r="C116" s="510"/>
      <c r="D116" s="510"/>
      <c r="E116" s="511"/>
      <c r="F116" s="13" t="s">
        <v>61</v>
      </c>
    </row>
    <row r="117" spans="1:6" ht="12.75" customHeight="1">
      <c r="A117" s="14" t="s">
        <v>21</v>
      </c>
      <c r="B117" s="497" t="s">
        <v>31</v>
      </c>
      <c r="C117" s="498"/>
      <c r="D117" s="498"/>
      <c r="E117" s="516"/>
      <c r="F117" s="15">
        <v>60.02</v>
      </c>
    </row>
    <row r="118" spans="1:6">
      <c r="A118" s="14" t="s">
        <v>22</v>
      </c>
      <c r="B118" s="497" t="s">
        <v>32</v>
      </c>
      <c r="C118" s="498"/>
      <c r="D118" s="498"/>
      <c r="E118" s="516"/>
      <c r="F118" s="15"/>
    </row>
    <row r="119" spans="1:6" ht="12.75" customHeight="1">
      <c r="A119" s="14" t="s">
        <v>23</v>
      </c>
      <c r="B119" s="497" t="s">
        <v>167</v>
      </c>
      <c r="C119" s="498"/>
      <c r="D119" s="498"/>
      <c r="E119" s="516"/>
      <c r="F119" s="15">
        <v>104.75</v>
      </c>
    </row>
    <row r="120" spans="1:6">
      <c r="A120" s="14" t="s">
        <v>24</v>
      </c>
      <c r="B120" s="497" t="s">
        <v>37</v>
      </c>
      <c r="C120" s="498"/>
      <c r="D120" s="498"/>
      <c r="E120" s="516"/>
      <c r="F120" s="15">
        <v>0</v>
      </c>
    </row>
    <row r="121" spans="1:6" ht="12.75" customHeight="1">
      <c r="A121" s="509" t="s">
        <v>117</v>
      </c>
      <c r="B121" s="510"/>
      <c r="C121" s="510"/>
      <c r="D121" s="510"/>
      <c r="E121" s="511"/>
      <c r="F121" s="16">
        <f>SUM(F117:F120)</f>
        <v>164.77</v>
      </c>
    </row>
    <row r="122" spans="1:6" ht="12.75" customHeight="1">
      <c r="A122" s="497" t="s">
        <v>118</v>
      </c>
      <c r="B122" s="498"/>
      <c r="C122" s="498"/>
      <c r="D122" s="498"/>
      <c r="E122" s="498"/>
      <c r="F122" s="516"/>
    </row>
    <row r="123" spans="1:6" ht="12.75" customHeight="1">
      <c r="A123" s="525" t="s">
        <v>119</v>
      </c>
      <c r="B123" s="526"/>
      <c r="C123" s="526"/>
      <c r="D123" s="526"/>
      <c r="E123" s="526"/>
      <c r="F123" s="526"/>
    </row>
    <row r="124" spans="1:6" ht="32.25" customHeight="1">
      <c r="A124" s="518" t="s">
        <v>120</v>
      </c>
      <c r="B124" s="518"/>
      <c r="C124" s="518"/>
      <c r="D124" s="22">
        <f>F23+F68+F78+F113+F121</f>
        <v>2894.2899222289507</v>
      </c>
      <c r="E124" s="55">
        <v>0.03</v>
      </c>
      <c r="F124" s="56">
        <f>D124*E124</f>
        <v>86.828697666868521</v>
      </c>
    </row>
    <row r="125" spans="1:6" ht="44.25" customHeight="1">
      <c r="A125" s="518" t="s">
        <v>121</v>
      </c>
      <c r="B125" s="518"/>
      <c r="C125" s="518"/>
      <c r="D125" s="22">
        <f>D124+F124</f>
        <v>2981.1186198958194</v>
      </c>
      <c r="E125" s="55">
        <v>6.7900000000000002E-2</v>
      </c>
      <c r="F125" s="56">
        <f>D125*E125</f>
        <v>202.41795429092613</v>
      </c>
    </row>
    <row r="126" spans="1:6" ht="47.25" customHeight="1">
      <c r="A126" s="497" t="s">
        <v>122</v>
      </c>
      <c r="B126" s="498"/>
      <c r="C126" s="516"/>
      <c r="D126" s="22">
        <f>F143+F124+F125</f>
        <v>3183.5365741867454</v>
      </c>
      <c r="E126" s="69">
        <f>D128+D129+D130</f>
        <v>8.6499999999999994E-2</v>
      </c>
      <c r="F126" s="66">
        <f>ROUND(SUM(D126,F124,F125)*((1/(1-E126))-1),2)</f>
        <v>328.84</v>
      </c>
    </row>
    <row r="127" spans="1:6" ht="14">
      <c r="A127" s="515" t="s">
        <v>123</v>
      </c>
      <c r="B127" s="527"/>
      <c r="C127" s="57" t="s">
        <v>124</v>
      </c>
      <c r="D127" s="515" t="s">
        <v>34</v>
      </c>
      <c r="E127" s="527"/>
      <c r="F127" s="58" t="s">
        <v>61</v>
      </c>
    </row>
    <row r="128" spans="1:6" ht="15.75" customHeight="1">
      <c r="A128" s="539" t="s">
        <v>125</v>
      </c>
      <c r="B128" s="540" t="s">
        <v>126</v>
      </c>
      <c r="C128" s="59" t="s">
        <v>127</v>
      </c>
      <c r="D128" s="543">
        <v>6.4999999999999997E-3</v>
      </c>
      <c r="E128" s="544">
        <v>1.6500000000000001E-2</v>
      </c>
      <c r="F128" s="60">
        <f>ROUND(($F$126*D128)/$E$126,2)</f>
        <v>24.71</v>
      </c>
    </row>
    <row r="129" spans="1:6" ht="18" customHeight="1">
      <c r="A129" s="541"/>
      <c r="B129" s="542"/>
      <c r="C129" s="59" t="s">
        <v>128</v>
      </c>
      <c r="D129" s="543">
        <v>0.03</v>
      </c>
      <c r="E129" s="544">
        <v>7.5999999999999998E-2</v>
      </c>
      <c r="F129" s="60">
        <f>ROUND(($F$126*D129)/$E$126,2)</f>
        <v>114.05</v>
      </c>
    </row>
    <row r="130" spans="1:6" ht="25.5" customHeight="1">
      <c r="A130" s="515" t="s">
        <v>129</v>
      </c>
      <c r="B130" s="527" t="s">
        <v>130</v>
      </c>
      <c r="C130" s="59" t="s">
        <v>131</v>
      </c>
      <c r="D130" s="543">
        <v>0.05</v>
      </c>
      <c r="E130" s="544">
        <v>0.05</v>
      </c>
      <c r="F130" s="60">
        <f>ROUND(($F$126*D130)/$E$126,2)</f>
        <v>190.08</v>
      </c>
    </row>
    <row r="131" spans="1:6" ht="14">
      <c r="A131" s="515" t="s">
        <v>132</v>
      </c>
      <c r="B131" s="527"/>
      <c r="C131" s="59"/>
      <c r="D131" s="533">
        <v>0</v>
      </c>
      <c r="E131" s="534">
        <v>0</v>
      </c>
      <c r="F131" s="56">
        <f>ROUND(E129/(1-D135)*D131,2)</f>
        <v>0</v>
      </c>
    </row>
    <row r="132" spans="1:6" ht="13">
      <c r="A132" s="496" t="s">
        <v>133</v>
      </c>
      <c r="B132" s="496"/>
      <c r="C132" s="496"/>
      <c r="D132" s="535">
        <f>SUM(D128:D131)</f>
        <v>8.6499999999999994E-2</v>
      </c>
      <c r="E132" s="535"/>
      <c r="F132" s="61">
        <f>F124+F125+F126</f>
        <v>618.08665195779463</v>
      </c>
    </row>
    <row r="133" spans="1:6" ht="21" customHeight="1">
      <c r="A133" s="497" t="s">
        <v>175</v>
      </c>
      <c r="B133" s="498"/>
      <c r="C133" s="498"/>
      <c r="D133" s="498"/>
      <c r="E133" s="498"/>
      <c r="F133" s="516"/>
    </row>
    <row r="134" spans="1:6" ht="19.5" customHeight="1">
      <c r="A134" s="497" t="s">
        <v>176</v>
      </c>
      <c r="B134" s="498"/>
      <c r="C134" s="498"/>
      <c r="D134" s="498"/>
      <c r="E134" s="498"/>
      <c r="F134" s="516"/>
    </row>
    <row r="135" spans="1:6" ht="12.75" customHeight="1">
      <c r="A135" s="29"/>
      <c r="B135" s="30"/>
      <c r="C135" s="30"/>
      <c r="D135" s="30"/>
      <c r="E135" s="30"/>
      <c r="F135" s="31"/>
    </row>
    <row r="136" spans="1:6" ht="15.5">
      <c r="A136" s="536" t="s">
        <v>134</v>
      </c>
      <c r="B136" s="537"/>
      <c r="C136" s="537"/>
      <c r="D136" s="537"/>
      <c r="E136" s="537"/>
      <c r="F136" s="538"/>
    </row>
    <row r="137" spans="1:6" ht="12.75" customHeight="1">
      <c r="A137" s="509" t="s">
        <v>135</v>
      </c>
      <c r="B137" s="510"/>
      <c r="C137" s="510"/>
      <c r="D137" s="510"/>
      <c r="E137" s="511"/>
      <c r="F137" s="13" t="s">
        <v>61</v>
      </c>
    </row>
    <row r="138" spans="1:6" ht="12.75" customHeight="1">
      <c r="A138" s="14" t="s">
        <v>21</v>
      </c>
      <c r="B138" s="497" t="s">
        <v>136</v>
      </c>
      <c r="C138" s="498"/>
      <c r="D138" s="498"/>
      <c r="E138" s="516"/>
      <c r="F138" s="15">
        <f>F23</f>
        <v>1194.49</v>
      </c>
    </row>
    <row r="139" spans="1:6" ht="12.75" customHeight="1">
      <c r="A139" s="14" t="s">
        <v>22</v>
      </c>
      <c r="B139" s="497" t="s">
        <v>67</v>
      </c>
      <c r="C139" s="498"/>
      <c r="D139" s="498"/>
      <c r="E139" s="516"/>
      <c r="F139" s="15">
        <f>F68</f>
        <v>1348.5932899999998</v>
      </c>
    </row>
    <row r="140" spans="1:6" ht="12.75" customHeight="1">
      <c r="A140" s="14" t="s">
        <v>23</v>
      </c>
      <c r="B140" s="497" t="s">
        <v>137</v>
      </c>
      <c r="C140" s="498"/>
      <c r="D140" s="498"/>
      <c r="E140" s="516"/>
      <c r="F140" s="15">
        <f>F78</f>
        <v>89.936458448319996</v>
      </c>
    </row>
    <row r="141" spans="1:6" ht="12.75" customHeight="1">
      <c r="A141" s="14" t="s">
        <v>24</v>
      </c>
      <c r="B141" s="497" t="s">
        <v>138</v>
      </c>
      <c r="C141" s="498"/>
      <c r="D141" s="498"/>
      <c r="E141" s="516"/>
      <c r="F141" s="15">
        <f>F113</f>
        <v>96.500173780630888</v>
      </c>
    </row>
    <row r="142" spans="1:6" ht="12.75" customHeight="1">
      <c r="A142" s="14" t="s">
        <v>26</v>
      </c>
      <c r="B142" s="497" t="s">
        <v>139</v>
      </c>
      <c r="C142" s="498"/>
      <c r="D142" s="498"/>
      <c r="E142" s="516"/>
      <c r="F142" s="15">
        <f>F121</f>
        <v>164.77</v>
      </c>
    </row>
    <row r="143" spans="1:6" ht="12.75" customHeight="1">
      <c r="A143" s="16"/>
      <c r="B143" s="517" t="s">
        <v>140</v>
      </c>
      <c r="C143" s="517"/>
      <c r="D143" s="517"/>
      <c r="E143" s="517"/>
      <c r="F143" s="16">
        <f>SUM(F138:F142)</f>
        <v>2894.2899222289507</v>
      </c>
    </row>
    <row r="144" spans="1:6" ht="12.75" customHeight="1">
      <c r="A144" s="14" t="s">
        <v>27</v>
      </c>
      <c r="B144" s="497" t="s">
        <v>141</v>
      </c>
      <c r="C144" s="498"/>
      <c r="D144" s="498"/>
      <c r="E144" s="516"/>
      <c r="F144" s="15">
        <f>F132</f>
        <v>618.08665195779463</v>
      </c>
    </row>
    <row r="145" spans="1:6" ht="15.75" customHeight="1">
      <c r="A145" s="528" t="s">
        <v>30</v>
      </c>
      <c r="B145" s="528"/>
      <c r="C145" s="528"/>
      <c r="D145" s="528"/>
      <c r="E145" s="528"/>
      <c r="F145" s="64">
        <f>F143+F144</f>
        <v>3512.3765741867455</v>
      </c>
    </row>
    <row r="146" spans="1:6" s="25" customFormat="1" ht="13">
      <c r="A146" s="62"/>
      <c r="B146" s="62"/>
      <c r="C146" s="62"/>
      <c r="D146" s="62"/>
      <c r="E146" s="63"/>
    </row>
    <row r="147" spans="1:6" ht="15" customHeight="1">
      <c r="A147" s="530" t="s">
        <v>145</v>
      </c>
      <c r="B147" s="531"/>
      <c r="C147" s="531"/>
      <c r="D147" s="531"/>
      <c r="E147" s="531"/>
      <c r="F147" s="65">
        <f>F145/F23</f>
        <v>2.9404821925564431</v>
      </c>
    </row>
    <row r="148" spans="1:6" ht="3" customHeight="1">
      <c r="F148" s="23"/>
    </row>
    <row r="149" spans="1:6" ht="42.75" customHeight="1">
      <c r="A149" s="532" t="s">
        <v>146</v>
      </c>
      <c r="B149" s="532"/>
      <c r="C149" s="532"/>
      <c r="D149" s="532"/>
      <c r="E149" s="532"/>
      <c r="F149" s="532"/>
    </row>
    <row r="150" spans="1:6" ht="84.75" customHeight="1">
      <c r="A150" s="532" t="s">
        <v>147</v>
      </c>
      <c r="B150" s="532"/>
      <c r="C150" s="532"/>
      <c r="D150" s="532"/>
      <c r="E150" s="532"/>
      <c r="F150" s="532"/>
    </row>
  </sheetData>
  <mergeCells count="156">
    <mergeCell ref="B144:E144"/>
    <mergeCell ref="A145:E145"/>
    <mergeCell ref="B1:F1"/>
    <mergeCell ref="A147:E147"/>
    <mergeCell ref="A149:F149"/>
    <mergeCell ref="A150:F150"/>
    <mergeCell ref="B138:E138"/>
    <mergeCell ref="B139:E139"/>
    <mergeCell ref="B140:E140"/>
    <mergeCell ref="B141:E141"/>
    <mergeCell ref="B143:E143"/>
    <mergeCell ref="A131:B131"/>
    <mergeCell ref="D131:E131"/>
    <mergeCell ref="A132:C132"/>
    <mergeCell ref="D132:E132"/>
    <mergeCell ref="A136:F136"/>
    <mergeCell ref="A137:E137"/>
    <mergeCell ref="A133:F133"/>
    <mergeCell ref="A134:F134"/>
    <mergeCell ref="A128:B129"/>
    <mergeCell ref="D128:E128"/>
    <mergeCell ref="D129:E129"/>
    <mergeCell ref="A130:B130"/>
    <mergeCell ref="D130:E130"/>
    <mergeCell ref="B142:E142"/>
    <mergeCell ref="A123:F123"/>
    <mergeCell ref="A124:C124"/>
    <mergeCell ref="A125:C125"/>
    <mergeCell ref="A126:C126"/>
    <mergeCell ref="A127:B127"/>
    <mergeCell ref="D127:E127"/>
    <mergeCell ref="B117:E117"/>
    <mergeCell ref="B118:E118"/>
    <mergeCell ref="B119:E119"/>
    <mergeCell ref="B120:E120"/>
    <mergeCell ref="A121:E121"/>
    <mergeCell ref="A122:F122"/>
    <mergeCell ref="B110:E110"/>
    <mergeCell ref="B111:E111"/>
    <mergeCell ref="B112:E112"/>
    <mergeCell ref="A113:E113"/>
    <mergeCell ref="A115:F115"/>
    <mergeCell ref="B116:E116"/>
    <mergeCell ref="A102:D102"/>
    <mergeCell ref="A104:F104"/>
    <mergeCell ref="B105:D105"/>
    <mergeCell ref="B106:D106"/>
    <mergeCell ref="A107:D107"/>
    <mergeCell ref="A109:F109"/>
    <mergeCell ref="B96:D96"/>
    <mergeCell ref="B97:D97"/>
    <mergeCell ref="B98:D98"/>
    <mergeCell ref="B99:D99"/>
    <mergeCell ref="B100:D100"/>
    <mergeCell ref="B101:D101"/>
    <mergeCell ref="B88:C88"/>
    <mergeCell ref="B89:C89"/>
    <mergeCell ref="A90:E90"/>
    <mergeCell ref="A91:F91"/>
    <mergeCell ref="A93:F93"/>
    <mergeCell ref="B95:D95"/>
    <mergeCell ref="A94:F94"/>
    <mergeCell ref="B82:D82"/>
    <mergeCell ref="B83:C83"/>
    <mergeCell ref="B84:C84"/>
    <mergeCell ref="B85:C85"/>
    <mergeCell ref="B86:C86"/>
    <mergeCell ref="B87:C87"/>
    <mergeCell ref="B75:D75"/>
    <mergeCell ref="B76:D76"/>
    <mergeCell ref="B77:D77"/>
    <mergeCell ref="A78:E78"/>
    <mergeCell ref="A80:F80"/>
    <mergeCell ref="B81:D81"/>
    <mergeCell ref="A68:E68"/>
    <mergeCell ref="A70:F70"/>
    <mergeCell ref="B71:D71"/>
    <mergeCell ref="B72:D72"/>
    <mergeCell ref="B73:D73"/>
    <mergeCell ref="B74:D74"/>
    <mergeCell ref="A61:F61"/>
    <mergeCell ref="A63:F63"/>
    <mergeCell ref="B64:E64"/>
    <mergeCell ref="B65:E65"/>
    <mergeCell ref="B66:E66"/>
    <mergeCell ref="B67:E67"/>
    <mergeCell ref="B57:C57"/>
    <mergeCell ref="D57:E57"/>
    <mergeCell ref="B58:C58"/>
    <mergeCell ref="D58:E58"/>
    <mergeCell ref="A59:E59"/>
    <mergeCell ref="A60:F60"/>
    <mergeCell ref="B53:C53"/>
    <mergeCell ref="B54:C54"/>
    <mergeCell ref="B55:C55"/>
    <mergeCell ref="D55:E55"/>
    <mergeCell ref="B56:C56"/>
    <mergeCell ref="D56:E56"/>
    <mergeCell ref="A47:F47"/>
    <mergeCell ref="A48:F48"/>
    <mergeCell ref="A49:F49"/>
    <mergeCell ref="B50:E50"/>
    <mergeCell ref="A51:F51"/>
    <mergeCell ref="B52:E52"/>
    <mergeCell ref="B41:D41"/>
    <mergeCell ref="B42:D42"/>
    <mergeCell ref="B43:D43"/>
    <mergeCell ref="B44:D44"/>
    <mergeCell ref="B45:D45"/>
    <mergeCell ref="A46:D46"/>
    <mergeCell ref="A31:E31"/>
    <mergeCell ref="A36:F36"/>
    <mergeCell ref="B37:D37"/>
    <mergeCell ref="B38:D38"/>
    <mergeCell ref="B39:D39"/>
    <mergeCell ref="B40:D40"/>
    <mergeCell ref="A32:F32"/>
    <mergeCell ref="A33:F33"/>
    <mergeCell ref="A34:F34"/>
    <mergeCell ref="A23:E23"/>
    <mergeCell ref="A26:F26"/>
    <mergeCell ref="A27:F27"/>
    <mergeCell ref="B28:E28"/>
    <mergeCell ref="B29:C29"/>
    <mergeCell ref="B30:C30"/>
    <mergeCell ref="A24:F24"/>
    <mergeCell ref="B20:C20"/>
    <mergeCell ref="D20:E20"/>
    <mergeCell ref="B21:C21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  <mergeCell ref="A10:F10"/>
    <mergeCell ref="A11:F11"/>
    <mergeCell ref="A14:F14"/>
    <mergeCell ref="B15:E15"/>
    <mergeCell ref="B16:C16"/>
    <mergeCell ref="D16:E16"/>
    <mergeCell ref="A7:B7"/>
    <mergeCell ref="D7:E7"/>
    <mergeCell ref="A8:B8"/>
    <mergeCell ref="D8:E8"/>
    <mergeCell ref="A9:B9"/>
    <mergeCell ref="D9:E9"/>
    <mergeCell ref="A2:F2"/>
    <mergeCell ref="A4:F4"/>
    <mergeCell ref="A5:B5"/>
    <mergeCell ref="D5:E5"/>
    <mergeCell ref="A6:B6"/>
    <mergeCell ref="D6:E6"/>
  </mergeCells>
  <pageMargins left="0.25" right="0.25" top="0.75" bottom="0.75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62"/>
  <sheetViews>
    <sheetView showGridLines="0" topLeftCell="A108" zoomScale="80" zoomScaleNormal="80" workbookViewId="0">
      <selection activeCell="I57" sqref="I57"/>
    </sheetView>
  </sheetViews>
  <sheetFormatPr defaultColWidth="9.1796875" defaultRowHeight="14.5"/>
  <cols>
    <col min="1" max="1" width="10.453125" customWidth="1"/>
    <col min="2" max="2" width="49.54296875" bestFit="1" customWidth="1"/>
    <col min="7" max="7" width="9" bestFit="1" customWidth="1"/>
    <col min="8" max="8" width="9.26953125" bestFit="1" customWidth="1"/>
    <col min="9" max="9" width="23.7265625" customWidth="1"/>
  </cols>
  <sheetData>
    <row r="1" spans="1:9" ht="42" customHeight="1">
      <c r="A1" s="3"/>
      <c r="B1" s="329" t="s">
        <v>465</v>
      </c>
      <c r="C1" s="330"/>
      <c r="D1" s="330"/>
      <c r="E1" s="330"/>
      <c r="F1" s="330"/>
      <c r="G1" s="330"/>
      <c r="H1" s="330"/>
      <c r="I1" s="330"/>
    </row>
    <row r="2" spans="1:9">
      <c r="A2" s="271"/>
      <c r="B2" s="271"/>
      <c r="C2" s="271"/>
      <c r="D2" s="271"/>
      <c r="E2" s="271"/>
      <c r="F2" s="271"/>
      <c r="G2" s="271"/>
      <c r="H2" s="271"/>
      <c r="I2" s="271"/>
    </row>
    <row r="3" spans="1:9">
      <c r="A3" s="272" t="s">
        <v>461</v>
      </c>
      <c r="B3" s="272"/>
      <c r="C3" s="272"/>
      <c r="D3" s="272"/>
      <c r="E3" s="272"/>
      <c r="F3" s="272"/>
      <c r="G3" s="272"/>
      <c r="H3" s="272"/>
      <c r="I3" s="272"/>
    </row>
    <row r="4" spans="1:9">
      <c r="A4" s="273" t="s">
        <v>177</v>
      </c>
      <c r="B4" s="273"/>
      <c r="C4" s="273"/>
      <c r="D4" s="273"/>
      <c r="E4" s="273"/>
      <c r="F4" s="273"/>
      <c r="G4" s="273"/>
      <c r="H4" s="273"/>
      <c r="I4" s="273"/>
    </row>
    <row r="5" spans="1:9">
      <c r="A5" s="273" t="s">
        <v>178</v>
      </c>
      <c r="B5" s="273"/>
      <c r="C5" s="273"/>
      <c r="D5" s="273"/>
      <c r="E5" s="273"/>
      <c r="F5" s="273"/>
      <c r="G5" s="273"/>
      <c r="H5" s="273"/>
      <c r="I5" s="273"/>
    </row>
    <row r="6" spans="1:9">
      <c r="A6" s="274" t="s">
        <v>462</v>
      </c>
      <c r="B6" s="274"/>
      <c r="C6" s="274"/>
      <c r="D6" s="274"/>
      <c r="E6" s="274"/>
      <c r="F6" s="274"/>
      <c r="G6" s="274"/>
      <c r="H6" s="274"/>
      <c r="I6" s="274"/>
    </row>
    <row r="7" spans="1:9">
      <c r="A7" s="271"/>
      <c r="B7" s="271"/>
      <c r="C7" s="271"/>
      <c r="D7" s="271"/>
      <c r="E7" s="271"/>
      <c r="F7" s="271"/>
      <c r="G7" s="271"/>
      <c r="H7" s="271"/>
      <c r="I7" s="271"/>
    </row>
    <row r="8" spans="1:9">
      <c r="A8" s="265" t="s">
        <v>292</v>
      </c>
      <c r="B8" s="265"/>
      <c r="C8" s="265"/>
      <c r="D8" s="265"/>
      <c r="E8" s="265"/>
      <c r="F8" s="265"/>
      <c r="G8" s="265"/>
      <c r="H8" s="265"/>
      <c r="I8" s="265"/>
    </row>
    <row r="9" spans="1:9">
      <c r="A9" s="266"/>
      <c r="B9" s="266"/>
      <c r="C9" s="266"/>
      <c r="D9" s="266"/>
      <c r="E9" s="266"/>
      <c r="F9" s="266"/>
      <c r="G9" s="266"/>
      <c r="H9" s="266"/>
      <c r="I9" s="266"/>
    </row>
    <row r="10" spans="1:9">
      <c r="A10" s="267" t="s">
        <v>179</v>
      </c>
      <c r="B10" s="267"/>
      <c r="C10" s="267"/>
      <c r="D10" s="267"/>
      <c r="E10" s="267"/>
      <c r="F10" s="267"/>
      <c r="G10" s="267"/>
      <c r="H10" s="267"/>
      <c r="I10" s="267"/>
    </row>
    <row r="11" spans="1:9">
      <c r="A11" s="72" t="s">
        <v>21</v>
      </c>
      <c r="B11" s="268" t="s">
        <v>180</v>
      </c>
      <c r="C11" s="268"/>
      <c r="D11" s="268"/>
      <c r="E11" s="268"/>
      <c r="F11" s="268"/>
      <c r="G11" s="268"/>
      <c r="H11" s="269"/>
      <c r="I11" s="270"/>
    </row>
    <row r="12" spans="1:9">
      <c r="A12" s="72" t="s">
        <v>22</v>
      </c>
      <c r="B12" s="268" t="s">
        <v>181</v>
      </c>
      <c r="C12" s="268"/>
      <c r="D12" s="268"/>
      <c r="E12" s="268"/>
      <c r="F12" s="268"/>
      <c r="G12" s="268"/>
      <c r="H12" s="270" t="s">
        <v>293</v>
      </c>
      <c r="I12" s="270"/>
    </row>
    <row r="13" spans="1:9" ht="15" customHeight="1">
      <c r="A13" s="72" t="s">
        <v>23</v>
      </c>
      <c r="B13" s="268" t="s">
        <v>182</v>
      </c>
      <c r="C13" s="268"/>
      <c r="D13" s="268"/>
      <c r="E13" s="268"/>
      <c r="F13" s="268"/>
      <c r="G13" s="268"/>
      <c r="H13" s="275" t="s">
        <v>469</v>
      </c>
      <c r="I13" s="270"/>
    </row>
    <row r="14" spans="1:9">
      <c r="A14" s="72" t="s">
        <v>24</v>
      </c>
      <c r="B14" s="268" t="s">
        <v>183</v>
      </c>
      <c r="C14" s="268"/>
      <c r="D14" s="268"/>
      <c r="E14" s="268"/>
      <c r="F14" s="268"/>
      <c r="G14" s="268"/>
      <c r="H14" s="270">
        <v>12</v>
      </c>
      <c r="I14" s="270"/>
    </row>
    <row r="15" spans="1:9">
      <c r="A15" s="73"/>
      <c r="B15" s="74"/>
      <c r="C15" s="74"/>
      <c r="D15" s="74"/>
      <c r="E15" s="74"/>
      <c r="F15" s="74"/>
      <c r="G15" s="74"/>
      <c r="H15" s="73"/>
      <c r="I15" s="73"/>
    </row>
    <row r="16" spans="1:9">
      <c r="A16" s="267" t="s">
        <v>184</v>
      </c>
      <c r="B16" s="267"/>
      <c r="C16" s="267"/>
      <c r="D16" s="267"/>
      <c r="E16" s="267"/>
      <c r="F16" s="267"/>
      <c r="G16" s="267"/>
      <c r="H16" s="267"/>
      <c r="I16" s="267"/>
    </row>
    <row r="17" spans="1:10">
      <c r="A17" s="270" t="s">
        <v>185</v>
      </c>
      <c r="B17" s="270"/>
      <c r="C17" s="270" t="s">
        <v>186</v>
      </c>
      <c r="D17" s="270"/>
      <c r="E17" s="270" t="s">
        <v>187</v>
      </c>
      <c r="F17" s="270"/>
      <c r="G17" s="270"/>
      <c r="H17" s="270"/>
      <c r="I17" s="270"/>
      <c r="J17" s="3"/>
    </row>
    <row r="18" spans="1:10">
      <c r="A18" s="270" t="s">
        <v>299</v>
      </c>
      <c r="B18" s="270"/>
      <c r="C18" s="270" t="s">
        <v>148</v>
      </c>
      <c r="D18" s="270"/>
      <c r="E18" s="270">
        <v>1</v>
      </c>
      <c r="F18" s="270"/>
      <c r="G18" s="270"/>
      <c r="H18" s="270"/>
      <c r="I18" s="270"/>
      <c r="J18" s="3"/>
    </row>
    <row r="19" spans="1:10">
      <c r="A19" s="73"/>
      <c r="B19" s="74"/>
      <c r="C19" s="74"/>
      <c r="D19" s="74"/>
      <c r="E19" s="74"/>
      <c r="F19" s="74"/>
      <c r="G19" s="74"/>
      <c r="H19" s="73"/>
      <c r="I19" s="73"/>
      <c r="J19" s="3"/>
    </row>
    <row r="20" spans="1:10">
      <c r="A20" s="267" t="s">
        <v>188</v>
      </c>
      <c r="B20" s="267"/>
      <c r="C20" s="267"/>
      <c r="D20" s="267"/>
      <c r="E20" s="267"/>
      <c r="F20" s="267"/>
      <c r="G20" s="267"/>
      <c r="H20" s="267"/>
      <c r="I20" s="267"/>
      <c r="J20" s="3"/>
    </row>
    <row r="21" spans="1:10">
      <c r="A21" s="72">
        <v>1</v>
      </c>
      <c r="B21" s="268" t="s">
        <v>189</v>
      </c>
      <c r="C21" s="268"/>
      <c r="D21" s="268"/>
      <c r="E21" s="268"/>
      <c r="F21" s="268"/>
      <c r="G21" s="268"/>
      <c r="H21" s="270" t="s">
        <v>300</v>
      </c>
      <c r="I21" s="270"/>
      <c r="J21" s="3"/>
    </row>
    <row r="22" spans="1:10">
      <c r="A22" s="72">
        <v>2</v>
      </c>
      <c r="B22" s="268" t="s">
        <v>190</v>
      </c>
      <c r="C22" s="268"/>
      <c r="D22" s="268"/>
      <c r="E22" s="268"/>
      <c r="F22" s="268"/>
      <c r="G22" s="268"/>
      <c r="H22" s="270" t="s">
        <v>296</v>
      </c>
      <c r="I22" s="270"/>
      <c r="J22" s="3"/>
    </row>
    <row r="23" spans="1:10">
      <c r="A23" s="72">
        <v>3</v>
      </c>
      <c r="B23" s="268" t="s">
        <v>191</v>
      </c>
      <c r="C23" s="268"/>
      <c r="D23" s="268"/>
      <c r="E23" s="268"/>
      <c r="F23" s="268"/>
      <c r="G23" s="268"/>
      <c r="H23" s="278">
        <v>2045.92</v>
      </c>
      <c r="I23" s="270"/>
      <c r="J23" s="3"/>
    </row>
    <row r="24" spans="1:10">
      <c r="A24" s="72">
        <v>4</v>
      </c>
      <c r="B24" s="268" t="s">
        <v>192</v>
      </c>
      <c r="C24" s="268"/>
      <c r="D24" s="268"/>
      <c r="E24" s="268"/>
      <c r="F24" s="268"/>
      <c r="G24" s="268"/>
      <c r="H24" s="277" t="s">
        <v>297</v>
      </c>
      <c r="I24" s="277"/>
      <c r="J24" s="3"/>
    </row>
    <row r="25" spans="1:10">
      <c r="A25" s="72">
        <v>5</v>
      </c>
      <c r="B25" s="268" t="s">
        <v>193</v>
      </c>
      <c r="C25" s="268"/>
      <c r="D25" s="268"/>
      <c r="E25" s="268"/>
      <c r="F25" s="268"/>
      <c r="G25" s="268"/>
      <c r="H25" s="269">
        <v>44927</v>
      </c>
      <c r="I25" s="270"/>
      <c r="J25" s="3"/>
    </row>
    <row r="26" spans="1:10">
      <c r="A26" s="271"/>
      <c r="B26" s="271"/>
      <c r="C26" s="271"/>
      <c r="D26" s="271"/>
      <c r="E26" s="271"/>
      <c r="F26" s="271"/>
      <c r="G26" s="271"/>
      <c r="H26" s="271"/>
      <c r="I26" s="271"/>
      <c r="J26" s="3"/>
    </row>
    <row r="27" spans="1:10">
      <c r="A27" s="276" t="s">
        <v>194</v>
      </c>
      <c r="B27" s="276"/>
      <c r="C27" s="276"/>
      <c r="D27" s="276"/>
      <c r="E27" s="276"/>
      <c r="F27" s="276"/>
      <c r="G27" s="276"/>
      <c r="H27" s="276"/>
      <c r="I27" s="276"/>
      <c r="J27" s="3"/>
    </row>
    <row r="28" spans="1:10">
      <c r="A28" s="75">
        <v>1</v>
      </c>
      <c r="B28" s="277" t="s">
        <v>195</v>
      </c>
      <c r="C28" s="277"/>
      <c r="D28" s="277"/>
      <c r="E28" s="277"/>
      <c r="F28" s="277"/>
      <c r="G28" s="277"/>
      <c r="H28" s="75" t="s">
        <v>34</v>
      </c>
      <c r="I28" s="75" t="s">
        <v>196</v>
      </c>
      <c r="J28" s="3"/>
    </row>
    <row r="29" spans="1:10">
      <c r="A29" s="75" t="s">
        <v>21</v>
      </c>
      <c r="B29" s="268" t="s">
        <v>62</v>
      </c>
      <c r="C29" s="268"/>
      <c r="D29" s="268"/>
      <c r="E29" s="268"/>
      <c r="F29" s="268"/>
      <c r="G29" s="268"/>
      <c r="H29" s="76"/>
      <c r="I29" s="77">
        <f>H23</f>
        <v>2045.92</v>
      </c>
      <c r="J29" s="3"/>
    </row>
    <row r="30" spans="1:10">
      <c r="A30" s="75" t="s">
        <v>22</v>
      </c>
      <c r="B30" s="268" t="s">
        <v>197</v>
      </c>
      <c r="C30" s="268"/>
      <c r="D30" s="268"/>
      <c r="E30" s="268"/>
      <c r="F30" s="268"/>
      <c r="G30" s="268"/>
      <c r="H30" s="78">
        <v>0.3</v>
      </c>
      <c r="I30" s="77">
        <f>TRUNC(I29*H30,2)</f>
        <v>613.77</v>
      </c>
      <c r="J30" s="3"/>
    </row>
    <row r="31" spans="1:10">
      <c r="A31" s="75" t="s">
        <v>23</v>
      </c>
      <c r="B31" s="268" t="s">
        <v>198</v>
      </c>
      <c r="C31" s="268"/>
      <c r="D31" s="268"/>
      <c r="E31" s="268"/>
      <c r="F31" s="268"/>
      <c r="G31" s="268"/>
      <c r="H31" s="78"/>
      <c r="I31" s="77">
        <v>0</v>
      </c>
      <c r="J31" s="3"/>
    </row>
    <row r="32" spans="1:10">
      <c r="A32" s="75" t="s">
        <v>24</v>
      </c>
      <c r="B32" s="268" t="s">
        <v>301</v>
      </c>
      <c r="C32" s="268"/>
      <c r="D32" s="268"/>
      <c r="E32" s="268"/>
      <c r="F32" s="268"/>
      <c r="G32" s="268"/>
      <c r="H32" s="78">
        <v>0.2</v>
      </c>
      <c r="I32" s="77">
        <f>TRUNC((I29+I30)*H32*(7/12),2)</f>
        <v>310.29000000000002</v>
      </c>
      <c r="J32" s="3"/>
    </row>
    <row r="33" spans="1:13">
      <c r="A33" s="75" t="s">
        <v>26</v>
      </c>
      <c r="B33" s="268" t="s">
        <v>302</v>
      </c>
      <c r="C33" s="268"/>
      <c r="D33" s="268"/>
      <c r="E33" s="268"/>
      <c r="F33" s="268"/>
      <c r="G33" s="268"/>
      <c r="H33" s="79">
        <v>1.2</v>
      </c>
      <c r="I33" s="77">
        <f>TRUNC((I29+I30)*120%*(1/12),2)</f>
        <v>265.95999999999998</v>
      </c>
      <c r="J33" s="3"/>
    </row>
    <row r="34" spans="1:13">
      <c r="A34" s="75" t="s">
        <v>27</v>
      </c>
      <c r="B34" s="268" t="s">
        <v>37</v>
      </c>
      <c r="C34" s="268"/>
      <c r="D34" s="268"/>
      <c r="E34" s="268"/>
      <c r="F34" s="268"/>
      <c r="G34" s="268"/>
      <c r="H34" s="78"/>
      <c r="I34" s="77">
        <v>0</v>
      </c>
      <c r="J34" s="3"/>
    </row>
    <row r="35" spans="1:13">
      <c r="A35" s="277" t="s">
        <v>199</v>
      </c>
      <c r="B35" s="277"/>
      <c r="C35" s="277"/>
      <c r="D35" s="277"/>
      <c r="E35" s="277"/>
      <c r="F35" s="277"/>
      <c r="G35" s="277"/>
      <c r="H35" s="277"/>
      <c r="I35" s="80">
        <f>SUM(I29:I34)</f>
        <v>3235.94</v>
      </c>
      <c r="J35" s="3"/>
    </row>
    <row r="36" spans="1:13">
      <c r="A36" s="81"/>
      <c r="B36" s="81"/>
      <c r="C36" s="81"/>
      <c r="D36" s="81"/>
      <c r="E36" s="81"/>
      <c r="F36" s="81"/>
      <c r="G36" s="81"/>
      <c r="H36" s="81"/>
      <c r="I36" s="82"/>
      <c r="J36" s="71"/>
    </row>
    <row r="37" spans="1:13">
      <c r="A37" s="276" t="s">
        <v>200</v>
      </c>
      <c r="B37" s="276"/>
      <c r="C37" s="276"/>
      <c r="D37" s="276"/>
      <c r="E37" s="276"/>
      <c r="F37" s="276"/>
      <c r="G37" s="276"/>
      <c r="H37" s="276"/>
      <c r="I37" s="276"/>
      <c r="J37" s="71"/>
      <c r="L37" s="128"/>
    </row>
    <row r="38" spans="1:13">
      <c r="A38" s="277" t="s">
        <v>201</v>
      </c>
      <c r="B38" s="277"/>
      <c r="C38" s="277"/>
      <c r="D38" s="277"/>
      <c r="E38" s="277"/>
      <c r="F38" s="277"/>
      <c r="G38" s="277"/>
      <c r="H38" s="75" t="s">
        <v>34</v>
      </c>
      <c r="I38" s="75" t="s">
        <v>196</v>
      </c>
      <c r="J38" s="71"/>
    </row>
    <row r="39" spans="1:13">
      <c r="A39" s="75" t="s">
        <v>21</v>
      </c>
      <c r="B39" s="268" t="s">
        <v>298</v>
      </c>
      <c r="C39" s="268"/>
      <c r="D39" s="268"/>
      <c r="E39" s="268"/>
      <c r="F39" s="268"/>
      <c r="G39" s="268"/>
      <c r="H39" s="83">
        <f>1/12</f>
        <v>8.3333333333333329E-2</v>
      </c>
      <c r="I39" s="77">
        <f>TRUNC(I35*H39,2)</f>
        <v>269.66000000000003</v>
      </c>
      <c r="J39" s="71"/>
    </row>
    <row r="40" spans="1:13">
      <c r="A40" s="75" t="s">
        <v>22</v>
      </c>
      <c r="B40" s="268" t="s">
        <v>202</v>
      </c>
      <c r="C40" s="268"/>
      <c r="D40" s="268"/>
      <c r="E40" s="268"/>
      <c r="F40" s="268"/>
      <c r="G40" s="268"/>
      <c r="H40" s="84">
        <v>0.121</v>
      </c>
      <c r="I40" s="77">
        <f>TRUNC(I35*H40,2)</f>
        <v>391.54</v>
      </c>
      <c r="J40" s="71"/>
      <c r="K40" s="129"/>
      <c r="M40" s="129"/>
    </row>
    <row r="41" spans="1:13">
      <c r="A41" s="277" t="s">
        <v>203</v>
      </c>
      <c r="B41" s="277"/>
      <c r="C41" s="277"/>
      <c r="D41" s="277"/>
      <c r="E41" s="277"/>
      <c r="F41" s="277"/>
      <c r="G41" s="277"/>
      <c r="H41" s="85">
        <v>0.20430000000000001</v>
      </c>
      <c r="I41" s="80">
        <f>SUM(I39:I40)</f>
        <v>661.2</v>
      </c>
      <c r="J41" s="71"/>
    </row>
    <row r="42" spans="1:13">
      <c r="A42" s="279"/>
      <c r="B42" s="280"/>
      <c r="C42" s="280"/>
      <c r="D42" s="280"/>
      <c r="E42" s="280"/>
      <c r="F42" s="280"/>
      <c r="G42" s="280"/>
      <c r="H42" s="280"/>
      <c r="I42" s="280"/>
      <c r="J42" s="3"/>
    </row>
    <row r="43" spans="1:13">
      <c r="A43" s="277" t="s">
        <v>204</v>
      </c>
      <c r="B43" s="277"/>
      <c r="C43" s="277"/>
      <c r="D43" s="277"/>
      <c r="E43" s="277"/>
      <c r="F43" s="277"/>
      <c r="G43" s="277"/>
      <c r="H43" s="75" t="s">
        <v>34</v>
      </c>
      <c r="I43" s="75" t="s">
        <v>196</v>
      </c>
      <c r="J43" s="71"/>
      <c r="K43" s="126"/>
    </row>
    <row r="44" spans="1:13">
      <c r="A44" s="75" t="s">
        <v>21</v>
      </c>
      <c r="B44" s="268" t="s">
        <v>205</v>
      </c>
      <c r="C44" s="268"/>
      <c r="D44" s="268"/>
      <c r="E44" s="268"/>
      <c r="F44" s="268"/>
      <c r="G44" s="268"/>
      <c r="H44" s="83">
        <v>0.2</v>
      </c>
      <c r="I44" s="77">
        <f>TRUNC(($I$35+$I$41)*H44,2)</f>
        <v>779.42</v>
      </c>
      <c r="J44" s="71"/>
      <c r="K44" s="129"/>
      <c r="L44" s="129"/>
      <c r="M44" s="129"/>
    </row>
    <row r="45" spans="1:13">
      <c r="A45" s="75" t="s">
        <v>22</v>
      </c>
      <c r="B45" s="268" t="s">
        <v>206</v>
      </c>
      <c r="C45" s="268"/>
      <c r="D45" s="268"/>
      <c r="E45" s="268"/>
      <c r="F45" s="268"/>
      <c r="G45" s="268"/>
      <c r="H45" s="83">
        <v>2.5000000000000001E-2</v>
      </c>
      <c r="I45" s="77">
        <f>TRUNC(($I$35+$I$41)*H45,2)</f>
        <v>97.42</v>
      </c>
      <c r="J45" s="71"/>
    </row>
    <row r="46" spans="1:13">
      <c r="A46" s="75" t="s">
        <v>23</v>
      </c>
      <c r="B46" s="268" t="s">
        <v>207</v>
      </c>
      <c r="C46" s="268"/>
      <c r="D46" s="268"/>
      <c r="E46" s="268"/>
      <c r="F46" s="268"/>
      <c r="G46" s="268"/>
      <c r="H46" s="83">
        <v>0.03</v>
      </c>
      <c r="I46" s="77">
        <f t="shared" ref="I46:I51" si="0">TRUNC(($I$35+$I$41)*H46,2)</f>
        <v>116.91</v>
      </c>
      <c r="J46" s="71"/>
      <c r="K46" s="126"/>
    </row>
    <row r="47" spans="1:13">
      <c r="A47" s="75" t="s">
        <v>24</v>
      </c>
      <c r="B47" s="268" t="s">
        <v>208</v>
      </c>
      <c r="C47" s="268"/>
      <c r="D47" s="268"/>
      <c r="E47" s="268"/>
      <c r="F47" s="268"/>
      <c r="G47" s="268"/>
      <c r="H47" s="83">
        <v>1.4999999999999999E-2</v>
      </c>
      <c r="I47" s="77">
        <f t="shared" si="0"/>
        <v>58.45</v>
      </c>
      <c r="J47" s="71"/>
    </row>
    <row r="48" spans="1:13">
      <c r="A48" s="75" t="s">
        <v>26</v>
      </c>
      <c r="B48" s="268" t="s">
        <v>209</v>
      </c>
      <c r="C48" s="268"/>
      <c r="D48" s="268"/>
      <c r="E48" s="268"/>
      <c r="F48" s="268"/>
      <c r="G48" s="268"/>
      <c r="H48" s="83">
        <v>0.01</v>
      </c>
      <c r="I48" s="77">
        <f t="shared" si="0"/>
        <v>38.97</v>
      </c>
      <c r="J48" s="71"/>
    </row>
    <row r="49" spans="1:10">
      <c r="A49" s="75" t="s">
        <v>27</v>
      </c>
      <c r="B49" s="268" t="s">
        <v>210</v>
      </c>
      <c r="C49" s="268"/>
      <c r="D49" s="268"/>
      <c r="E49" s="268"/>
      <c r="F49" s="268"/>
      <c r="G49" s="268"/>
      <c r="H49" s="83">
        <v>6.0000000000000001E-3</v>
      </c>
      <c r="I49" s="77">
        <f t="shared" si="0"/>
        <v>23.38</v>
      </c>
      <c r="J49" s="71"/>
    </row>
    <row r="50" spans="1:10">
      <c r="A50" s="75" t="s">
        <v>28</v>
      </c>
      <c r="B50" s="268" t="s">
        <v>211</v>
      </c>
      <c r="C50" s="268"/>
      <c r="D50" s="268"/>
      <c r="E50" s="268"/>
      <c r="F50" s="268"/>
      <c r="G50" s="268"/>
      <c r="H50" s="83">
        <v>2E-3</v>
      </c>
      <c r="I50" s="77">
        <f t="shared" si="0"/>
        <v>7.79</v>
      </c>
      <c r="J50" s="71"/>
    </row>
    <row r="51" spans="1:10">
      <c r="A51" s="75" t="s">
        <v>29</v>
      </c>
      <c r="B51" s="268" t="s">
        <v>212</v>
      </c>
      <c r="C51" s="268"/>
      <c r="D51" s="268"/>
      <c r="E51" s="268"/>
      <c r="F51" s="268"/>
      <c r="G51" s="268"/>
      <c r="H51" s="83">
        <v>0.08</v>
      </c>
      <c r="I51" s="77">
        <f t="shared" si="0"/>
        <v>311.77</v>
      </c>
      <c r="J51" s="71"/>
    </row>
    <row r="52" spans="1:10">
      <c r="A52" s="277" t="s">
        <v>213</v>
      </c>
      <c r="B52" s="277"/>
      <c r="C52" s="277"/>
      <c r="D52" s="277"/>
      <c r="E52" s="277"/>
      <c r="F52" s="277"/>
      <c r="G52" s="277"/>
      <c r="H52" s="85">
        <v>0.36800000000000005</v>
      </c>
      <c r="I52" s="80">
        <f>SUM(I44:I51)</f>
        <v>1434.11</v>
      </c>
      <c r="J52" s="71"/>
    </row>
    <row r="53" spans="1:10">
      <c r="A53" s="281"/>
      <c r="B53" s="281"/>
      <c r="C53" s="281"/>
      <c r="D53" s="281"/>
      <c r="E53" s="281"/>
      <c r="F53" s="281"/>
      <c r="G53" s="281"/>
      <c r="H53" s="281"/>
      <c r="I53" s="282"/>
      <c r="J53" s="71"/>
    </row>
    <row r="54" spans="1:10">
      <c r="A54" s="277" t="s">
        <v>88</v>
      </c>
      <c r="B54" s="277"/>
      <c r="C54" s="277"/>
      <c r="D54" s="277"/>
      <c r="E54" s="277"/>
      <c r="F54" s="277"/>
      <c r="G54" s="277"/>
      <c r="H54" s="85"/>
      <c r="I54" s="75" t="s">
        <v>196</v>
      </c>
      <c r="J54" s="71"/>
    </row>
    <row r="55" spans="1:10">
      <c r="A55" s="75" t="s">
        <v>21</v>
      </c>
      <c r="B55" s="283" t="s">
        <v>463</v>
      </c>
      <c r="C55" s="283"/>
      <c r="D55" s="283"/>
      <c r="E55" s="283"/>
      <c r="F55" s="283"/>
      <c r="G55" s="283"/>
      <c r="H55" s="72" t="s">
        <v>214</v>
      </c>
      <c r="I55" s="86">
        <f>TRUNC((5.2*2*15)-(6%*I29*50%),2)</f>
        <v>94.62</v>
      </c>
      <c r="J55" s="71" t="s">
        <v>464</v>
      </c>
    </row>
    <row r="56" spans="1:10">
      <c r="A56" s="75" t="s">
        <v>22</v>
      </c>
      <c r="B56" s="283" t="s">
        <v>470</v>
      </c>
      <c r="C56" s="283"/>
      <c r="D56" s="283"/>
      <c r="E56" s="283"/>
      <c r="F56" s="283"/>
      <c r="G56" s="283"/>
      <c r="H56" s="72" t="s">
        <v>214</v>
      </c>
      <c r="I56" s="86">
        <f>TRUNC(((37-(37*18%))*15),2)</f>
        <v>455.1</v>
      </c>
      <c r="J56" s="71"/>
    </row>
    <row r="57" spans="1:10">
      <c r="A57" s="75" t="s">
        <v>23</v>
      </c>
      <c r="B57" s="283" t="s">
        <v>215</v>
      </c>
      <c r="C57" s="283"/>
      <c r="D57" s="283"/>
      <c r="E57" s="283"/>
      <c r="F57" s="283"/>
      <c r="G57" s="283"/>
      <c r="H57" s="72" t="s">
        <v>214</v>
      </c>
      <c r="I57" s="86">
        <v>160.78</v>
      </c>
      <c r="J57" s="71"/>
    </row>
    <row r="58" spans="1:10">
      <c r="A58" s="75" t="s">
        <v>24</v>
      </c>
      <c r="B58" s="283" t="s">
        <v>216</v>
      </c>
      <c r="C58" s="283"/>
      <c r="D58" s="283"/>
      <c r="E58" s="283"/>
      <c r="F58" s="283"/>
      <c r="G58" s="283"/>
      <c r="H58" s="72"/>
      <c r="I58" s="86">
        <v>14.99</v>
      </c>
      <c r="J58" s="71"/>
    </row>
    <row r="59" spans="1:10">
      <c r="A59" s="75" t="s">
        <v>26</v>
      </c>
      <c r="B59" s="284" t="s">
        <v>37</v>
      </c>
      <c r="C59" s="285"/>
      <c r="D59" s="285"/>
      <c r="E59" s="285"/>
      <c r="F59" s="285"/>
      <c r="G59" s="286"/>
      <c r="H59" s="72" t="s">
        <v>214</v>
      </c>
      <c r="I59" s="86">
        <v>0</v>
      </c>
      <c r="J59" s="71"/>
    </row>
    <row r="60" spans="1:10">
      <c r="A60" s="277" t="s">
        <v>217</v>
      </c>
      <c r="B60" s="277"/>
      <c r="C60" s="277"/>
      <c r="D60" s="277"/>
      <c r="E60" s="277"/>
      <c r="F60" s="277"/>
      <c r="G60" s="277"/>
      <c r="H60" s="277"/>
      <c r="I60" s="80">
        <f>SUM(I55:I59)</f>
        <v>725.49</v>
      </c>
      <c r="J60" s="71"/>
    </row>
    <row r="61" spans="1:10">
      <c r="A61" s="282"/>
      <c r="B61" s="293"/>
      <c r="C61" s="293"/>
      <c r="D61" s="293"/>
      <c r="E61" s="293"/>
      <c r="F61" s="293"/>
      <c r="G61" s="293"/>
      <c r="H61" s="293"/>
      <c r="I61" s="293"/>
      <c r="J61" s="71"/>
    </row>
    <row r="62" spans="1:10">
      <c r="A62" s="267" t="s">
        <v>218</v>
      </c>
      <c r="B62" s="267"/>
      <c r="C62" s="267"/>
      <c r="D62" s="267"/>
      <c r="E62" s="267"/>
      <c r="F62" s="267"/>
      <c r="G62" s="267"/>
      <c r="H62" s="267"/>
      <c r="I62" s="267"/>
      <c r="J62" s="71"/>
    </row>
    <row r="63" spans="1:10">
      <c r="A63" s="277" t="s">
        <v>219</v>
      </c>
      <c r="B63" s="277"/>
      <c r="C63" s="277"/>
      <c r="D63" s="277"/>
      <c r="E63" s="277"/>
      <c r="F63" s="277"/>
      <c r="G63" s="277"/>
      <c r="H63" s="277"/>
      <c r="I63" s="75" t="s">
        <v>196</v>
      </c>
      <c r="J63" s="71"/>
    </row>
    <row r="64" spans="1:10">
      <c r="A64" s="75" t="s">
        <v>69</v>
      </c>
      <c r="B64" s="268" t="s">
        <v>220</v>
      </c>
      <c r="C64" s="268"/>
      <c r="D64" s="268"/>
      <c r="E64" s="268"/>
      <c r="F64" s="268"/>
      <c r="G64" s="268"/>
      <c r="H64" s="268"/>
      <c r="I64" s="77">
        <f>I41</f>
        <v>661.2</v>
      </c>
      <c r="J64" s="71"/>
    </row>
    <row r="65" spans="1:10">
      <c r="A65" s="75" t="s">
        <v>77</v>
      </c>
      <c r="B65" s="268" t="s">
        <v>221</v>
      </c>
      <c r="C65" s="268"/>
      <c r="D65" s="268"/>
      <c r="E65" s="268"/>
      <c r="F65" s="268"/>
      <c r="G65" s="268"/>
      <c r="H65" s="268"/>
      <c r="I65" s="77">
        <f>I52</f>
        <v>1434.11</v>
      </c>
      <c r="J65" s="71"/>
    </row>
    <row r="66" spans="1:10">
      <c r="A66" s="75" t="s">
        <v>89</v>
      </c>
      <c r="B66" s="268" t="s">
        <v>90</v>
      </c>
      <c r="C66" s="268"/>
      <c r="D66" s="268"/>
      <c r="E66" s="268"/>
      <c r="F66" s="268"/>
      <c r="G66" s="268"/>
      <c r="H66" s="268"/>
      <c r="I66" s="77">
        <f>I60</f>
        <v>725.49</v>
      </c>
      <c r="J66" s="71"/>
    </row>
    <row r="67" spans="1:10">
      <c r="A67" s="277" t="s">
        <v>222</v>
      </c>
      <c r="B67" s="277"/>
      <c r="C67" s="277"/>
      <c r="D67" s="277"/>
      <c r="E67" s="277"/>
      <c r="F67" s="277"/>
      <c r="G67" s="277"/>
      <c r="H67" s="277"/>
      <c r="I67" s="80">
        <f>SUM(I64:I66)</f>
        <v>2820.8</v>
      </c>
      <c r="J67" s="71"/>
    </row>
    <row r="68" spans="1:10">
      <c r="A68" s="290"/>
      <c r="B68" s="291"/>
      <c r="C68" s="291"/>
      <c r="D68" s="291"/>
      <c r="E68" s="291"/>
      <c r="F68" s="291"/>
      <c r="G68" s="291"/>
      <c r="H68" s="291"/>
      <c r="I68" s="291"/>
      <c r="J68" s="71"/>
    </row>
    <row r="69" spans="1:10">
      <c r="A69" s="276" t="s">
        <v>223</v>
      </c>
      <c r="B69" s="276"/>
      <c r="C69" s="276"/>
      <c r="D69" s="276"/>
      <c r="E69" s="276"/>
      <c r="F69" s="276"/>
      <c r="G69" s="276"/>
      <c r="H69" s="276"/>
      <c r="I69" s="276"/>
      <c r="J69" s="71"/>
    </row>
    <row r="70" spans="1:10">
      <c r="A70" s="75">
        <v>3</v>
      </c>
      <c r="B70" s="277" t="s">
        <v>224</v>
      </c>
      <c r="C70" s="277"/>
      <c r="D70" s="277"/>
      <c r="E70" s="277"/>
      <c r="F70" s="277"/>
      <c r="G70" s="277"/>
      <c r="H70" s="75" t="s">
        <v>34</v>
      </c>
      <c r="I70" s="75" t="s">
        <v>196</v>
      </c>
      <c r="J70" s="71"/>
    </row>
    <row r="71" spans="1:10">
      <c r="A71" s="75" t="s">
        <v>21</v>
      </c>
      <c r="B71" s="268" t="s">
        <v>100</v>
      </c>
      <c r="C71" s="268"/>
      <c r="D71" s="268"/>
      <c r="E71" s="268"/>
      <c r="F71" s="268"/>
      <c r="G71" s="268"/>
      <c r="H71" s="83">
        <f>(1/12)*5.5%</f>
        <v>4.5833333333333334E-3</v>
      </c>
      <c r="I71" s="77">
        <f>TRUNC(H71*$I$35,2)</f>
        <v>14.83</v>
      </c>
      <c r="J71" s="71"/>
    </row>
    <row r="72" spans="1:10">
      <c r="A72" s="75" t="s">
        <v>22</v>
      </c>
      <c r="B72" s="268" t="s">
        <v>225</v>
      </c>
      <c r="C72" s="268"/>
      <c r="D72" s="268"/>
      <c r="E72" s="268"/>
      <c r="F72" s="268"/>
      <c r="G72" s="268"/>
      <c r="H72" s="83">
        <f>H51*H71</f>
        <v>3.6666666666666667E-4</v>
      </c>
      <c r="I72" s="77">
        <f>TRUNC(H72*$I$35,2)</f>
        <v>1.18</v>
      </c>
      <c r="J72" s="71"/>
    </row>
    <row r="73" spans="1:10">
      <c r="A73" s="75" t="s">
        <v>23</v>
      </c>
      <c r="B73" s="268" t="s">
        <v>226</v>
      </c>
      <c r="C73" s="268"/>
      <c r="D73" s="268"/>
      <c r="E73" s="268"/>
      <c r="F73" s="268"/>
      <c r="G73" s="268"/>
      <c r="H73" s="83">
        <f>((7/30)/12)</f>
        <v>1.9444444444444445E-2</v>
      </c>
      <c r="I73" s="77">
        <f>TRUNC(H73*$I$35,2)</f>
        <v>62.92</v>
      </c>
      <c r="J73" s="71"/>
    </row>
    <row r="74" spans="1:10">
      <c r="A74" s="75" t="s">
        <v>24</v>
      </c>
      <c r="B74" s="268" t="s">
        <v>155</v>
      </c>
      <c r="C74" s="268"/>
      <c r="D74" s="268"/>
      <c r="E74" s="268"/>
      <c r="F74" s="268"/>
      <c r="G74" s="268"/>
      <c r="H74" s="84">
        <f>H52*H73</f>
        <v>7.1555555555555565E-3</v>
      </c>
      <c r="I74" s="77">
        <f>TRUNC(H74*$I$35,2)</f>
        <v>23.15</v>
      </c>
      <c r="J74" s="71"/>
    </row>
    <row r="75" spans="1:10" ht="24.75" customHeight="1">
      <c r="A75" s="75" t="s">
        <v>26</v>
      </c>
      <c r="B75" s="287" t="s">
        <v>227</v>
      </c>
      <c r="C75" s="287"/>
      <c r="D75" s="287"/>
      <c r="E75" s="287"/>
      <c r="F75" s="287"/>
      <c r="G75" s="287"/>
      <c r="H75" s="83">
        <v>0.04</v>
      </c>
      <c r="I75" s="77">
        <f>TRUNC(H75*$I$35,2)</f>
        <v>129.43</v>
      </c>
      <c r="J75" s="71"/>
    </row>
    <row r="76" spans="1:10">
      <c r="A76" s="277" t="s">
        <v>228</v>
      </c>
      <c r="B76" s="277"/>
      <c r="C76" s="277"/>
      <c r="D76" s="277"/>
      <c r="E76" s="277"/>
      <c r="F76" s="277"/>
      <c r="G76" s="277"/>
      <c r="H76" s="85">
        <v>8.1000000000000003E-2</v>
      </c>
      <c r="I76" s="80">
        <f>SUM(I71:I75)</f>
        <v>231.51000000000002</v>
      </c>
      <c r="J76" s="71"/>
    </row>
    <row r="77" spans="1:10">
      <c r="A77" s="288"/>
      <c r="B77" s="289"/>
      <c r="C77" s="289"/>
      <c r="D77" s="289"/>
      <c r="E77" s="289"/>
      <c r="F77" s="289"/>
      <c r="G77" s="289"/>
      <c r="H77" s="289"/>
      <c r="I77" s="289"/>
      <c r="J77" s="71"/>
    </row>
    <row r="78" spans="1:10">
      <c r="A78" s="276" t="s">
        <v>229</v>
      </c>
      <c r="B78" s="276"/>
      <c r="C78" s="276"/>
      <c r="D78" s="276"/>
      <c r="E78" s="276"/>
      <c r="F78" s="276"/>
      <c r="G78" s="276"/>
      <c r="H78" s="276"/>
      <c r="I78" s="276"/>
      <c r="J78" s="71"/>
    </row>
    <row r="79" spans="1:10">
      <c r="A79" s="277" t="s">
        <v>230</v>
      </c>
      <c r="B79" s="277"/>
      <c r="C79" s="277"/>
      <c r="D79" s="277"/>
      <c r="E79" s="277"/>
      <c r="F79" s="277"/>
      <c r="G79" s="277"/>
      <c r="H79" s="75" t="s">
        <v>34</v>
      </c>
      <c r="I79" s="75" t="s">
        <v>196</v>
      </c>
      <c r="J79" s="71"/>
    </row>
    <row r="80" spans="1:10">
      <c r="A80" s="75" t="s">
        <v>21</v>
      </c>
      <c r="B80" s="268" t="s">
        <v>231</v>
      </c>
      <c r="C80" s="268"/>
      <c r="D80" s="268"/>
      <c r="E80" s="268"/>
      <c r="F80" s="268"/>
      <c r="G80" s="268"/>
      <c r="H80" s="83">
        <f>((1/12)+(1/12)+((1/12)/3))/12</f>
        <v>1.6203703703703703E-2</v>
      </c>
      <c r="I80" s="77">
        <f>TRUNC($I$35*H80,2)</f>
        <v>52.43</v>
      </c>
      <c r="J80" s="71"/>
    </row>
    <row r="81" spans="1:10">
      <c r="A81" s="75" t="s">
        <v>22</v>
      </c>
      <c r="B81" s="268" t="s">
        <v>232</v>
      </c>
      <c r="C81" s="268"/>
      <c r="D81" s="268"/>
      <c r="E81" s="268"/>
      <c r="F81" s="268"/>
      <c r="G81" s="268"/>
      <c r="H81" s="83">
        <f>(1/30)/12</f>
        <v>2.7777777777777779E-3</v>
      </c>
      <c r="I81" s="77">
        <f>TRUNC($I$35*H81,2)</f>
        <v>8.98</v>
      </c>
      <c r="J81" s="71"/>
    </row>
    <row r="82" spans="1:10">
      <c r="A82" s="75" t="s">
        <v>23</v>
      </c>
      <c r="B82" s="268" t="s">
        <v>233</v>
      </c>
      <c r="C82" s="268"/>
      <c r="D82" s="268"/>
      <c r="E82" s="268"/>
      <c r="F82" s="268"/>
      <c r="G82" s="268"/>
      <c r="H82" s="83">
        <f>((5/30)/12)*1.5%</f>
        <v>2.0833333333333332E-4</v>
      </c>
      <c r="I82" s="77">
        <f>TRUNC($I$35*H82,2)</f>
        <v>0.67</v>
      </c>
      <c r="J82" s="71"/>
    </row>
    <row r="83" spans="1:10">
      <c r="A83" s="75" t="s">
        <v>24</v>
      </c>
      <c r="B83" s="268" t="s">
        <v>234</v>
      </c>
      <c r="C83" s="268"/>
      <c r="D83" s="268"/>
      <c r="E83" s="268"/>
      <c r="F83" s="268"/>
      <c r="G83" s="268"/>
      <c r="H83" s="83">
        <f>((15/30)/12)*8%</f>
        <v>3.3333333333333331E-3</v>
      </c>
      <c r="I83" s="77">
        <f>TRUNC($I$35*H83,2)</f>
        <v>10.78</v>
      </c>
      <c r="J83" s="71"/>
    </row>
    <row r="84" spans="1:10">
      <c r="A84" s="75" t="s">
        <v>26</v>
      </c>
      <c r="B84" s="268" t="s">
        <v>235</v>
      </c>
      <c r="C84" s="268"/>
      <c r="D84" s="268"/>
      <c r="E84" s="268"/>
      <c r="F84" s="268"/>
      <c r="G84" s="268"/>
      <c r="H84" s="83">
        <f>(((4*8.33%)+(4*2.78%))/12)*2%</f>
        <v>7.4066666666666671E-4</v>
      </c>
      <c r="I84" s="77">
        <f>TRUNC($I$35*H84,2)</f>
        <v>2.39</v>
      </c>
      <c r="J84" s="71"/>
    </row>
    <row r="85" spans="1:10">
      <c r="A85" s="75" t="s">
        <v>27</v>
      </c>
      <c r="B85" s="268" t="s">
        <v>236</v>
      </c>
      <c r="C85" s="268"/>
      <c r="D85" s="268"/>
      <c r="E85" s="268"/>
      <c r="F85" s="268"/>
      <c r="G85" s="268"/>
      <c r="H85" s="83">
        <v>0</v>
      </c>
      <c r="I85" s="77">
        <f>TRUNC(($I$35+$I$67+$I$76)*H85,2)</f>
        <v>0</v>
      </c>
      <c r="J85" s="71"/>
    </row>
    <row r="86" spans="1:10">
      <c r="A86" s="277" t="s">
        <v>237</v>
      </c>
      <c r="B86" s="277"/>
      <c r="C86" s="277"/>
      <c r="D86" s="277"/>
      <c r="E86" s="277"/>
      <c r="F86" s="277"/>
      <c r="G86" s="277"/>
      <c r="H86" s="85">
        <f>SUM(H80:H85)</f>
        <v>2.3263814814814817E-2</v>
      </c>
      <c r="I86" s="80">
        <f>SUM(I80:I85)</f>
        <v>75.25</v>
      </c>
      <c r="J86" s="71"/>
    </row>
    <row r="87" spans="1:10">
      <c r="A87" s="292"/>
      <c r="B87" s="293"/>
      <c r="C87" s="293"/>
      <c r="D87" s="293"/>
      <c r="E87" s="293"/>
      <c r="F87" s="293"/>
      <c r="G87" s="293"/>
      <c r="H87" s="293"/>
      <c r="I87" s="293"/>
      <c r="J87" s="71"/>
    </row>
    <row r="88" spans="1:10">
      <c r="A88" s="277" t="s">
        <v>238</v>
      </c>
      <c r="B88" s="277"/>
      <c r="C88" s="277"/>
      <c r="D88" s="277"/>
      <c r="E88" s="277"/>
      <c r="F88" s="277"/>
      <c r="G88" s="277"/>
      <c r="H88" s="75" t="s">
        <v>34</v>
      </c>
      <c r="I88" s="75" t="s">
        <v>196</v>
      </c>
      <c r="J88" s="71"/>
    </row>
    <row r="89" spans="1:10">
      <c r="A89" s="75" t="s">
        <v>21</v>
      </c>
      <c r="B89" s="287" t="s">
        <v>239</v>
      </c>
      <c r="C89" s="268"/>
      <c r="D89" s="268"/>
      <c r="E89" s="268"/>
      <c r="F89" s="268"/>
      <c r="G89" s="268"/>
      <c r="H89" s="83">
        <v>0</v>
      </c>
      <c r="I89" s="77">
        <v>0</v>
      </c>
      <c r="J89" s="71"/>
    </row>
    <row r="90" spans="1:10">
      <c r="A90" s="277" t="s">
        <v>240</v>
      </c>
      <c r="B90" s="277"/>
      <c r="C90" s="277"/>
      <c r="D90" s="277"/>
      <c r="E90" s="277"/>
      <c r="F90" s="277"/>
      <c r="G90" s="277"/>
      <c r="H90" s="85">
        <v>0</v>
      </c>
      <c r="I90" s="80">
        <v>0</v>
      </c>
      <c r="J90" s="71"/>
    </row>
    <row r="91" spans="1:10">
      <c r="A91" s="294"/>
      <c r="B91" s="295"/>
      <c r="C91" s="295"/>
      <c r="D91" s="295"/>
      <c r="E91" s="295"/>
      <c r="F91" s="295"/>
      <c r="G91" s="295"/>
      <c r="H91" s="295"/>
      <c r="I91" s="295"/>
      <c r="J91" s="71"/>
    </row>
    <row r="92" spans="1:10">
      <c r="A92" s="267" t="s">
        <v>241</v>
      </c>
      <c r="B92" s="267"/>
      <c r="C92" s="267"/>
      <c r="D92" s="267"/>
      <c r="E92" s="267"/>
      <c r="F92" s="267"/>
      <c r="G92" s="267"/>
      <c r="H92" s="267"/>
      <c r="I92" s="267"/>
      <c r="J92" s="71"/>
    </row>
    <row r="93" spans="1:10">
      <c r="A93" s="277" t="s">
        <v>242</v>
      </c>
      <c r="B93" s="277"/>
      <c r="C93" s="277"/>
      <c r="D93" s="277"/>
      <c r="E93" s="277"/>
      <c r="F93" s="277"/>
      <c r="G93" s="277"/>
      <c r="H93" s="277"/>
      <c r="I93" s="75" t="s">
        <v>196</v>
      </c>
      <c r="J93" s="71"/>
    </row>
    <row r="94" spans="1:10">
      <c r="A94" s="75" t="s">
        <v>33</v>
      </c>
      <c r="B94" s="268" t="s">
        <v>243</v>
      </c>
      <c r="C94" s="268"/>
      <c r="D94" s="268"/>
      <c r="E94" s="268"/>
      <c r="F94" s="268"/>
      <c r="G94" s="268"/>
      <c r="H94" s="268"/>
      <c r="I94" s="77">
        <f>I86</f>
        <v>75.25</v>
      </c>
      <c r="J94" s="71"/>
    </row>
    <row r="95" spans="1:10">
      <c r="A95" s="75" t="s">
        <v>36</v>
      </c>
      <c r="B95" s="268" t="s">
        <v>164</v>
      </c>
      <c r="C95" s="268"/>
      <c r="D95" s="268"/>
      <c r="E95" s="268"/>
      <c r="F95" s="268"/>
      <c r="G95" s="268"/>
      <c r="H95" s="268"/>
      <c r="I95" s="77">
        <f>I90</f>
        <v>0</v>
      </c>
      <c r="J95" s="71"/>
    </row>
    <row r="96" spans="1:10">
      <c r="A96" s="277" t="s">
        <v>244</v>
      </c>
      <c r="B96" s="277"/>
      <c r="C96" s="277"/>
      <c r="D96" s="277"/>
      <c r="E96" s="277"/>
      <c r="F96" s="277"/>
      <c r="G96" s="277"/>
      <c r="H96" s="277"/>
      <c r="I96" s="80">
        <f>SUM(I94:I95)</f>
        <v>75.25</v>
      </c>
      <c r="J96" s="71"/>
    </row>
    <row r="97" spans="1:10">
      <c r="A97" s="290"/>
      <c r="B97" s="291"/>
      <c r="C97" s="291"/>
      <c r="D97" s="291"/>
      <c r="E97" s="291"/>
      <c r="F97" s="291"/>
      <c r="G97" s="291"/>
      <c r="H97" s="291"/>
      <c r="I97" s="291"/>
      <c r="J97" s="71"/>
    </row>
    <row r="98" spans="1:10">
      <c r="A98" s="276" t="s">
        <v>245</v>
      </c>
      <c r="B98" s="276"/>
      <c r="C98" s="276"/>
      <c r="D98" s="276"/>
      <c r="E98" s="276"/>
      <c r="F98" s="276"/>
      <c r="G98" s="276"/>
      <c r="H98" s="276"/>
      <c r="I98" s="276"/>
      <c r="J98" s="71"/>
    </row>
    <row r="99" spans="1:10">
      <c r="A99" s="75">
        <v>5</v>
      </c>
      <c r="B99" s="277" t="s">
        <v>246</v>
      </c>
      <c r="C99" s="277"/>
      <c r="D99" s="277"/>
      <c r="E99" s="277"/>
      <c r="F99" s="277"/>
      <c r="G99" s="277"/>
      <c r="H99" s="75"/>
      <c r="I99" s="75" t="s">
        <v>196</v>
      </c>
      <c r="J99" s="71"/>
    </row>
    <row r="100" spans="1:10">
      <c r="A100" s="75" t="s">
        <v>21</v>
      </c>
      <c r="B100" s="283" t="s">
        <v>247</v>
      </c>
      <c r="C100" s="283"/>
      <c r="D100" s="283"/>
      <c r="E100" s="283"/>
      <c r="F100" s="283"/>
      <c r="G100" s="283"/>
      <c r="H100" s="72" t="s">
        <v>214</v>
      </c>
      <c r="I100" s="77">
        <f>'Resumo Unif.Equip'!E17</f>
        <v>164.91499999999999</v>
      </c>
      <c r="J100" s="71"/>
    </row>
    <row r="101" spans="1:10">
      <c r="A101" s="75" t="s">
        <v>22</v>
      </c>
      <c r="B101" s="283" t="s">
        <v>32</v>
      </c>
      <c r="C101" s="283"/>
      <c r="D101" s="283"/>
      <c r="E101" s="283"/>
      <c r="F101" s="283"/>
      <c r="G101" s="283"/>
      <c r="H101" s="72" t="s">
        <v>214</v>
      </c>
      <c r="I101" s="77">
        <f>'Resumo Unif.Equip'!F26</f>
        <v>10.731208333333333</v>
      </c>
      <c r="J101" s="71"/>
    </row>
    <row r="102" spans="1:10">
      <c r="A102" s="87" t="s">
        <v>23</v>
      </c>
      <c r="B102" s="283" t="s">
        <v>442</v>
      </c>
      <c r="C102" s="283"/>
      <c r="D102" s="283"/>
      <c r="E102" s="283"/>
      <c r="F102" s="283"/>
      <c r="G102" s="283"/>
      <c r="H102" s="72" t="s">
        <v>214</v>
      </c>
      <c r="I102" s="77">
        <f>'Resumo Unif.Equip'!F40</f>
        <v>7.2115138888888888</v>
      </c>
      <c r="J102" s="71"/>
    </row>
    <row r="103" spans="1:10">
      <c r="A103" s="87" t="s">
        <v>24</v>
      </c>
      <c r="B103" s="283" t="s">
        <v>37</v>
      </c>
      <c r="C103" s="283"/>
      <c r="D103" s="283"/>
      <c r="E103" s="283"/>
      <c r="F103" s="283"/>
      <c r="G103" s="283"/>
      <c r="H103" s="72" t="s">
        <v>214</v>
      </c>
      <c r="I103" s="77">
        <v>0</v>
      </c>
      <c r="J103" s="71"/>
    </row>
    <row r="104" spans="1:10">
      <c r="A104" s="277" t="s">
        <v>248</v>
      </c>
      <c r="B104" s="277"/>
      <c r="C104" s="277"/>
      <c r="D104" s="277"/>
      <c r="E104" s="277"/>
      <c r="F104" s="277"/>
      <c r="G104" s="277"/>
      <c r="H104" s="85" t="s">
        <v>214</v>
      </c>
      <c r="I104" s="80">
        <f>SUM(I100:I103)</f>
        <v>182.85772222222224</v>
      </c>
      <c r="J104" s="71"/>
    </row>
    <row r="105" spans="1:10">
      <c r="A105" s="290"/>
      <c r="B105" s="291"/>
      <c r="C105" s="291"/>
      <c r="D105" s="291"/>
      <c r="E105" s="291"/>
      <c r="F105" s="291"/>
      <c r="G105" s="291"/>
      <c r="H105" s="291"/>
      <c r="I105" s="291"/>
      <c r="J105" s="71"/>
    </row>
    <row r="106" spans="1:10">
      <c r="A106" s="276" t="s">
        <v>249</v>
      </c>
      <c r="B106" s="276"/>
      <c r="C106" s="276"/>
      <c r="D106" s="276"/>
      <c r="E106" s="276"/>
      <c r="F106" s="276"/>
      <c r="G106" s="276"/>
      <c r="H106" s="276"/>
      <c r="I106" s="276"/>
      <c r="J106" s="71"/>
    </row>
    <row r="107" spans="1:10">
      <c r="A107" s="75">
        <v>6</v>
      </c>
      <c r="B107" s="277" t="s">
        <v>250</v>
      </c>
      <c r="C107" s="277"/>
      <c r="D107" s="277"/>
      <c r="E107" s="277"/>
      <c r="F107" s="277"/>
      <c r="G107" s="277"/>
      <c r="H107" s="75" t="s">
        <v>34</v>
      </c>
      <c r="I107" s="75" t="s">
        <v>196</v>
      </c>
      <c r="J107" s="71"/>
    </row>
    <row r="108" spans="1:10">
      <c r="A108" s="75" t="s">
        <v>21</v>
      </c>
      <c r="B108" s="268" t="s">
        <v>251</v>
      </c>
      <c r="C108" s="268"/>
      <c r="D108" s="268"/>
      <c r="E108" s="268"/>
      <c r="F108" s="268"/>
      <c r="G108" s="268"/>
      <c r="H108" s="88">
        <v>0.06</v>
      </c>
      <c r="I108" s="77">
        <f>TRUNC((($I$35+$I$67+$I$76+$I$96+$I$104)*H108),2)</f>
        <v>392.78</v>
      </c>
      <c r="J108" s="71"/>
    </row>
    <row r="109" spans="1:10">
      <c r="A109" s="75" t="s">
        <v>22</v>
      </c>
      <c r="B109" s="268" t="s">
        <v>252</v>
      </c>
      <c r="C109" s="268"/>
      <c r="D109" s="268"/>
      <c r="E109" s="268"/>
      <c r="F109" s="268"/>
      <c r="G109" s="268"/>
      <c r="H109" s="88">
        <v>6.7900000000000002E-2</v>
      </c>
      <c r="I109" s="77">
        <f>TRUNC((($I$35+$I$67+$I$76+$I$96+$I$104+I108)*H109),2)</f>
        <v>471.16</v>
      </c>
      <c r="J109" s="71"/>
    </row>
    <row r="110" spans="1:10">
      <c r="A110" s="75" t="s">
        <v>23</v>
      </c>
      <c r="B110" s="296" t="s">
        <v>253</v>
      </c>
      <c r="C110" s="296"/>
      <c r="D110" s="296"/>
      <c r="E110" s="296"/>
      <c r="F110" s="296"/>
      <c r="G110" s="296"/>
      <c r="H110" s="78"/>
      <c r="I110" s="89"/>
      <c r="J110" s="71"/>
    </row>
    <row r="111" spans="1:10">
      <c r="A111" s="75" t="s">
        <v>254</v>
      </c>
      <c r="B111" s="268" t="s">
        <v>290</v>
      </c>
      <c r="C111" s="268"/>
      <c r="D111" s="268"/>
      <c r="E111" s="268"/>
      <c r="F111" s="268"/>
      <c r="G111" s="268"/>
      <c r="H111" s="90">
        <v>6.4999999999999997E-3</v>
      </c>
      <c r="I111" s="77">
        <f>TRUNC(H111*I121,2)</f>
        <v>51.59</v>
      </c>
      <c r="J111" s="71"/>
    </row>
    <row r="112" spans="1:10">
      <c r="A112" s="75" t="s">
        <v>255</v>
      </c>
      <c r="B112" s="268" t="s">
        <v>291</v>
      </c>
      <c r="C112" s="268"/>
      <c r="D112" s="268"/>
      <c r="E112" s="268"/>
      <c r="F112" s="268"/>
      <c r="G112" s="268"/>
      <c r="H112" s="90">
        <v>0.03</v>
      </c>
      <c r="I112" s="77">
        <f>TRUNC(H112*I121,2)</f>
        <v>238.14</v>
      </c>
      <c r="J112" s="71"/>
    </row>
    <row r="113" spans="1:10">
      <c r="A113" s="75" t="s">
        <v>256</v>
      </c>
      <c r="B113" s="268" t="s">
        <v>257</v>
      </c>
      <c r="C113" s="268"/>
      <c r="D113" s="268"/>
      <c r="E113" s="268"/>
      <c r="F113" s="268"/>
      <c r="G113" s="268"/>
      <c r="H113" s="90">
        <v>0.03</v>
      </c>
      <c r="I113" s="77">
        <f>TRUNC(H113*I121,2)</f>
        <v>238.14</v>
      </c>
      <c r="J113" s="102"/>
    </row>
    <row r="114" spans="1:10">
      <c r="A114" s="277" t="s">
        <v>258</v>
      </c>
      <c r="B114" s="277"/>
      <c r="C114" s="277"/>
      <c r="D114" s="277"/>
      <c r="E114" s="277"/>
      <c r="F114" s="277"/>
      <c r="G114" s="277"/>
      <c r="H114" s="90">
        <f>SUM(H108:H113)</f>
        <v>0.19440000000000002</v>
      </c>
      <c r="I114" s="80">
        <f>SUM(I108:I113)</f>
        <v>1391.81</v>
      </c>
      <c r="J114" s="71"/>
    </row>
    <row r="115" spans="1:10">
      <c r="A115" s="73"/>
      <c r="B115" s="297"/>
      <c r="C115" s="297"/>
      <c r="D115" s="297"/>
      <c r="E115" s="297"/>
      <c r="F115" s="297"/>
      <c r="G115" s="297"/>
      <c r="H115" s="297"/>
      <c r="I115" s="297"/>
      <c r="J115" s="3"/>
    </row>
    <row r="116" spans="1:10">
      <c r="A116" s="91" t="s">
        <v>259</v>
      </c>
      <c r="B116" s="298" t="s">
        <v>260</v>
      </c>
      <c r="C116" s="298"/>
      <c r="D116" s="298"/>
      <c r="E116" s="298"/>
      <c r="F116" s="298"/>
      <c r="G116" s="298"/>
      <c r="H116" s="92">
        <f>H111+H112+H113</f>
        <v>6.6500000000000004E-2</v>
      </c>
      <c r="I116" s="93"/>
      <c r="J116" s="3"/>
    </row>
    <row r="117" spans="1:10">
      <c r="A117" s="94"/>
      <c r="B117" s="299">
        <v>100</v>
      </c>
      <c r="C117" s="299"/>
      <c r="D117" s="299"/>
      <c r="E117" s="299"/>
      <c r="F117" s="299"/>
      <c r="G117" s="299"/>
      <c r="H117" s="95"/>
      <c r="I117" s="96"/>
      <c r="J117" s="3"/>
    </row>
    <row r="118" spans="1:10">
      <c r="A118" s="97"/>
      <c r="B118" s="98"/>
      <c r="C118" s="98"/>
      <c r="D118" s="98"/>
      <c r="E118" s="98"/>
      <c r="F118" s="98"/>
      <c r="G118" s="98"/>
      <c r="H118" s="95"/>
      <c r="I118" s="96"/>
      <c r="J118" s="3"/>
    </row>
    <row r="119" spans="1:10">
      <c r="A119" s="94" t="s">
        <v>261</v>
      </c>
      <c r="B119" s="299" t="s">
        <v>262</v>
      </c>
      <c r="C119" s="299"/>
      <c r="D119" s="299"/>
      <c r="E119" s="299"/>
      <c r="F119" s="299"/>
      <c r="G119" s="299"/>
      <c r="H119" s="95"/>
      <c r="I119" s="96">
        <f>I35+I67+I76+I96+I104+I108+I109</f>
        <v>7410.2977222222216</v>
      </c>
      <c r="J119" s="3"/>
    </row>
    <row r="120" spans="1:10">
      <c r="A120" s="94"/>
      <c r="B120" s="98"/>
      <c r="C120" s="98"/>
      <c r="D120" s="98"/>
      <c r="E120" s="98"/>
      <c r="F120" s="98"/>
      <c r="G120" s="98"/>
      <c r="H120" s="95"/>
      <c r="I120" s="96"/>
      <c r="J120" s="3"/>
    </row>
    <row r="121" spans="1:10">
      <c r="A121" s="94" t="s">
        <v>263</v>
      </c>
      <c r="B121" s="299" t="s">
        <v>264</v>
      </c>
      <c r="C121" s="299"/>
      <c r="D121" s="299"/>
      <c r="E121" s="299"/>
      <c r="F121" s="299"/>
      <c r="G121" s="299"/>
      <c r="H121" s="95"/>
      <c r="I121" s="96">
        <f>TRUNC(I119/(1-H116),2)</f>
        <v>7938.18</v>
      </c>
      <c r="J121" s="3"/>
    </row>
    <row r="122" spans="1:10">
      <c r="A122" s="94"/>
      <c r="B122" s="98"/>
      <c r="C122" s="98"/>
      <c r="D122" s="98"/>
      <c r="E122" s="98"/>
      <c r="F122" s="98"/>
      <c r="G122" s="98"/>
      <c r="H122" s="95"/>
      <c r="I122" s="96"/>
      <c r="J122" s="3"/>
    </row>
    <row r="123" spans="1:10">
      <c r="A123" s="99"/>
      <c r="B123" s="300" t="s">
        <v>265</v>
      </c>
      <c r="C123" s="300"/>
      <c r="D123" s="300"/>
      <c r="E123" s="300"/>
      <c r="F123" s="300"/>
      <c r="G123" s="300"/>
      <c r="H123" s="100"/>
      <c r="I123" s="101">
        <f>I121-I119</f>
        <v>527.88227777777865</v>
      </c>
      <c r="J123" s="3"/>
    </row>
    <row r="124" spans="1:10">
      <c r="A124" s="73"/>
      <c r="B124" s="73"/>
      <c r="C124" s="73"/>
      <c r="D124" s="73"/>
      <c r="E124" s="73"/>
      <c r="F124" s="73"/>
      <c r="G124" s="73"/>
      <c r="H124" s="73"/>
      <c r="I124" s="82"/>
      <c r="J124" s="3"/>
    </row>
    <row r="125" spans="1:10">
      <c r="A125" s="267" t="s">
        <v>266</v>
      </c>
      <c r="B125" s="267"/>
      <c r="C125" s="267"/>
      <c r="D125" s="267"/>
      <c r="E125" s="267"/>
      <c r="F125" s="267"/>
      <c r="G125" s="267"/>
      <c r="H125" s="267"/>
      <c r="I125" s="267"/>
      <c r="J125" s="3"/>
    </row>
    <row r="126" spans="1:10">
      <c r="A126" s="277" t="s">
        <v>267</v>
      </c>
      <c r="B126" s="277"/>
      <c r="C126" s="277"/>
      <c r="D126" s="277"/>
      <c r="E126" s="277"/>
      <c r="F126" s="277"/>
      <c r="G126" s="277"/>
      <c r="H126" s="277"/>
      <c r="I126" s="75" t="s">
        <v>196</v>
      </c>
      <c r="J126" s="3"/>
    </row>
    <row r="127" spans="1:10">
      <c r="A127" s="72" t="s">
        <v>21</v>
      </c>
      <c r="B127" s="268" t="s">
        <v>194</v>
      </c>
      <c r="C127" s="268"/>
      <c r="D127" s="268"/>
      <c r="E127" s="268"/>
      <c r="F127" s="268"/>
      <c r="G127" s="268"/>
      <c r="H127" s="268"/>
      <c r="I127" s="77">
        <f>I35</f>
        <v>3235.94</v>
      </c>
    </row>
    <row r="128" spans="1:10">
      <c r="A128" s="72" t="s">
        <v>22</v>
      </c>
      <c r="B128" s="268" t="s">
        <v>200</v>
      </c>
      <c r="C128" s="268"/>
      <c r="D128" s="268"/>
      <c r="E128" s="268"/>
      <c r="F128" s="268"/>
      <c r="G128" s="268"/>
      <c r="H128" s="268"/>
      <c r="I128" s="77">
        <f>I67</f>
        <v>2820.8</v>
      </c>
    </row>
    <row r="129" spans="1:9">
      <c r="A129" s="72" t="s">
        <v>23</v>
      </c>
      <c r="B129" s="268" t="s">
        <v>223</v>
      </c>
      <c r="C129" s="268"/>
      <c r="D129" s="268"/>
      <c r="E129" s="268"/>
      <c r="F129" s="268"/>
      <c r="G129" s="268"/>
      <c r="H129" s="268"/>
      <c r="I129" s="77">
        <f>I76</f>
        <v>231.51000000000002</v>
      </c>
    </row>
    <row r="130" spans="1:9">
      <c r="A130" s="72" t="s">
        <v>24</v>
      </c>
      <c r="B130" s="268" t="s">
        <v>229</v>
      </c>
      <c r="C130" s="268"/>
      <c r="D130" s="268"/>
      <c r="E130" s="268"/>
      <c r="F130" s="268"/>
      <c r="G130" s="268"/>
      <c r="H130" s="268"/>
      <c r="I130" s="77">
        <f>I96</f>
        <v>75.25</v>
      </c>
    </row>
    <row r="131" spans="1:9">
      <c r="A131" s="72" t="s">
        <v>26</v>
      </c>
      <c r="B131" s="268" t="s">
        <v>245</v>
      </c>
      <c r="C131" s="268"/>
      <c r="D131" s="268"/>
      <c r="E131" s="268"/>
      <c r="F131" s="268"/>
      <c r="G131" s="268"/>
      <c r="H131" s="268"/>
      <c r="I131" s="77">
        <f>I104</f>
        <v>182.85772222222224</v>
      </c>
    </row>
    <row r="132" spans="1:9">
      <c r="A132" s="75"/>
      <c r="B132" s="277" t="s">
        <v>268</v>
      </c>
      <c r="C132" s="277"/>
      <c r="D132" s="277"/>
      <c r="E132" s="277"/>
      <c r="F132" s="277"/>
      <c r="G132" s="277"/>
      <c r="H132" s="277"/>
      <c r="I132" s="80">
        <f>SUM(I127:I131)</f>
        <v>6546.357722222222</v>
      </c>
    </row>
    <row r="133" spans="1:9">
      <c r="A133" s="72" t="s">
        <v>27</v>
      </c>
      <c r="B133" s="268" t="s">
        <v>249</v>
      </c>
      <c r="C133" s="268"/>
      <c r="D133" s="268"/>
      <c r="E133" s="268"/>
      <c r="F133" s="268"/>
      <c r="G133" s="268"/>
      <c r="H133" s="268"/>
      <c r="I133" s="77">
        <f>I114</f>
        <v>1391.81</v>
      </c>
    </row>
    <row r="134" spans="1:9">
      <c r="A134" s="277" t="s">
        <v>269</v>
      </c>
      <c r="B134" s="277"/>
      <c r="C134" s="277"/>
      <c r="D134" s="277"/>
      <c r="E134" s="277"/>
      <c r="F134" s="277"/>
      <c r="G134" s="277"/>
      <c r="H134" s="277"/>
      <c r="I134" s="80">
        <f>I132+I133</f>
        <v>7938.1677222222224</v>
      </c>
    </row>
    <row r="135" spans="1:9">
      <c r="A135" s="277" t="s">
        <v>457</v>
      </c>
      <c r="B135" s="277"/>
      <c r="C135" s="277"/>
      <c r="D135" s="277"/>
      <c r="E135" s="277"/>
      <c r="F135" s="277"/>
      <c r="G135" s="277"/>
      <c r="H135" s="277"/>
      <c r="I135" s="80">
        <f>TRUNC(I134*2,2)</f>
        <v>15876.33</v>
      </c>
    </row>
    <row r="136" spans="1:9">
      <c r="A136" s="3"/>
      <c r="B136" s="3"/>
      <c r="C136" s="3"/>
      <c r="D136" s="3"/>
      <c r="E136" s="3"/>
      <c r="F136" s="3"/>
      <c r="G136" s="3"/>
      <c r="H136" s="3"/>
      <c r="I136" s="102"/>
    </row>
    <row r="137" spans="1:9" hidden="1">
      <c r="A137" s="73"/>
      <c r="B137" s="271" t="s">
        <v>270</v>
      </c>
      <c r="C137" s="271"/>
      <c r="D137" s="271"/>
      <c r="E137" s="271"/>
      <c r="F137" s="271"/>
      <c r="G137" s="271"/>
      <c r="H137" s="81"/>
      <c r="I137" s="81"/>
    </row>
    <row r="138" spans="1:9" ht="65.5" hidden="1" thickBot="1">
      <c r="A138" s="312" t="s">
        <v>271</v>
      </c>
      <c r="B138" s="313"/>
      <c r="C138" s="312" t="s">
        <v>272</v>
      </c>
      <c r="D138" s="313"/>
      <c r="E138" s="312" t="s">
        <v>273</v>
      </c>
      <c r="F138" s="313"/>
      <c r="G138" s="103" t="s">
        <v>274</v>
      </c>
      <c r="H138" s="104" t="s">
        <v>275</v>
      </c>
      <c r="I138" s="105" t="s">
        <v>196</v>
      </c>
    </row>
    <row r="139" spans="1:9" hidden="1">
      <c r="A139" s="301" t="s">
        <v>276</v>
      </c>
      <c r="B139" s="302"/>
      <c r="C139" s="303" t="s">
        <v>150</v>
      </c>
      <c r="D139" s="304"/>
      <c r="E139" s="305"/>
      <c r="F139" s="306"/>
      <c r="G139" s="106" t="s">
        <v>150</v>
      </c>
      <c r="H139" s="107"/>
      <c r="I139" s="108">
        <v>0</v>
      </c>
    </row>
    <row r="140" spans="1:9" hidden="1">
      <c r="A140" s="270" t="s">
        <v>277</v>
      </c>
      <c r="B140" s="307"/>
      <c r="C140" s="308" t="s">
        <v>150</v>
      </c>
      <c r="D140" s="309"/>
      <c r="E140" s="310"/>
      <c r="F140" s="311"/>
      <c r="G140" s="109" t="s">
        <v>150</v>
      </c>
      <c r="H140" s="110"/>
      <c r="I140" s="111">
        <v>0</v>
      </c>
    </row>
    <row r="141" spans="1:9" hidden="1">
      <c r="A141" s="270" t="s">
        <v>278</v>
      </c>
      <c r="B141" s="307"/>
      <c r="C141" s="308" t="s">
        <v>150</v>
      </c>
      <c r="D141" s="309"/>
      <c r="E141" s="310"/>
      <c r="F141" s="311"/>
      <c r="G141" s="109" t="s">
        <v>150</v>
      </c>
      <c r="H141" s="110"/>
      <c r="I141" s="111">
        <v>0</v>
      </c>
    </row>
    <row r="142" spans="1:9" hidden="1">
      <c r="A142" s="270" t="s">
        <v>279</v>
      </c>
      <c r="B142" s="307"/>
      <c r="C142" s="308" t="s">
        <v>150</v>
      </c>
      <c r="D142" s="309"/>
      <c r="E142" s="310"/>
      <c r="F142" s="311"/>
      <c r="G142" s="109" t="s">
        <v>150</v>
      </c>
      <c r="H142" s="110"/>
      <c r="I142" s="111">
        <v>0</v>
      </c>
    </row>
    <row r="143" spans="1:9" hidden="1">
      <c r="A143" s="338"/>
      <c r="B143" s="288"/>
      <c r="C143" s="310"/>
      <c r="D143" s="311"/>
      <c r="E143" s="310"/>
      <c r="F143" s="311"/>
      <c r="G143" s="112"/>
      <c r="H143" s="113"/>
      <c r="I143" s="111"/>
    </row>
    <row r="144" spans="1:9" ht="15" hidden="1" thickBot="1">
      <c r="A144" s="339"/>
      <c r="B144" s="340"/>
      <c r="C144" s="341"/>
      <c r="D144" s="342"/>
      <c r="E144" s="341"/>
      <c r="F144" s="342"/>
      <c r="G144" s="114"/>
      <c r="H144" s="115"/>
      <c r="I144" s="116"/>
    </row>
    <row r="145" spans="1:9" ht="15" hidden="1" thickBot="1">
      <c r="A145" s="323" t="s">
        <v>280</v>
      </c>
      <c r="B145" s="324"/>
      <c r="C145" s="324"/>
      <c r="D145" s="324"/>
      <c r="E145" s="324"/>
      <c r="F145" s="324"/>
      <c r="G145" s="324"/>
      <c r="H145" s="325"/>
      <c r="I145" s="117">
        <v>0</v>
      </c>
    </row>
    <row r="146" spans="1:9" hidden="1">
      <c r="A146" s="3"/>
      <c r="B146" s="3"/>
      <c r="C146" s="3"/>
      <c r="D146" s="3"/>
      <c r="E146" s="3"/>
      <c r="F146" s="3"/>
      <c r="G146" s="3"/>
      <c r="H146" s="3"/>
      <c r="I146" s="3"/>
    </row>
    <row r="147" spans="1:9" hidden="1">
      <c r="A147" s="73" t="s">
        <v>281</v>
      </c>
      <c r="B147" s="271" t="s">
        <v>282</v>
      </c>
      <c r="C147" s="271"/>
      <c r="D147" s="271"/>
      <c r="E147" s="271"/>
      <c r="F147" s="271"/>
      <c r="G147" s="271"/>
      <c r="H147" s="81"/>
      <c r="I147" s="81"/>
    </row>
    <row r="148" spans="1:9" ht="15" hidden="1" thickBot="1">
      <c r="A148" s="326" t="s">
        <v>283</v>
      </c>
      <c r="B148" s="327"/>
      <c r="C148" s="327"/>
      <c r="D148" s="327"/>
      <c r="E148" s="327"/>
      <c r="F148" s="327"/>
      <c r="G148" s="327"/>
      <c r="H148" s="327"/>
      <c r="I148" s="328"/>
    </row>
    <row r="149" spans="1:9" ht="15" hidden="1" thickBot="1">
      <c r="A149" s="118"/>
      <c r="B149" s="332" t="s">
        <v>284</v>
      </c>
      <c r="C149" s="333"/>
      <c r="D149" s="333"/>
      <c r="E149" s="333"/>
      <c r="F149" s="333"/>
      <c r="G149" s="333"/>
      <c r="H149" s="334"/>
      <c r="I149" s="105" t="s">
        <v>196</v>
      </c>
    </row>
    <row r="150" spans="1:9" hidden="1">
      <c r="A150" s="119" t="s">
        <v>21</v>
      </c>
      <c r="B150" s="335" t="s">
        <v>285</v>
      </c>
      <c r="C150" s="336"/>
      <c r="D150" s="336"/>
      <c r="E150" s="336"/>
      <c r="F150" s="336"/>
      <c r="G150" s="336"/>
      <c r="H150" s="337"/>
      <c r="I150" s="120">
        <v>115.15</v>
      </c>
    </row>
    <row r="151" spans="1:9" hidden="1">
      <c r="A151" s="121" t="s">
        <v>22</v>
      </c>
      <c r="B151" s="314" t="s">
        <v>286</v>
      </c>
      <c r="C151" s="315"/>
      <c r="D151" s="315"/>
      <c r="E151" s="315"/>
      <c r="F151" s="315"/>
      <c r="G151" s="315"/>
      <c r="H151" s="316"/>
      <c r="I151" s="122" t="e">
        <v>#REF!</v>
      </c>
    </row>
    <row r="152" spans="1:9" ht="15" hidden="1" thickBot="1">
      <c r="A152" s="121" t="s">
        <v>23</v>
      </c>
      <c r="B152" s="317" t="s">
        <v>287</v>
      </c>
      <c r="C152" s="318"/>
      <c r="D152" s="318"/>
      <c r="E152" s="318"/>
      <c r="F152" s="318"/>
      <c r="G152" s="318"/>
      <c r="H152" s="319"/>
      <c r="I152" s="122">
        <v>1641.84</v>
      </c>
    </row>
    <row r="153" spans="1:9" ht="15" hidden="1" thickBot="1">
      <c r="A153" s="320" t="s">
        <v>30</v>
      </c>
      <c r="B153" s="321"/>
      <c r="C153" s="321"/>
      <c r="D153" s="321"/>
      <c r="E153" s="321"/>
      <c r="F153" s="321"/>
      <c r="G153" s="321"/>
      <c r="H153" s="322"/>
      <c r="I153" s="117" t="e">
        <v>#REF!</v>
      </c>
    </row>
    <row r="154" spans="1:9" hidden="1">
      <c r="A154" s="73" t="s">
        <v>288</v>
      </c>
      <c r="B154" s="71" t="s">
        <v>289</v>
      </c>
      <c r="C154" s="3"/>
      <c r="D154" s="3"/>
      <c r="E154" s="3"/>
      <c r="F154" s="3"/>
      <c r="G154" s="3"/>
      <c r="H154" s="3"/>
      <c r="I154" s="3"/>
    </row>
    <row r="155" spans="1:9" hidden="1">
      <c r="A155" s="3"/>
      <c r="B155" s="3"/>
      <c r="C155" s="3"/>
      <c r="D155" s="3"/>
      <c r="E155" s="3"/>
      <c r="F155" s="3"/>
      <c r="G155" s="3"/>
      <c r="H155" s="3"/>
      <c r="I155" s="3"/>
    </row>
    <row r="156" spans="1:9" ht="15" hidden="1" customHeight="1">
      <c r="A156" s="3"/>
      <c r="B156" s="3"/>
      <c r="C156" s="3"/>
      <c r="D156" s="3"/>
      <c r="E156" s="3"/>
      <c r="F156" s="3"/>
      <c r="G156" s="3"/>
      <c r="H156" s="3"/>
      <c r="I156" s="3"/>
    </row>
    <row r="157" spans="1:9" ht="15" customHeight="1">
      <c r="A157" s="331" t="s">
        <v>145</v>
      </c>
      <c r="B157" s="331"/>
      <c r="C157" s="331"/>
      <c r="D157" s="331"/>
      <c r="E157" s="331"/>
      <c r="F157" s="331"/>
      <c r="G157" s="331"/>
      <c r="H157" s="331"/>
      <c r="I157" s="127">
        <f>I134/I35</f>
        <v>2.4531257446745682</v>
      </c>
    </row>
    <row r="158" spans="1:9" ht="31.5" customHeight="1">
      <c r="A158" s="287" t="s">
        <v>146</v>
      </c>
      <c r="B158" s="287"/>
      <c r="C158" s="287"/>
      <c r="D158" s="287"/>
      <c r="E158" s="287"/>
      <c r="F158" s="287"/>
      <c r="G158" s="287"/>
      <c r="H158" s="287"/>
      <c r="I158" s="287"/>
    </row>
    <row r="159" spans="1:9" ht="63" customHeight="1">
      <c r="A159" s="287" t="s">
        <v>147</v>
      </c>
      <c r="B159" s="287"/>
      <c r="C159" s="287"/>
      <c r="D159" s="287"/>
      <c r="E159" s="287"/>
      <c r="F159" s="287"/>
      <c r="G159" s="287"/>
      <c r="H159" s="287"/>
      <c r="I159" s="287"/>
    </row>
    <row r="160" spans="1:9">
      <c r="A160" s="123"/>
      <c r="B160" s="123"/>
      <c r="C160" s="124"/>
    </row>
    <row r="161" spans="1:3">
      <c r="A161" s="125"/>
      <c r="B161" s="3"/>
      <c r="C161" s="3"/>
    </row>
    <row r="162" spans="1:3">
      <c r="A162" s="125"/>
      <c r="B162" s="3"/>
      <c r="C162" s="3"/>
    </row>
  </sheetData>
  <mergeCells count="174">
    <mergeCell ref="A7:I7"/>
    <mergeCell ref="A8:I8"/>
    <mergeCell ref="A9:I9"/>
    <mergeCell ref="B1:I1"/>
    <mergeCell ref="A2:I2"/>
    <mergeCell ref="A3:I3"/>
    <mergeCell ref="A4:I4"/>
    <mergeCell ref="A5:I5"/>
    <mergeCell ref="A6:I6"/>
    <mergeCell ref="A10:I10"/>
    <mergeCell ref="B11:G11"/>
    <mergeCell ref="H11:I11"/>
    <mergeCell ref="B12:G12"/>
    <mergeCell ref="H12:I12"/>
    <mergeCell ref="B13:G13"/>
    <mergeCell ref="H13:I13"/>
    <mergeCell ref="B14:G14"/>
    <mergeCell ref="H14:I14"/>
    <mergeCell ref="A16:I16"/>
    <mergeCell ref="A17:B17"/>
    <mergeCell ref="C17:D17"/>
    <mergeCell ref="E17:I17"/>
    <mergeCell ref="A18:B18"/>
    <mergeCell ref="C18:D18"/>
    <mergeCell ref="E18:I18"/>
    <mergeCell ref="A20:I20"/>
    <mergeCell ref="B21:G21"/>
    <mergeCell ref="H21:I21"/>
    <mergeCell ref="B22:G22"/>
    <mergeCell ref="H22:I22"/>
    <mergeCell ref="B23:G23"/>
    <mergeCell ref="H23:I23"/>
    <mergeCell ref="B24:G24"/>
    <mergeCell ref="H24:I24"/>
    <mergeCell ref="B25:G25"/>
    <mergeCell ref="H25:I25"/>
    <mergeCell ref="A26:I26"/>
    <mergeCell ref="A27:I27"/>
    <mergeCell ref="B28:G28"/>
    <mergeCell ref="B29:G29"/>
    <mergeCell ref="B30:G30"/>
    <mergeCell ref="B31:G31"/>
    <mergeCell ref="B32:G32"/>
    <mergeCell ref="B33:G33"/>
    <mergeCell ref="B34:G34"/>
    <mergeCell ref="A35:H35"/>
    <mergeCell ref="A37:I37"/>
    <mergeCell ref="A38:G38"/>
    <mergeCell ref="B39:G39"/>
    <mergeCell ref="B40:G40"/>
    <mergeCell ref="A41:G41"/>
    <mergeCell ref="A42:I42"/>
    <mergeCell ref="A43:G43"/>
    <mergeCell ref="B44:G44"/>
    <mergeCell ref="B45:G45"/>
    <mergeCell ref="B46:G46"/>
    <mergeCell ref="B47:G47"/>
    <mergeCell ref="B48:G48"/>
    <mergeCell ref="B49:G49"/>
    <mergeCell ref="B50:G50"/>
    <mergeCell ref="B51:G51"/>
    <mergeCell ref="A52:G52"/>
    <mergeCell ref="A53:I53"/>
    <mergeCell ref="A54:G54"/>
    <mergeCell ref="B55:G55"/>
    <mergeCell ref="B56:G56"/>
    <mergeCell ref="B57:G57"/>
    <mergeCell ref="B58:G58"/>
    <mergeCell ref="B59:G59"/>
    <mergeCell ref="A60:H60"/>
    <mergeCell ref="A61:I61"/>
    <mergeCell ref="A62:I62"/>
    <mergeCell ref="A63:H63"/>
    <mergeCell ref="B64:H64"/>
    <mergeCell ref="B65:H65"/>
    <mergeCell ref="B66:H66"/>
    <mergeCell ref="A67:H67"/>
    <mergeCell ref="A68:I68"/>
    <mergeCell ref="A69:I69"/>
    <mergeCell ref="B70:G70"/>
    <mergeCell ref="B71:G71"/>
    <mergeCell ref="B72:G72"/>
    <mergeCell ref="B73:G73"/>
    <mergeCell ref="B74:G74"/>
    <mergeCell ref="B75:G75"/>
    <mergeCell ref="A76:G76"/>
    <mergeCell ref="A77:I77"/>
    <mergeCell ref="A78:I78"/>
    <mergeCell ref="A79:G79"/>
    <mergeCell ref="B80:G80"/>
    <mergeCell ref="B81:G81"/>
    <mergeCell ref="B82:G82"/>
    <mergeCell ref="B83:G83"/>
    <mergeCell ref="B84:G84"/>
    <mergeCell ref="B85:G85"/>
    <mergeCell ref="A86:G86"/>
    <mergeCell ref="A87:I87"/>
    <mergeCell ref="A88:G88"/>
    <mergeCell ref="B89:G89"/>
    <mergeCell ref="A90:G90"/>
    <mergeCell ref="A91:I91"/>
    <mergeCell ref="A92:I92"/>
    <mergeCell ref="A93:H93"/>
    <mergeCell ref="B94:H94"/>
    <mergeCell ref="B95:H95"/>
    <mergeCell ref="A96:H96"/>
    <mergeCell ref="A97:I97"/>
    <mergeCell ref="A98:I98"/>
    <mergeCell ref="B99:G99"/>
    <mergeCell ref="B100:G100"/>
    <mergeCell ref="B101:G101"/>
    <mergeCell ref="B102:G102"/>
    <mergeCell ref="B103:G103"/>
    <mergeCell ref="A104:G104"/>
    <mergeCell ref="A105:I105"/>
    <mergeCell ref="A106:I106"/>
    <mergeCell ref="B107:G107"/>
    <mergeCell ref="B108:G108"/>
    <mergeCell ref="B109:G109"/>
    <mergeCell ref="B110:G110"/>
    <mergeCell ref="B111:G111"/>
    <mergeCell ref="B112:G112"/>
    <mergeCell ref="B113:G113"/>
    <mergeCell ref="A114:G114"/>
    <mergeCell ref="B115:I115"/>
    <mergeCell ref="B116:G116"/>
    <mergeCell ref="B117:G117"/>
    <mergeCell ref="B119:G119"/>
    <mergeCell ref="B121:G121"/>
    <mergeCell ref="B123:G123"/>
    <mergeCell ref="A125:I125"/>
    <mergeCell ref="A126:H126"/>
    <mergeCell ref="B127:H127"/>
    <mergeCell ref="B128:H128"/>
    <mergeCell ref="B129:H129"/>
    <mergeCell ref="B130:H130"/>
    <mergeCell ref="B131:H131"/>
    <mergeCell ref="B132:H132"/>
    <mergeCell ref="B133:H133"/>
    <mergeCell ref="A134:H134"/>
    <mergeCell ref="B137:G137"/>
    <mergeCell ref="A135:H135"/>
    <mergeCell ref="A138:B138"/>
    <mergeCell ref="C138:D138"/>
    <mergeCell ref="E138:F138"/>
    <mergeCell ref="A142:B142"/>
    <mergeCell ref="C142:D142"/>
    <mergeCell ref="E142:F142"/>
    <mergeCell ref="A143:B143"/>
    <mergeCell ref="C143:D143"/>
    <mergeCell ref="E143:F143"/>
    <mergeCell ref="A144:B144"/>
    <mergeCell ref="A139:B139"/>
    <mergeCell ref="C139:D139"/>
    <mergeCell ref="E139:F139"/>
    <mergeCell ref="A140:B140"/>
    <mergeCell ref="C140:D140"/>
    <mergeCell ref="E140:F140"/>
    <mergeCell ref="A141:B141"/>
    <mergeCell ref="C141:D141"/>
    <mergeCell ref="E141:F141"/>
    <mergeCell ref="A158:I158"/>
    <mergeCell ref="A159:I159"/>
    <mergeCell ref="B149:H149"/>
    <mergeCell ref="B150:H150"/>
    <mergeCell ref="B151:H151"/>
    <mergeCell ref="B152:H152"/>
    <mergeCell ref="A153:H153"/>
    <mergeCell ref="A157:H157"/>
    <mergeCell ref="C144:D144"/>
    <mergeCell ref="E144:F144"/>
    <mergeCell ref="A145:H145"/>
    <mergeCell ref="B147:G147"/>
    <mergeCell ref="A148:I148"/>
  </mergeCells>
  <pageMargins left="0.51181102362204722" right="0.51181102362204722" top="0.78740157480314965" bottom="0.78740157480314965" header="0.31496062992125984" footer="0.31496062992125984"/>
  <pageSetup paperSize="9" scale="66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"/>
  <sheetViews>
    <sheetView showGridLines="0" tabSelected="1" workbookViewId="0">
      <selection activeCell="H12" sqref="H12"/>
    </sheetView>
  </sheetViews>
  <sheetFormatPr defaultColWidth="9.1796875" defaultRowHeight="14.5"/>
  <cols>
    <col min="1" max="1" width="13" customWidth="1"/>
    <col min="4" max="4" width="14.54296875" customWidth="1"/>
    <col min="5" max="5" width="6" bestFit="1" customWidth="1"/>
    <col min="6" max="7" width="25.1796875" bestFit="1" customWidth="1"/>
    <col min="8" max="8" width="20.26953125" bestFit="1" customWidth="1"/>
  </cols>
  <sheetData>
    <row r="1" spans="1:8" ht="21.75" customHeight="1" thickBot="1">
      <c r="A1" s="345" t="s">
        <v>446</v>
      </c>
      <c r="B1" s="345"/>
      <c r="C1" s="345"/>
      <c r="D1" s="345"/>
      <c r="E1" s="345"/>
      <c r="F1" s="345"/>
      <c r="G1" s="345"/>
      <c r="H1" s="345"/>
    </row>
    <row r="2" spans="1:8" ht="25.5" customHeight="1">
      <c r="A2" s="346" t="s">
        <v>447</v>
      </c>
      <c r="B2" s="347"/>
      <c r="C2" s="347"/>
      <c r="D2" s="347"/>
      <c r="E2" s="347"/>
      <c r="F2" s="347"/>
      <c r="G2" s="347"/>
      <c r="H2" s="348"/>
    </row>
    <row r="3" spans="1:8" ht="29.25" customHeight="1">
      <c r="A3" s="257" t="s">
        <v>448</v>
      </c>
      <c r="B3" s="258" t="s">
        <v>15</v>
      </c>
      <c r="C3" s="349" t="s">
        <v>449</v>
      </c>
      <c r="D3" s="350"/>
      <c r="E3" s="258" t="s">
        <v>450</v>
      </c>
      <c r="F3" s="258" t="s">
        <v>451</v>
      </c>
      <c r="G3" s="258" t="s">
        <v>452</v>
      </c>
      <c r="H3" s="259" t="s">
        <v>453</v>
      </c>
    </row>
    <row r="4" spans="1:8">
      <c r="A4" s="361" t="s">
        <v>456</v>
      </c>
      <c r="B4" s="362">
        <v>1</v>
      </c>
      <c r="C4" s="343" t="s">
        <v>454</v>
      </c>
      <c r="D4" s="344"/>
      <c r="E4" s="366">
        <v>1</v>
      </c>
      <c r="F4" s="368">
        <f>'PCFP Diurno'!I135</f>
        <v>13441.39</v>
      </c>
      <c r="G4" s="370">
        <f>F4*E4</f>
        <v>13441.39</v>
      </c>
      <c r="H4" s="370">
        <f>G4*12</f>
        <v>161296.68</v>
      </c>
    </row>
    <row r="5" spans="1:8" ht="20.25" customHeight="1">
      <c r="A5" s="361"/>
      <c r="B5" s="363"/>
      <c r="C5" s="364"/>
      <c r="D5" s="365"/>
      <c r="E5" s="367"/>
      <c r="F5" s="369"/>
      <c r="G5" s="371"/>
      <c r="H5" s="371"/>
    </row>
    <row r="6" spans="1:8" ht="28.5" customHeight="1">
      <c r="A6" s="361"/>
      <c r="B6" s="252">
        <v>2</v>
      </c>
      <c r="C6" s="343" t="s">
        <v>455</v>
      </c>
      <c r="D6" s="344"/>
      <c r="E6" s="253">
        <v>1</v>
      </c>
      <c r="F6" s="254">
        <f>'PCFP Noturno'!I135</f>
        <v>15876.33</v>
      </c>
      <c r="G6" s="255">
        <f>F6*E6</f>
        <v>15876.33</v>
      </c>
      <c r="H6" s="256">
        <f>G6*12</f>
        <v>190515.96</v>
      </c>
    </row>
    <row r="7" spans="1:8">
      <c r="A7" s="351" t="s">
        <v>30</v>
      </c>
      <c r="B7" s="352"/>
      <c r="C7" s="352"/>
      <c r="D7" s="352"/>
      <c r="E7" s="352"/>
      <c r="F7" s="353"/>
      <c r="G7" s="357">
        <f>SUM(G4:G6)</f>
        <v>29317.72</v>
      </c>
      <c r="H7" s="359">
        <f>SUM(H4:H6)</f>
        <v>351812.64</v>
      </c>
    </row>
    <row r="8" spans="1:8" ht="4.5" customHeight="1" thickBot="1">
      <c r="A8" s="354"/>
      <c r="B8" s="355"/>
      <c r="C8" s="355"/>
      <c r="D8" s="355"/>
      <c r="E8" s="355"/>
      <c r="F8" s="356"/>
      <c r="G8" s="358"/>
      <c r="H8" s="360"/>
    </row>
  </sheetData>
  <mergeCells count="14">
    <mergeCell ref="C6:D6"/>
    <mergeCell ref="A1:H1"/>
    <mergeCell ref="A2:H2"/>
    <mergeCell ref="C3:D3"/>
    <mergeCell ref="A7:F8"/>
    <mergeCell ref="G7:G8"/>
    <mergeCell ref="H7:H8"/>
    <mergeCell ref="A4:A6"/>
    <mergeCell ref="B4:B5"/>
    <mergeCell ref="C4:D5"/>
    <mergeCell ref="E4:E5"/>
    <mergeCell ref="F4:F5"/>
    <mergeCell ref="G4:G5"/>
    <mergeCell ref="H4:H5"/>
  </mergeCells>
  <pageMargins left="0.51181102362204722" right="0.51181102362204722" top="0.78740157480314965" bottom="0.78740157480314965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0"/>
  <sheetViews>
    <sheetView showGridLines="0" workbookViewId="0">
      <selection activeCell="B36" sqref="B36"/>
    </sheetView>
  </sheetViews>
  <sheetFormatPr defaultColWidth="9.1796875" defaultRowHeight="14.5"/>
  <cols>
    <col min="1" max="1" width="4.1796875" customWidth="1"/>
    <col min="2" max="2" width="56" customWidth="1"/>
    <col min="3" max="3" width="11.7265625" bestFit="1" customWidth="1"/>
    <col min="4" max="4" width="8.54296875" customWidth="1"/>
    <col min="5" max="5" width="11.54296875" customWidth="1"/>
    <col min="6" max="6" width="12.453125" customWidth="1"/>
  </cols>
  <sheetData>
    <row r="1" spans="1:8" ht="21.5" thickBot="1">
      <c r="A1" s="372" t="s">
        <v>458</v>
      </c>
      <c r="B1" s="372"/>
      <c r="C1" s="372"/>
      <c r="D1" s="372"/>
      <c r="E1" s="372"/>
    </row>
    <row r="2" spans="1:8" ht="33" customHeight="1" thickBot="1">
      <c r="A2" s="373" t="s">
        <v>427</v>
      </c>
      <c r="B2" s="374"/>
      <c r="C2" s="374"/>
      <c r="D2" s="374"/>
      <c r="E2" s="375"/>
    </row>
    <row r="3" spans="1:8" ht="21">
      <c r="A3" s="188" t="s">
        <v>15</v>
      </c>
      <c r="B3" s="189" t="s">
        <v>149</v>
      </c>
      <c r="C3" s="213" t="s">
        <v>428</v>
      </c>
      <c r="D3" s="213" t="s">
        <v>429</v>
      </c>
      <c r="E3" s="214" t="s">
        <v>150</v>
      </c>
    </row>
    <row r="4" spans="1:8">
      <c r="A4" s="187">
        <v>1</v>
      </c>
      <c r="B4" s="165" t="s">
        <v>430</v>
      </c>
      <c r="C4" s="215">
        <v>149.9</v>
      </c>
      <c r="D4" s="231">
        <f>'Pesq. Uniforme'!C5</f>
        <v>4</v>
      </c>
      <c r="E4" s="216">
        <f t="shared" ref="E4:E13" si="0">C4*D4</f>
        <v>599.6</v>
      </c>
    </row>
    <row r="5" spans="1:8">
      <c r="A5" s="186">
        <v>2</v>
      </c>
      <c r="B5" s="163" t="s">
        <v>333</v>
      </c>
      <c r="C5" s="217">
        <v>59.73</v>
      </c>
      <c r="D5" s="232">
        <f>'Pesq. Uniforme'!C19</f>
        <v>4</v>
      </c>
      <c r="E5" s="218">
        <f t="shared" si="0"/>
        <v>238.92</v>
      </c>
    </row>
    <row r="6" spans="1:8">
      <c r="A6" s="185">
        <v>3</v>
      </c>
      <c r="B6" s="166" t="s">
        <v>334</v>
      </c>
      <c r="C6" s="215">
        <v>51.4</v>
      </c>
      <c r="D6" s="231">
        <f>'Pesq. Uniforme'!C30</f>
        <v>4</v>
      </c>
      <c r="E6" s="216">
        <f t="shared" si="0"/>
        <v>205.6</v>
      </c>
    </row>
    <row r="7" spans="1:8">
      <c r="A7" s="186">
        <v>4</v>
      </c>
      <c r="B7" s="163" t="s">
        <v>336</v>
      </c>
      <c r="C7" s="217">
        <v>21.95</v>
      </c>
      <c r="D7" s="232">
        <f>'Pesq. Uniforme'!C40</f>
        <v>4</v>
      </c>
      <c r="E7" s="218">
        <f t="shared" si="0"/>
        <v>87.8</v>
      </c>
    </row>
    <row r="8" spans="1:8">
      <c r="A8" s="185">
        <v>5</v>
      </c>
      <c r="B8" s="167" t="s">
        <v>338</v>
      </c>
      <c r="C8" s="215">
        <v>24.98</v>
      </c>
      <c r="D8" s="231">
        <f>'Pesq. Uniforme'!C50</f>
        <v>1</v>
      </c>
      <c r="E8" s="216">
        <f t="shared" si="0"/>
        <v>24.98</v>
      </c>
    </row>
    <row r="9" spans="1:8">
      <c r="A9" s="186">
        <v>6</v>
      </c>
      <c r="B9" s="164" t="s">
        <v>431</v>
      </c>
      <c r="C9" s="217">
        <v>172.93</v>
      </c>
      <c r="D9" s="232">
        <v>2</v>
      </c>
      <c r="E9" s="218">
        <f t="shared" si="0"/>
        <v>345.86</v>
      </c>
    </row>
    <row r="10" spans="1:8">
      <c r="A10" s="185">
        <v>7</v>
      </c>
      <c r="B10" s="169" t="s">
        <v>340</v>
      </c>
      <c r="C10" s="215">
        <v>14.25</v>
      </c>
      <c r="D10" s="231">
        <f>'Pesq. Uniforme'!C84</f>
        <v>6</v>
      </c>
      <c r="E10" s="216">
        <f t="shared" si="0"/>
        <v>85.5</v>
      </c>
    </row>
    <row r="11" spans="1:8">
      <c r="A11" s="186">
        <v>8</v>
      </c>
      <c r="B11" s="163" t="s">
        <v>341</v>
      </c>
      <c r="C11" s="217">
        <v>34.520000000000003</v>
      </c>
      <c r="D11" s="232">
        <f>'Pesq. Uniforme'!C97</f>
        <v>1</v>
      </c>
      <c r="E11" s="218">
        <f t="shared" si="0"/>
        <v>34.520000000000003</v>
      </c>
      <c r="H11" s="230"/>
    </row>
    <row r="12" spans="1:8">
      <c r="A12" s="185">
        <v>9</v>
      </c>
      <c r="B12" s="166" t="s">
        <v>342</v>
      </c>
      <c r="C12" s="215">
        <v>198.97</v>
      </c>
      <c r="D12" s="231">
        <f>'Pesq. Uniforme'!C113</f>
        <v>1</v>
      </c>
      <c r="E12" s="216">
        <f t="shared" si="0"/>
        <v>198.97</v>
      </c>
    </row>
    <row r="13" spans="1:8">
      <c r="A13" s="186">
        <v>10</v>
      </c>
      <c r="B13" s="163" t="s">
        <v>343</v>
      </c>
      <c r="C13" s="217">
        <v>7.63</v>
      </c>
      <c r="D13" s="232">
        <f>'Pesq. Uniforme'!C128</f>
        <v>1</v>
      </c>
      <c r="E13" s="218">
        <f t="shared" si="0"/>
        <v>7.63</v>
      </c>
    </row>
    <row r="14" spans="1:8">
      <c r="A14" s="185">
        <v>11</v>
      </c>
      <c r="B14" s="167" t="s">
        <v>344</v>
      </c>
      <c r="C14" s="215">
        <v>6</v>
      </c>
      <c r="D14" s="231">
        <f>'Pesq. Uniforme'!C136</f>
        <v>1</v>
      </c>
      <c r="E14" s="216">
        <f>C14*D14</f>
        <v>6</v>
      </c>
    </row>
    <row r="15" spans="1:8" ht="15" thickBot="1">
      <c r="A15" s="186">
        <v>12</v>
      </c>
      <c r="B15" s="163" t="s">
        <v>345</v>
      </c>
      <c r="C15" s="217">
        <v>143.6</v>
      </c>
      <c r="D15" s="232">
        <v>1</v>
      </c>
      <c r="E15" s="218">
        <f t="shared" ref="E15" si="1">C15*D15</f>
        <v>143.6</v>
      </c>
    </row>
    <row r="16" spans="1:8" ht="15" thickBot="1">
      <c r="A16" s="191"/>
      <c r="B16" s="376" t="s">
        <v>432</v>
      </c>
      <c r="C16" s="376"/>
      <c r="D16" s="376"/>
      <c r="E16" s="247">
        <f>SUM(E4:E15)</f>
        <v>1978.9799999999998</v>
      </c>
    </row>
    <row r="17" spans="1:9" ht="15" thickBot="1">
      <c r="A17" s="190"/>
      <c r="B17" s="382" t="s">
        <v>433</v>
      </c>
      <c r="C17" s="382"/>
      <c r="D17" s="382"/>
      <c r="E17" s="249">
        <f>SUM(E4:E15)/12</f>
        <v>164.91499999999999</v>
      </c>
    </row>
    <row r="18" spans="1:9" ht="28.5" customHeight="1" thickBot="1">
      <c r="C18" s="150"/>
    </row>
    <row r="19" spans="1:9" ht="30.75" customHeight="1" thickBot="1">
      <c r="A19" s="383" t="s">
        <v>434</v>
      </c>
      <c r="B19" s="384"/>
      <c r="C19" s="384"/>
      <c r="D19" s="384"/>
      <c r="E19" s="384"/>
      <c r="F19" s="385"/>
    </row>
    <row r="20" spans="1:9">
      <c r="A20" s="378" t="s">
        <v>15</v>
      </c>
      <c r="B20" s="380" t="s">
        <v>149</v>
      </c>
      <c r="C20" s="213" t="s">
        <v>437</v>
      </c>
      <c r="D20" s="213" t="s">
        <v>438</v>
      </c>
      <c r="E20" s="213" t="s">
        <v>439</v>
      </c>
      <c r="F20" s="214" t="s">
        <v>440</v>
      </c>
    </row>
    <row r="21" spans="1:9" ht="32.25" customHeight="1">
      <c r="A21" s="379"/>
      <c r="B21" s="381"/>
      <c r="C21" s="224" t="s">
        <v>428</v>
      </c>
      <c r="D21" s="224" t="s">
        <v>435</v>
      </c>
      <c r="E21" s="224" t="s">
        <v>443</v>
      </c>
      <c r="F21" s="225" t="s">
        <v>459</v>
      </c>
    </row>
    <row r="22" spans="1:9">
      <c r="A22" s="185">
        <v>1</v>
      </c>
      <c r="B22" s="170" t="s">
        <v>347</v>
      </c>
      <c r="C22" s="219">
        <v>622</v>
      </c>
      <c r="D22" s="220">
        <f>'[2]Pesq. Equipamentos'!C6</f>
        <v>1</v>
      </c>
      <c r="E22" s="221">
        <v>60</v>
      </c>
      <c r="F22" s="222">
        <f>(C22/E22)*D22</f>
        <v>10.366666666666667</v>
      </c>
      <c r="G22" s="229"/>
    </row>
    <row r="23" spans="1:9">
      <c r="A23" s="192">
        <v>2</v>
      </c>
      <c r="B23" s="260" t="s">
        <v>466</v>
      </c>
      <c r="C23" s="261">
        <v>1230</v>
      </c>
      <c r="D23" s="262">
        <v>1</v>
      </c>
      <c r="E23" s="263">
        <v>60</v>
      </c>
      <c r="F23" s="222">
        <f>(C23/E23)*D23</f>
        <v>20.5</v>
      </c>
      <c r="G23" s="229"/>
    </row>
    <row r="24" spans="1:9" ht="15" thickBot="1">
      <c r="A24" s="242">
        <v>3</v>
      </c>
      <c r="B24" s="243" t="s">
        <v>348</v>
      </c>
      <c r="C24" s="244">
        <v>723.49</v>
      </c>
      <c r="D24" s="245">
        <f>'[2]Pesq. Equipamentos'!C16</f>
        <v>1</v>
      </c>
      <c r="E24" s="246">
        <v>60</v>
      </c>
      <c r="F24" s="241">
        <f>(C24/E24)*D24</f>
        <v>12.058166666666667</v>
      </c>
      <c r="G24" s="229"/>
    </row>
    <row r="25" spans="1:9" ht="15" thickBot="1">
      <c r="A25" s="376" t="s">
        <v>444</v>
      </c>
      <c r="B25" s="376"/>
      <c r="C25" s="376"/>
      <c r="D25" s="376"/>
      <c r="E25" s="376"/>
      <c r="F25" s="247">
        <f>SUM(F22:F24)</f>
        <v>42.924833333333332</v>
      </c>
      <c r="G25" s="229"/>
    </row>
    <row r="26" spans="1:9" ht="15" thickBot="1">
      <c r="A26" s="248"/>
      <c r="B26" s="382" t="s">
        <v>433</v>
      </c>
      <c r="C26" s="382"/>
      <c r="D26" s="382"/>
      <c r="E26" s="382"/>
      <c r="F26" s="249">
        <f>F25/4</f>
        <v>10.731208333333333</v>
      </c>
    </row>
    <row r="27" spans="1:9" ht="32.25" customHeight="1">
      <c r="C27" s="150"/>
    </row>
    <row r="28" spans="1:9" ht="31.5" customHeight="1" thickBot="1">
      <c r="A28" s="386" t="s">
        <v>436</v>
      </c>
      <c r="B28" s="387"/>
      <c r="C28" s="387"/>
      <c r="D28" s="387"/>
      <c r="E28" s="387"/>
      <c r="F28" s="387"/>
    </row>
    <row r="29" spans="1:9">
      <c r="A29" s="378" t="s">
        <v>15</v>
      </c>
      <c r="B29" s="380" t="s">
        <v>149</v>
      </c>
      <c r="C29" s="223" t="s">
        <v>437</v>
      </c>
      <c r="D29" s="223" t="s">
        <v>438</v>
      </c>
      <c r="E29" s="223" t="s">
        <v>439</v>
      </c>
      <c r="F29" s="223" t="s">
        <v>440</v>
      </c>
    </row>
    <row r="30" spans="1:9" ht="44.25" customHeight="1">
      <c r="A30" s="379"/>
      <c r="B30" s="381"/>
      <c r="C30" s="224" t="s">
        <v>428</v>
      </c>
      <c r="D30" s="224" t="s">
        <v>435</v>
      </c>
      <c r="E30" s="224" t="s">
        <v>443</v>
      </c>
      <c r="F30" s="225" t="s">
        <v>459</v>
      </c>
    </row>
    <row r="31" spans="1:9">
      <c r="A31" s="186">
        <v>1</v>
      </c>
      <c r="B31" s="233" t="s">
        <v>354</v>
      </c>
      <c r="C31" s="226">
        <v>36.6</v>
      </c>
      <c r="D31" s="237">
        <f>'Pesq MatApoio'!C6</f>
        <v>1</v>
      </c>
      <c r="E31" s="237">
        <v>30</v>
      </c>
      <c r="F31" s="226">
        <f>(C31/E31)*D31</f>
        <v>1.22</v>
      </c>
      <c r="I31" s="229"/>
    </row>
    <row r="32" spans="1:9">
      <c r="A32" s="185">
        <v>2</v>
      </c>
      <c r="B32" s="169" t="s">
        <v>355</v>
      </c>
      <c r="C32" s="227">
        <v>10.33</v>
      </c>
      <c r="D32" s="238">
        <f>'Pesq MatApoio'!C21</f>
        <v>1</v>
      </c>
      <c r="E32" s="238">
        <v>30</v>
      </c>
      <c r="F32" s="227">
        <f t="shared" ref="F32:F36" si="2">(C32/E32)*D32</f>
        <v>0.34433333333333332</v>
      </c>
      <c r="I32" s="229"/>
    </row>
    <row r="33" spans="1:9">
      <c r="A33" s="186">
        <v>3</v>
      </c>
      <c r="B33" s="234" t="s">
        <v>356</v>
      </c>
      <c r="C33" s="226">
        <v>7.15</v>
      </c>
      <c r="D33" s="239">
        <v>1</v>
      </c>
      <c r="E33" s="239">
        <v>30</v>
      </c>
      <c r="F33" s="226">
        <f t="shared" si="2"/>
        <v>0.23833333333333334</v>
      </c>
    </row>
    <row r="34" spans="1:9">
      <c r="A34" s="185">
        <v>4</v>
      </c>
      <c r="B34" s="235" t="s">
        <v>357</v>
      </c>
      <c r="C34" s="227">
        <v>2.81</v>
      </c>
      <c r="D34" s="240">
        <v>1</v>
      </c>
      <c r="E34" s="240">
        <v>30</v>
      </c>
      <c r="F34" s="227">
        <f t="shared" si="2"/>
        <v>9.3666666666666662E-2</v>
      </c>
    </row>
    <row r="35" spans="1:9">
      <c r="A35" s="186">
        <v>5</v>
      </c>
      <c r="B35" s="234" t="s">
        <v>468</v>
      </c>
      <c r="C35" s="226">
        <v>64.430000000000007</v>
      </c>
      <c r="D35" s="239">
        <f>'Pesq MatApoio'!C52</f>
        <v>1</v>
      </c>
      <c r="E35" s="239">
        <v>36</v>
      </c>
      <c r="F35" s="226">
        <f t="shared" si="2"/>
        <v>1.7897222222222224</v>
      </c>
    </row>
    <row r="36" spans="1:9">
      <c r="A36" s="186">
        <v>6</v>
      </c>
      <c r="B36" s="234" t="s">
        <v>351</v>
      </c>
      <c r="C36" s="226">
        <v>7.6</v>
      </c>
      <c r="D36" s="239">
        <v>2</v>
      </c>
      <c r="E36" s="239">
        <v>6</v>
      </c>
      <c r="F36" s="226">
        <f t="shared" si="2"/>
        <v>2.5333333333333332</v>
      </c>
      <c r="I36" s="229"/>
    </row>
    <row r="37" spans="1:9">
      <c r="A37" s="192">
        <v>7</v>
      </c>
      <c r="B37" s="236" t="s">
        <v>352</v>
      </c>
      <c r="C37" s="228">
        <v>1.17</v>
      </c>
      <c r="D37" s="250">
        <v>4</v>
      </c>
      <c r="E37" s="250">
        <v>3</v>
      </c>
      <c r="F37" s="228">
        <f>(C37/E37)*D37</f>
        <v>1.5599999999999998</v>
      </c>
      <c r="I37" s="229"/>
    </row>
    <row r="38" spans="1:9" ht="15" thickBot="1">
      <c r="A38" s="186">
        <v>8</v>
      </c>
      <c r="B38" s="234" t="s">
        <v>467</v>
      </c>
      <c r="C38" s="226">
        <v>1264</v>
      </c>
      <c r="D38" s="239">
        <v>1</v>
      </c>
      <c r="E38" s="239">
        <v>60</v>
      </c>
      <c r="F38" s="226">
        <f t="shared" ref="F38" si="3">(C38/E38)*D38</f>
        <v>21.066666666666666</v>
      </c>
    </row>
    <row r="39" spans="1:9" ht="15" thickBot="1">
      <c r="A39" s="376" t="s">
        <v>444</v>
      </c>
      <c r="B39" s="376"/>
      <c r="C39" s="376"/>
      <c r="D39" s="376"/>
      <c r="E39" s="376"/>
      <c r="F39" s="247">
        <f>SUM(F31:F38)</f>
        <v>28.846055555555555</v>
      </c>
    </row>
    <row r="40" spans="1:9" ht="15" thickBot="1">
      <c r="A40" s="377" t="s">
        <v>441</v>
      </c>
      <c r="B40" s="377"/>
      <c r="C40" s="377"/>
      <c r="D40" s="377"/>
      <c r="E40" s="377"/>
      <c r="F40" s="249">
        <f>F39/4</f>
        <v>7.2115138888888888</v>
      </c>
    </row>
  </sheetData>
  <mergeCells count="14">
    <mergeCell ref="A1:E1"/>
    <mergeCell ref="A2:E2"/>
    <mergeCell ref="B16:D16"/>
    <mergeCell ref="A39:E39"/>
    <mergeCell ref="A40:E40"/>
    <mergeCell ref="A29:A30"/>
    <mergeCell ref="B29:B30"/>
    <mergeCell ref="A20:A21"/>
    <mergeCell ref="B17:D17"/>
    <mergeCell ref="A19:F19"/>
    <mergeCell ref="A25:E25"/>
    <mergeCell ref="B26:E26"/>
    <mergeCell ref="B20:B21"/>
    <mergeCell ref="A28:F28"/>
  </mergeCells>
  <pageMargins left="0.51181102362204722" right="0.51181102362204722" top="0.78740157480314965" bottom="0.78740157480314965" header="0.31496062992125984" footer="0.31496062992125984"/>
  <pageSetup paperSize="9" scale="81" fitToHeight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N151"/>
  <sheetViews>
    <sheetView showGridLines="0" topLeftCell="A124" zoomScaleNormal="100" workbookViewId="0">
      <selection activeCell="S41" sqref="S41"/>
    </sheetView>
  </sheetViews>
  <sheetFormatPr defaultColWidth="9.1796875" defaultRowHeight="14.5"/>
  <cols>
    <col min="1" max="1" width="3.54296875" style="150" customWidth="1"/>
    <col min="2" max="2" width="4.26953125" style="150" customWidth="1"/>
    <col min="3" max="3" width="5.453125" customWidth="1"/>
    <col min="4" max="4" width="9" style="151" customWidth="1"/>
    <col min="5" max="5" width="4.81640625" style="151" customWidth="1"/>
    <col min="6" max="6" width="4.54296875" style="151" customWidth="1"/>
    <col min="7" max="7" width="43.1796875" style="1" bestFit="1" customWidth="1"/>
    <col min="8" max="8" width="58.7265625" bestFit="1" customWidth="1"/>
    <col min="9" max="9" width="7.1796875" customWidth="1"/>
    <col min="10" max="10" width="7" hidden="1" customWidth="1"/>
    <col min="11" max="11" width="6" bestFit="1" customWidth="1"/>
    <col min="12" max="12" width="6.7265625" hidden="1" customWidth="1"/>
    <col min="13" max="13" width="7" style="181" customWidth="1"/>
    <col min="14" max="14" width="9.1796875" customWidth="1"/>
  </cols>
  <sheetData>
    <row r="1" spans="1:14" ht="36.75" customHeight="1">
      <c r="A1" s="1"/>
      <c r="B1" s="1"/>
      <c r="C1" s="1"/>
      <c r="E1" s="439" t="s">
        <v>329</v>
      </c>
      <c r="F1" s="439"/>
      <c r="G1" s="439"/>
      <c r="H1" s="439"/>
      <c r="I1" s="434" t="s">
        <v>19</v>
      </c>
      <c r="J1" s="435"/>
      <c r="K1" s="435"/>
      <c r="L1" s="435"/>
      <c r="M1" s="435"/>
      <c r="N1" s="435"/>
    </row>
    <row r="2" spans="1:14">
      <c r="A2" s="394" t="s">
        <v>7</v>
      </c>
      <c r="B2" s="395"/>
      <c r="C2" s="395"/>
      <c r="D2" s="395"/>
      <c r="E2" s="396"/>
      <c r="F2" s="394" t="s">
        <v>8</v>
      </c>
      <c r="G2" s="395"/>
      <c r="H2" s="395"/>
      <c r="I2" s="436" t="s">
        <v>330</v>
      </c>
      <c r="J2" s="437"/>
      <c r="K2" s="437"/>
      <c r="L2" s="438"/>
      <c r="M2" s="390" t="s">
        <v>2</v>
      </c>
      <c r="N2" s="391"/>
    </row>
    <row r="3" spans="1:14" s="1" customFormat="1">
      <c r="A3" s="406"/>
      <c r="B3" s="407"/>
      <c r="C3" s="407"/>
      <c r="D3" s="407"/>
      <c r="E3" s="408"/>
      <c r="F3" s="403" t="s">
        <v>331</v>
      </c>
      <c r="G3" s="404"/>
      <c r="H3" s="404"/>
      <c r="I3" s="403" t="s">
        <v>16</v>
      </c>
      <c r="J3" s="404"/>
      <c r="K3" s="404"/>
      <c r="L3" s="405"/>
      <c r="M3" s="392"/>
      <c r="N3" s="393"/>
    </row>
    <row r="4" spans="1:14" ht="24" customHeight="1">
      <c r="A4" s="131" t="s">
        <v>10</v>
      </c>
      <c r="B4" s="131" t="s">
        <v>15</v>
      </c>
      <c r="C4" s="131" t="s">
        <v>6</v>
      </c>
      <c r="D4" s="132" t="s">
        <v>4</v>
      </c>
      <c r="E4" s="388" t="s">
        <v>9</v>
      </c>
      <c r="F4" s="389"/>
      <c r="G4" s="133" t="s">
        <v>5</v>
      </c>
      <c r="H4" s="133" t="s">
        <v>1</v>
      </c>
      <c r="I4" s="134" t="s">
        <v>12</v>
      </c>
      <c r="J4" s="135" t="s">
        <v>13</v>
      </c>
      <c r="K4" s="136"/>
      <c r="L4" s="152" t="s">
        <v>14</v>
      </c>
      <c r="M4" s="171" t="s">
        <v>0</v>
      </c>
      <c r="N4" s="152" t="s">
        <v>3</v>
      </c>
    </row>
    <row r="5" spans="1:14" ht="15" customHeight="1">
      <c r="A5" s="409"/>
      <c r="B5" s="410"/>
      <c r="C5" s="411">
        <v>4</v>
      </c>
      <c r="D5" s="184" t="s">
        <v>364</v>
      </c>
      <c r="E5" s="399" t="s">
        <v>366</v>
      </c>
      <c r="F5" s="399"/>
      <c r="G5" s="209" t="s">
        <v>363</v>
      </c>
      <c r="H5" s="209" t="s">
        <v>365</v>
      </c>
      <c r="I5" s="155">
        <v>15</v>
      </c>
      <c r="J5" s="156" t="str">
        <f t="shared" ref="J5:J14" si="0">IF(AND((STDEV(I$5:I$14)/AVERAGE(I$5:I$14))&lt;=0.25,ISNUMBER(I5)),I5,IF(AND(I5&lt;=(AVERAGE(I$5:I$14)+STDEV(I$5:I$14)),I5&gt;=(AVERAGE(I$5:I$14)-STDEV(I$5:I$14)),ISNUMBER(I5)),I5,""))</f>
        <v/>
      </c>
      <c r="K5" s="157" t="str">
        <f t="shared" ref="K5:K14" si="1">IF(AND(COUNT(I$5:I$14)=1,ISNUMBER(I5)),"Sim",IF(AND((STDEV(J$5:J$14)/AVERAGE(J$5:J$14))&lt;0.25,ISNUMBER(J5)),"Sim",IF(AND(J5&lt;=(AVERAGE(J$5:J$14)+STDEV(J$5:J$14)),J5&gt;=(AVERAGE(J$5:J$14)-STDEV(J$5:J$14)),ISNUMBER(J5)),"Sim","Não")))</f>
        <v>Não</v>
      </c>
      <c r="L5" s="157" t="str">
        <f>IF(K5="Sim",J5,"")</f>
        <v/>
      </c>
      <c r="M5" s="397">
        <f>ROUND(IF(COUNT(I5:I14)=1,I5,IF((COUNT(L5:L14)&lt;3),MIN(L5:L14),AVERAGE(L5:L14))),2)</f>
        <v>97.63</v>
      </c>
      <c r="N5" s="398">
        <f>C5*M5</f>
        <v>390.52</v>
      </c>
    </row>
    <row r="6" spans="1:14" ht="15" customHeight="1">
      <c r="A6" s="409"/>
      <c r="B6" s="410"/>
      <c r="C6" s="411"/>
      <c r="D6" s="184" t="s">
        <v>309</v>
      </c>
      <c r="E6" s="399" t="s">
        <v>373</v>
      </c>
      <c r="F6" s="399"/>
      <c r="G6" s="209" t="s">
        <v>371</v>
      </c>
      <c r="H6" s="209" t="s">
        <v>372</v>
      </c>
      <c r="I6" s="155">
        <v>45</v>
      </c>
      <c r="J6" s="156">
        <f t="shared" si="0"/>
        <v>45</v>
      </c>
      <c r="K6" s="157" t="str">
        <f t="shared" si="1"/>
        <v>Não</v>
      </c>
      <c r="L6" s="157" t="str">
        <f t="shared" ref="L6:L14" si="2">IF(K6="Sim",J6,"")</f>
        <v/>
      </c>
      <c r="M6" s="397"/>
      <c r="N6" s="398"/>
    </row>
    <row r="7" spans="1:14" ht="15" customHeight="1">
      <c r="A7" s="409"/>
      <c r="B7" s="410"/>
      <c r="C7" s="411"/>
      <c r="D7" s="168" t="s">
        <v>320</v>
      </c>
      <c r="E7" s="399" t="s">
        <v>321</v>
      </c>
      <c r="F7" s="399"/>
      <c r="G7" s="209" t="s">
        <v>322</v>
      </c>
      <c r="H7" s="209" t="s">
        <v>323</v>
      </c>
      <c r="I7" s="155">
        <v>20</v>
      </c>
      <c r="J7" s="156" t="str">
        <f t="shared" si="0"/>
        <v/>
      </c>
      <c r="K7" s="157" t="str">
        <f t="shared" si="1"/>
        <v>Não</v>
      </c>
      <c r="L7" s="157" t="str">
        <f t="shared" si="2"/>
        <v/>
      </c>
      <c r="M7" s="397"/>
      <c r="N7" s="398"/>
    </row>
    <row r="8" spans="1:14" ht="15" customHeight="1">
      <c r="A8" s="409"/>
      <c r="B8" s="410"/>
      <c r="C8" s="411"/>
      <c r="D8" s="168" t="s">
        <v>379</v>
      </c>
      <c r="E8" s="399" t="s">
        <v>380</v>
      </c>
      <c r="F8" s="399"/>
      <c r="G8" s="209" t="s">
        <v>337</v>
      </c>
      <c r="H8" s="209" t="s">
        <v>383</v>
      </c>
      <c r="I8" s="155">
        <v>143</v>
      </c>
      <c r="J8" s="156">
        <f t="shared" si="0"/>
        <v>143</v>
      </c>
      <c r="K8" s="157" t="str">
        <f t="shared" si="1"/>
        <v>Não</v>
      </c>
      <c r="L8" s="157" t="str">
        <f t="shared" si="2"/>
        <v/>
      </c>
      <c r="M8" s="397"/>
      <c r="N8" s="398"/>
    </row>
    <row r="9" spans="1:14" ht="15" customHeight="1">
      <c r="A9" s="409"/>
      <c r="B9" s="410"/>
      <c r="C9" s="411"/>
      <c r="D9" s="168" t="s">
        <v>379</v>
      </c>
      <c r="E9" s="399" t="s">
        <v>380</v>
      </c>
      <c r="F9" s="399"/>
      <c r="G9" s="209" t="s">
        <v>381</v>
      </c>
      <c r="H9" s="209" t="s">
        <v>382</v>
      </c>
      <c r="I9" s="155">
        <v>94</v>
      </c>
      <c r="J9" s="156">
        <f t="shared" si="0"/>
        <v>94</v>
      </c>
      <c r="K9" s="157" t="str">
        <f t="shared" si="1"/>
        <v>Sim</v>
      </c>
      <c r="L9" s="157">
        <f t="shared" si="2"/>
        <v>94</v>
      </c>
      <c r="M9" s="397"/>
      <c r="N9" s="398"/>
    </row>
    <row r="10" spans="1:14" ht="15" customHeight="1">
      <c r="A10" s="409"/>
      <c r="B10" s="410"/>
      <c r="C10" s="411"/>
      <c r="D10" s="168" t="s">
        <v>379</v>
      </c>
      <c r="E10" s="399" t="s">
        <v>380</v>
      </c>
      <c r="F10" s="399"/>
      <c r="G10" s="209" t="s">
        <v>384</v>
      </c>
      <c r="H10" s="209" t="s">
        <v>385</v>
      </c>
      <c r="I10" s="155">
        <v>120</v>
      </c>
      <c r="J10" s="156">
        <f t="shared" si="0"/>
        <v>120</v>
      </c>
      <c r="K10" s="157" t="str">
        <f t="shared" si="1"/>
        <v>Sim</v>
      </c>
      <c r="L10" s="157">
        <f t="shared" si="2"/>
        <v>120</v>
      </c>
      <c r="M10" s="397"/>
      <c r="N10" s="398"/>
    </row>
    <row r="11" spans="1:14" ht="15" customHeight="1">
      <c r="A11" s="409"/>
      <c r="B11" s="410"/>
      <c r="C11" s="411"/>
      <c r="D11" s="168" t="s">
        <v>379</v>
      </c>
      <c r="E11" s="399" t="s">
        <v>380</v>
      </c>
      <c r="F11" s="399"/>
      <c r="G11" s="209" t="s">
        <v>387</v>
      </c>
      <c r="H11" s="209" t="s">
        <v>386</v>
      </c>
      <c r="I11" s="155">
        <v>101.5</v>
      </c>
      <c r="J11" s="156">
        <f t="shared" si="0"/>
        <v>101.5</v>
      </c>
      <c r="K11" s="157" t="str">
        <f t="shared" si="1"/>
        <v>Sim</v>
      </c>
      <c r="L11" s="157">
        <f t="shared" si="2"/>
        <v>101.5</v>
      </c>
      <c r="M11" s="397"/>
      <c r="N11" s="398"/>
    </row>
    <row r="12" spans="1:14" ht="15" customHeight="1">
      <c r="A12" s="409"/>
      <c r="B12" s="410"/>
      <c r="C12" s="411"/>
      <c r="D12" s="168" t="s">
        <v>379</v>
      </c>
      <c r="E12" s="399" t="s">
        <v>380</v>
      </c>
      <c r="F12" s="399"/>
      <c r="G12" s="209" t="s">
        <v>391</v>
      </c>
      <c r="H12" s="209" t="s">
        <v>392</v>
      </c>
      <c r="I12" s="155">
        <v>75</v>
      </c>
      <c r="J12" s="156">
        <f t="shared" si="0"/>
        <v>75</v>
      </c>
      <c r="K12" s="157" t="str">
        <f t="shared" si="1"/>
        <v>Sim</v>
      </c>
      <c r="L12" s="157">
        <f t="shared" si="2"/>
        <v>75</v>
      </c>
      <c r="M12" s="397"/>
      <c r="N12" s="398"/>
    </row>
    <row r="13" spans="1:14" ht="15" customHeight="1">
      <c r="A13" s="409"/>
      <c r="B13" s="410"/>
      <c r="C13" s="411"/>
      <c r="D13" s="168" t="s">
        <v>379</v>
      </c>
      <c r="E13" s="399" t="s">
        <v>380</v>
      </c>
      <c r="F13" s="399"/>
      <c r="G13" s="209" t="s">
        <v>335</v>
      </c>
      <c r="H13" s="209" t="s">
        <v>395</v>
      </c>
      <c r="I13" s="155">
        <v>169</v>
      </c>
      <c r="J13" s="156" t="str">
        <f t="shared" si="0"/>
        <v/>
      </c>
      <c r="K13" s="157" t="str">
        <f t="shared" si="1"/>
        <v>Não</v>
      </c>
      <c r="L13" s="157" t="str">
        <f t="shared" si="2"/>
        <v/>
      </c>
      <c r="M13" s="397"/>
      <c r="N13" s="398"/>
    </row>
    <row r="14" spans="1:14" ht="15" customHeight="1">
      <c r="A14" s="409"/>
      <c r="B14" s="410"/>
      <c r="C14" s="411"/>
      <c r="D14" s="168" t="s">
        <v>379</v>
      </c>
      <c r="E14" s="399" t="s">
        <v>396</v>
      </c>
      <c r="F14" s="399"/>
      <c r="G14" s="67" t="s">
        <v>332</v>
      </c>
      <c r="H14" s="209" t="s">
        <v>397</v>
      </c>
      <c r="I14" s="155">
        <v>155.9</v>
      </c>
      <c r="J14" s="156" t="str">
        <f t="shared" si="0"/>
        <v/>
      </c>
      <c r="K14" s="157" t="str">
        <f t="shared" si="1"/>
        <v>Não</v>
      </c>
      <c r="L14" s="157" t="str">
        <f t="shared" si="2"/>
        <v/>
      </c>
      <c r="M14" s="397"/>
      <c r="N14" s="398"/>
    </row>
    <row r="15" spans="1:14">
      <c r="A15" s="141"/>
      <c r="B15" s="141"/>
      <c r="C15" s="142"/>
      <c r="D15" s="143"/>
      <c r="E15" s="143"/>
      <c r="F15" s="143"/>
      <c r="G15" s="144"/>
      <c r="H15" s="144"/>
      <c r="I15" s="145"/>
      <c r="J15" s="146"/>
      <c r="K15" s="147"/>
      <c r="L15" s="147"/>
      <c r="M15" s="174"/>
      <c r="N15" s="175"/>
    </row>
    <row r="16" spans="1:14" ht="12" customHeight="1">
      <c r="A16" s="394" t="s">
        <v>7</v>
      </c>
      <c r="B16" s="395"/>
      <c r="C16" s="395"/>
      <c r="D16" s="395"/>
      <c r="E16" s="396"/>
      <c r="F16" s="394" t="s">
        <v>8</v>
      </c>
      <c r="G16" s="395"/>
      <c r="H16" s="395"/>
      <c r="I16" s="394" t="s">
        <v>330</v>
      </c>
      <c r="J16" s="395"/>
      <c r="K16" s="395"/>
      <c r="L16" s="396"/>
      <c r="M16" s="390" t="s">
        <v>2</v>
      </c>
      <c r="N16" s="391"/>
    </row>
    <row r="17" spans="1:248" s="1" customFormat="1" ht="15" customHeight="1">
      <c r="A17" s="406"/>
      <c r="B17" s="407"/>
      <c r="C17" s="407"/>
      <c r="D17" s="407"/>
      <c r="E17" s="408"/>
      <c r="F17" s="403" t="s">
        <v>333</v>
      </c>
      <c r="G17" s="404"/>
      <c r="H17" s="404"/>
      <c r="I17" s="403" t="s">
        <v>16</v>
      </c>
      <c r="J17" s="404"/>
      <c r="K17" s="404"/>
      <c r="L17" s="405"/>
      <c r="M17" s="392"/>
      <c r="N17" s="393"/>
    </row>
    <row r="18" spans="1:248" ht="24" customHeight="1">
      <c r="A18" s="176" t="s">
        <v>10</v>
      </c>
      <c r="B18" s="176" t="s">
        <v>15</v>
      </c>
      <c r="C18" s="176" t="s">
        <v>6</v>
      </c>
      <c r="D18" s="132" t="s">
        <v>4</v>
      </c>
      <c r="E18" s="388" t="s">
        <v>9</v>
      </c>
      <c r="F18" s="389"/>
      <c r="G18" s="133" t="s">
        <v>5</v>
      </c>
      <c r="H18" s="133" t="s">
        <v>1</v>
      </c>
      <c r="I18" s="177" t="s">
        <v>12</v>
      </c>
      <c r="J18" s="178" t="s">
        <v>13</v>
      </c>
      <c r="K18" s="154"/>
      <c r="L18" s="173" t="s">
        <v>14</v>
      </c>
      <c r="M18" s="172" t="s">
        <v>0</v>
      </c>
      <c r="N18" s="173" t="s">
        <v>3</v>
      </c>
    </row>
    <row r="19" spans="1:248" ht="15" customHeight="1">
      <c r="A19" s="409"/>
      <c r="B19" s="410"/>
      <c r="C19" s="411">
        <v>4</v>
      </c>
      <c r="D19" s="184" t="s">
        <v>315</v>
      </c>
      <c r="E19" s="412" t="s">
        <v>317</v>
      </c>
      <c r="F19" s="412"/>
      <c r="G19" s="209" t="s">
        <v>318</v>
      </c>
      <c r="H19" s="209" t="s">
        <v>316</v>
      </c>
      <c r="I19" s="155">
        <v>12.82</v>
      </c>
      <c r="J19" s="156" t="str">
        <f t="shared" ref="J19:J25" si="3">IF(AND((STDEV(I$19:I$25)/AVERAGE(I$19:I$25))&lt;=0.25,ISNUMBER(I19)),I19,IF(AND(I19&lt;=(AVERAGE(I$19:I$25)+STDEV(I$19:I$25)),I19&gt;=(AVERAGE(I$19:I$25)-STDEV(I$19:I$25)),ISNUMBER(I19)),I19,""))</f>
        <v/>
      </c>
      <c r="K19" s="157" t="str">
        <f t="shared" ref="K19:K25" si="4">IF(AND(COUNT(I$15:I$19)=1,ISNUMBER(I19)),"Sim",IF(AND((STDEV(J$19:J$25)/AVERAGE(J$19:J$25))&lt;0.25,ISNUMBER(J19)),"Sim",IF(AND(J19&lt;=(AVERAGE(J$19:J$25)+STDEV(J$19:J$25)),J19&gt;=(AVERAGE(J$19:J$25)-STDEV(J$19:J$25)),ISNUMBER(J19)),"Sim","Não")))</f>
        <v>Sim</v>
      </c>
      <c r="L19" s="157" t="str">
        <f>IF(K19="Sim",J19,"")</f>
        <v/>
      </c>
      <c r="M19" s="397">
        <f>ROUND(IF(COUNT(I19:I25)=1,I19,IF((COUNT(L19:L25)&lt;3),MIN(L19:L25),AVERAGE(L19:L25))),2)</f>
        <v>77.489999999999995</v>
      </c>
      <c r="N19" s="398">
        <f>C19*M19</f>
        <v>309.95999999999998</v>
      </c>
    </row>
    <row r="20" spans="1:248" ht="15" customHeight="1">
      <c r="A20" s="409"/>
      <c r="B20" s="410"/>
      <c r="C20" s="411"/>
      <c r="D20" s="184" t="s">
        <v>309</v>
      </c>
      <c r="E20" s="412" t="s">
        <v>373</v>
      </c>
      <c r="F20" s="412"/>
      <c r="G20" s="209" t="s">
        <v>371</v>
      </c>
      <c r="H20" s="209" t="s">
        <v>372</v>
      </c>
      <c r="I20" s="155">
        <v>27.2</v>
      </c>
      <c r="J20" s="156" t="str">
        <f t="shared" si="3"/>
        <v/>
      </c>
      <c r="K20" s="157" t="str">
        <f t="shared" si="4"/>
        <v>Sim</v>
      </c>
      <c r="L20" s="157" t="str">
        <f t="shared" ref="L20:L25" si="5">IF(K20="Sim",J20,"")</f>
        <v/>
      </c>
      <c r="M20" s="397"/>
      <c r="N20" s="398"/>
    </row>
    <row r="21" spans="1:248" ht="15" customHeight="1">
      <c r="A21" s="409"/>
      <c r="B21" s="410"/>
      <c r="C21" s="411"/>
      <c r="D21" s="168" t="s">
        <v>423</v>
      </c>
      <c r="E21" s="399" t="s">
        <v>380</v>
      </c>
      <c r="F21" s="399"/>
      <c r="G21" s="209" t="s">
        <v>377</v>
      </c>
      <c r="H21" s="209" t="s">
        <v>378</v>
      </c>
      <c r="I21" s="155">
        <v>55</v>
      </c>
      <c r="J21" s="156">
        <f t="shared" si="3"/>
        <v>55</v>
      </c>
      <c r="K21" s="157" t="str">
        <f t="shared" si="4"/>
        <v>Sim</v>
      </c>
      <c r="L21" s="157">
        <f t="shared" si="5"/>
        <v>55</v>
      </c>
      <c r="M21" s="397"/>
      <c r="N21" s="398"/>
    </row>
    <row r="22" spans="1:248" ht="15" customHeight="1">
      <c r="A22" s="409"/>
      <c r="B22" s="410"/>
      <c r="C22" s="411"/>
      <c r="D22" s="168" t="s">
        <v>423</v>
      </c>
      <c r="E22" s="399" t="s">
        <v>380</v>
      </c>
      <c r="F22" s="399"/>
      <c r="G22" s="209" t="s">
        <v>335</v>
      </c>
      <c r="H22" s="209" t="s">
        <v>395</v>
      </c>
      <c r="I22" s="155">
        <v>103.95</v>
      </c>
      <c r="J22" s="156">
        <f t="shared" si="3"/>
        <v>103.95</v>
      </c>
      <c r="K22" s="157" t="str">
        <f t="shared" si="4"/>
        <v>Sim</v>
      </c>
      <c r="L22" s="157">
        <f t="shared" si="5"/>
        <v>103.95</v>
      </c>
      <c r="M22" s="397"/>
      <c r="N22" s="398"/>
    </row>
    <row r="23" spans="1:248" ht="15" customHeight="1">
      <c r="A23" s="409"/>
      <c r="B23" s="410"/>
      <c r="C23" s="411"/>
      <c r="D23" s="168" t="s">
        <v>423</v>
      </c>
      <c r="E23" s="399" t="s">
        <v>396</v>
      </c>
      <c r="F23" s="399"/>
      <c r="G23" s="67" t="s">
        <v>420</v>
      </c>
      <c r="H23" s="209" t="s">
        <v>419</v>
      </c>
      <c r="I23" s="155">
        <v>119.9</v>
      </c>
      <c r="J23" s="156" t="str">
        <f t="shared" si="3"/>
        <v/>
      </c>
      <c r="K23" s="157" t="str">
        <f t="shared" si="4"/>
        <v>Sim</v>
      </c>
      <c r="L23" s="157" t="str">
        <f t="shared" si="5"/>
        <v/>
      </c>
      <c r="M23" s="397"/>
      <c r="N23" s="398"/>
    </row>
    <row r="24" spans="1:248" ht="15" customHeight="1">
      <c r="A24" s="409"/>
      <c r="B24" s="410"/>
      <c r="C24" s="411"/>
      <c r="D24" s="168" t="s">
        <v>423</v>
      </c>
      <c r="E24" s="399" t="s">
        <v>396</v>
      </c>
      <c r="F24" s="399"/>
      <c r="G24" s="211" t="s">
        <v>152</v>
      </c>
      <c r="H24" s="68" t="s">
        <v>424</v>
      </c>
      <c r="I24" s="155">
        <v>71.099999999999994</v>
      </c>
      <c r="J24" s="156">
        <f t="shared" si="3"/>
        <v>71.099999999999994</v>
      </c>
      <c r="K24" s="157" t="str">
        <f t="shared" si="4"/>
        <v>Sim</v>
      </c>
      <c r="L24" s="157">
        <f t="shared" si="5"/>
        <v>71.099999999999994</v>
      </c>
      <c r="M24" s="397"/>
      <c r="N24" s="398"/>
    </row>
    <row r="25" spans="1:248">
      <c r="A25" s="409"/>
      <c r="B25" s="410"/>
      <c r="C25" s="411"/>
      <c r="D25" s="168" t="s">
        <v>423</v>
      </c>
      <c r="E25" s="399" t="s">
        <v>396</v>
      </c>
      <c r="F25" s="399"/>
      <c r="G25" s="68" t="s">
        <v>426</v>
      </c>
      <c r="H25" s="68" t="s">
        <v>425</v>
      </c>
      <c r="I25" s="155">
        <v>79.900000000000006</v>
      </c>
      <c r="J25" s="156">
        <f t="shared" si="3"/>
        <v>79.900000000000006</v>
      </c>
      <c r="K25" s="157" t="str">
        <f t="shared" si="4"/>
        <v>Sim</v>
      </c>
      <c r="L25" s="157">
        <f t="shared" si="5"/>
        <v>79.900000000000006</v>
      </c>
      <c r="M25" s="397"/>
      <c r="N25" s="398"/>
    </row>
    <row r="26" spans="1:248" ht="15" customHeight="1">
      <c r="A26" s="141"/>
      <c r="B26" s="141"/>
      <c r="C26" s="142"/>
      <c r="D26" s="143"/>
      <c r="E26" s="143"/>
      <c r="F26" s="143"/>
      <c r="G26" s="144"/>
      <c r="H26" s="144"/>
      <c r="I26" s="145"/>
      <c r="J26" s="146"/>
      <c r="K26" s="147"/>
      <c r="L26" s="147"/>
      <c r="M26" s="174"/>
      <c r="N26" s="175"/>
    </row>
    <row r="27" spans="1:248" s="1" customFormat="1" ht="15" customHeight="1">
      <c r="A27" s="394" t="s">
        <v>7</v>
      </c>
      <c r="B27" s="395"/>
      <c r="C27" s="395"/>
      <c r="D27" s="395"/>
      <c r="E27" s="396"/>
      <c r="F27" s="394" t="s">
        <v>8</v>
      </c>
      <c r="G27" s="395"/>
      <c r="H27" s="395"/>
      <c r="I27" s="394" t="s">
        <v>330</v>
      </c>
      <c r="J27" s="395"/>
      <c r="K27" s="395"/>
      <c r="L27" s="396"/>
      <c r="M27" s="390" t="s">
        <v>2</v>
      </c>
      <c r="N27" s="391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</row>
    <row r="28" spans="1:248" ht="19.5" customHeight="1">
      <c r="A28" s="406"/>
      <c r="B28" s="407"/>
      <c r="C28" s="407"/>
      <c r="D28" s="407"/>
      <c r="E28" s="408"/>
      <c r="F28" s="403" t="s">
        <v>334</v>
      </c>
      <c r="G28" s="404"/>
      <c r="H28" s="404"/>
      <c r="I28" s="403" t="s">
        <v>16</v>
      </c>
      <c r="J28" s="404"/>
      <c r="K28" s="404"/>
      <c r="L28" s="405"/>
      <c r="M28" s="392"/>
      <c r="N28" s="393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</row>
    <row r="29" spans="1:248" ht="21">
      <c r="A29" s="131" t="s">
        <v>10</v>
      </c>
      <c r="B29" s="131" t="s">
        <v>15</v>
      </c>
      <c r="C29" s="131" t="s">
        <v>6</v>
      </c>
      <c r="D29" s="132" t="s">
        <v>4</v>
      </c>
      <c r="E29" s="388" t="s">
        <v>9</v>
      </c>
      <c r="F29" s="389"/>
      <c r="G29" s="133" t="s">
        <v>5</v>
      </c>
      <c r="H29" s="133" t="s">
        <v>1</v>
      </c>
      <c r="I29" s="134" t="s">
        <v>12</v>
      </c>
      <c r="J29" s="135" t="s">
        <v>13</v>
      </c>
      <c r="K29" s="136"/>
      <c r="L29" s="152" t="s">
        <v>14</v>
      </c>
      <c r="M29" s="171" t="s">
        <v>0</v>
      </c>
      <c r="N29" s="152" t="s">
        <v>3</v>
      </c>
    </row>
    <row r="30" spans="1:248" ht="15" customHeight="1">
      <c r="A30" s="409"/>
      <c r="B30" s="410"/>
      <c r="C30" s="411">
        <v>4</v>
      </c>
      <c r="D30" s="184" t="s">
        <v>364</v>
      </c>
      <c r="E30" s="399" t="s">
        <v>366</v>
      </c>
      <c r="F30" s="399"/>
      <c r="G30" s="209" t="s">
        <v>363</v>
      </c>
      <c r="H30" s="209" t="s">
        <v>365</v>
      </c>
      <c r="I30" s="155">
        <v>15</v>
      </c>
      <c r="J30" s="156" t="str">
        <f t="shared" ref="J30:J35" si="6">IF(AND((STDEV(I$30:I$35)/AVERAGE(I$30:I$35))&lt;=0.25,ISNUMBER(I30)),I30,IF(AND(I30&lt;=(AVERAGE(I$30:I$35)+STDEV(I$30:I$35)),I30&gt;=(AVERAGE(I$30:I$35)-STDEV(I$30:I$35)),ISNUMBER(I30)),I30,""))</f>
        <v/>
      </c>
      <c r="K30" s="157" t="str">
        <f t="shared" ref="K30:K35" si="7">IF(AND(COUNT(I$30:I$35)=1,ISNUMBER(I30)),"Sim",IF(AND((STDEV(J$30:J$35)/AVERAGE(J$30:J$35))&lt;0.25,ISNUMBER(J30)),"Sim",IF(AND(J30&lt;=(AVERAGE(J$30:J$35)+STDEV(J$30:J$35)),J30&gt;=(AVERAGE(J$30:J$35)-STDEV(J$30:J$35)),ISNUMBER(J30)),"Sim","Não")))</f>
        <v>Não</v>
      </c>
      <c r="L30" s="157" t="str">
        <f t="shared" ref="L30:L35" si="8">IF(K30="Sim",J30,"")</f>
        <v/>
      </c>
      <c r="M30" s="397">
        <f>ROUND(IF(COUNT(I30:I35)=1,I30,IF((COUNT(L30:L35)&lt;3),MIN(L30:L35),AVERAGE(L30:L35))),2)</f>
        <v>55.52</v>
      </c>
      <c r="N30" s="398">
        <f>C30*M30</f>
        <v>222.08</v>
      </c>
    </row>
    <row r="31" spans="1:248" ht="15" customHeight="1">
      <c r="A31" s="409"/>
      <c r="B31" s="410"/>
      <c r="C31" s="411"/>
      <c r="D31" s="168" t="s">
        <v>320</v>
      </c>
      <c r="E31" s="399" t="s">
        <v>321</v>
      </c>
      <c r="F31" s="399"/>
      <c r="G31" s="209" t="s">
        <v>322</v>
      </c>
      <c r="H31" s="209" t="s">
        <v>323</v>
      </c>
      <c r="I31" s="155">
        <v>25</v>
      </c>
      <c r="J31" s="156">
        <f t="shared" si="6"/>
        <v>25</v>
      </c>
      <c r="K31" s="157" t="str">
        <f t="shared" si="7"/>
        <v>Não</v>
      </c>
      <c r="L31" s="157" t="str">
        <f t="shared" si="8"/>
        <v/>
      </c>
      <c r="M31" s="397"/>
      <c r="N31" s="398"/>
    </row>
    <row r="32" spans="1:248" ht="15" customHeight="1">
      <c r="A32" s="409"/>
      <c r="B32" s="410"/>
      <c r="C32" s="411"/>
      <c r="D32" s="168" t="s">
        <v>423</v>
      </c>
      <c r="E32" s="399" t="s">
        <v>380</v>
      </c>
      <c r="F32" s="399"/>
      <c r="G32" s="209" t="s">
        <v>377</v>
      </c>
      <c r="H32" s="209" t="s">
        <v>378</v>
      </c>
      <c r="I32" s="155">
        <v>45</v>
      </c>
      <c r="J32" s="156">
        <f t="shared" si="6"/>
        <v>45</v>
      </c>
      <c r="K32" s="157" t="str">
        <f t="shared" si="7"/>
        <v>Sim</v>
      </c>
      <c r="L32" s="157">
        <f t="shared" si="8"/>
        <v>45</v>
      </c>
      <c r="M32" s="397"/>
      <c r="N32" s="398"/>
    </row>
    <row r="33" spans="1:248" ht="15" customHeight="1">
      <c r="A33" s="409"/>
      <c r="B33" s="410"/>
      <c r="C33" s="411"/>
      <c r="D33" s="168" t="s">
        <v>423</v>
      </c>
      <c r="E33" s="399" t="s">
        <v>396</v>
      </c>
      <c r="F33" s="399"/>
      <c r="G33" s="67" t="s">
        <v>420</v>
      </c>
      <c r="H33" s="209" t="s">
        <v>419</v>
      </c>
      <c r="I33" s="155">
        <v>99.9</v>
      </c>
      <c r="J33" s="156" t="str">
        <f t="shared" si="6"/>
        <v/>
      </c>
      <c r="K33" s="157" t="str">
        <f t="shared" si="7"/>
        <v>Não</v>
      </c>
      <c r="L33" s="157" t="str">
        <f t="shared" si="8"/>
        <v/>
      </c>
      <c r="M33" s="397"/>
      <c r="N33" s="398"/>
    </row>
    <row r="34" spans="1:248" ht="15" customHeight="1">
      <c r="A34" s="409"/>
      <c r="B34" s="410"/>
      <c r="C34" s="411"/>
      <c r="D34" s="168" t="s">
        <v>423</v>
      </c>
      <c r="E34" s="399" t="s">
        <v>396</v>
      </c>
      <c r="F34" s="399"/>
      <c r="G34" s="211" t="s">
        <v>152</v>
      </c>
      <c r="H34" s="68" t="s">
        <v>424</v>
      </c>
      <c r="I34" s="155">
        <v>61.65</v>
      </c>
      <c r="J34" s="156">
        <f t="shared" si="6"/>
        <v>61.65</v>
      </c>
      <c r="K34" s="157" t="str">
        <f t="shared" si="7"/>
        <v>Sim</v>
      </c>
      <c r="L34" s="157">
        <f t="shared" si="8"/>
        <v>61.65</v>
      </c>
      <c r="M34" s="397"/>
      <c r="N34" s="398"/>
    </row>
    <row r="35" spans="1:248" ht="15" customHeight="1">
      <c r="A35" s="409"/>
      <c r="B35" s="410"/>
      <c r="C35" s="411"/>
      <c r="D35" s="168" t="s">
        <v>423</v>
      </c>
      <c r="E35" s="399" t="s">
        <v>396</v>
      </c>
      <c r="F35" s="399"/>
      <c r="G35" s="68" t="s">
        <v>426</v>
      </c>
      <c r="H35" s="68" t="s">
        <v>425</v>
      </c>
      <c r="I35" s="155">
        <v>59.9</v>
      </c>
      <c r="J35" s="156">
        <f t="shared" si="6"/>
        <v>59.9</v>
      </c>
      <c r="K35" s="157" t="str">
        <f t="shared" si="7"/>
        <v>Sim</v>
      </c>
      <c r="L35" s="157">
        <f t="shared" si="8"/>
        <v>59.9</v>
      </c>
      <c r="M35" s="397"/>
      <c r="N35" s="398"/>
    </row>
    <row r="36" spans="1:248" ht="12" customHeight="1">
      <c r="G36" s="179"/>
      <c r="H36" s="180"/>
    </row>
    <row r="37" spans="1:248" s="1" customFormat="1" ht="11.25" customHeight="1">
      <c r="A37" s="394" t="s">
        <v>7</v>
      </c>
      <c r="B37" s="395"/>
      <c r="C37" s="395"/>
      <c r="D37" s="395"/>
      <c r="E37" s="396"/>
      <c r="F37" s="394" t="s">
        <v>8</v>
      </c>
      <c r="G37" s="395"/>
      <c r="H37" s="395"/>
      <c r="I37" s="394" t="s">
        <v>330</v>
      </c>
      <c r="J37" s="395"/>
      <c r="K37" s="395"/>
      <c r="L37" s="396"/>
      <c r="M37" s="390" t="s">
        <v>2</v>
      </c>
      <c r="N37" s="391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</row>
    <row r="38" spans="1:248" ht="15" customHeight="1">
      <c r="A38" s="406"/>
      <c r="B38" s="407"/>
      <c r="C38" s="407"/>
      <c r="D38" s="407"/>
      <c r="E38" s="408"/>
      <c r="F38" s="403" t="s">
        <v>336</v>
      </c>
      <c r="G38" s="404"/>
      <c r="H38" s="404"/>
      <c r="I38" s="403" t="s">
        <v>16</v>
      </c>
      <c r="J38" s="404"/>
      <c r="K38" s="404"/>
      <c r="L38" s="405"/>
      <c r="M38" s="392"/>
      <c r="N38" s="393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</row>
    <row r="39" spans="1:248" ht="21">
      <c r="A39" s="131" t="s">
        <v>10</v>
      </c>
      <c r="B39" s="131" t="s">
        <v>15</v>
      </c>
      <c r="C39" s="131" t="s">
        <v>6</v>
      </c>
      <c r="D39" s="132" t="s">
        <v>4</v>
      </c>
      <c r="E39" s="388" t="s">
        <v>9</v>
      </c>
      <c r="F39" s="389"/>
      <c r="G39" s="133" t="s">
        <v>5</v>
      </c>
      <c r="H39" s="133" t="s">
        <v>1</v>
      </c>
      <c r="I39" s="134" t="s">
        <v>12</v>
      </c>
      <c r="J39" s="135" t="s">
        <v>13</v>
      </c>
      <c r="K39" s="136"/>
      <c r="L39" s="152" t="s">
        <v>14</v>
      </c>
      <c r="M39" s="171" t="s">
        <v>0</v>
      </c>
      <c r="N39" s="152" t="s">
        <v>3</v>
      </c>
    </row>
    <row r="40" spans="1:248" ht="15" customHeight="1">
      <c r="A40" s="409"/>
      <c r="B40" s="410"/>
      <c r="C40" s="411">
        <v>4</v>
      </c>
      <c r="D40" s="168" t="s">
        <v>423</v>
      </c>
      <c r="E40" s="399" t="s">
        <v>380</v>
      </c>
      <c r="F40" s="399"/>
      <c r="G40" s="209" t="s">
        <v>381</v>
      </c>
      <c r="H40" s="209" t="s">
        <v>382</v>
      </c>
      <c r="I40" s="182">
        <v>29</v>
      </c>
      <c r="J40" s="156">
        <f t="shared" ref="J40:J45" si="9">IF(AND((STDEV(I$40:I$45)/AVERAGE(I$40:I$45))&lt;=0.25,ISNUMBER(I40)),I40,IF(AND(I40&lt;=(AVERAGE(I$40:I$45)+STDEV(I$40:I$45)),I40&gt;=(AVERAGE(I$40:I$45)-STDEV(I$40:I$45)),ISNUMBER(I40)),I40,""))</f>
        <v>29</v>
      </c>
      <c r="K40" s="157" t="str">
        <f t="shared" ref="K40:K45" si="10">IF(AND(COUNT(I$40:I$45)=1,ISNUMBER(I40)),"Sim",IF(AND((STDEV(J$40:J$45)/AVERAGE(J$40:J$45))&lt;0.25,ISNUMBER(J40)),"Sim",IF(AND(J40&lt;=(AVERAGE(J$40:J$45)+STDEV(J$40:J$45)),J40&gt;=(AVERAGE(J$40:J$45)-STDEV(J$40:J$45)),ISNUMBER(J40)),"Sim","Não")))</f>
        <v>Sim</v>
      </c>
      <c r="L40" s="157">
        <f t="shared" ref="L40:L45" si="11">IF(K40="Sim",J40,"")</f>
        <v>29</v>
      </c>
      <c r="M40" s="397">
        <f>ROUND(IF(COUNT(I40:I45)=1,I40,IF((COUNT(L40:L45)&lt;3),MIN(L40:L45),AVERAGE(L40:L45))),2)</f>
        <v>29.75</v>
      </c>
      <c r="N40" s="398">
        <f>C40*M40</f>
        <v>119</v>
      </c>
    </row>
    <row r="41" spans="1:248" ht="15" customHeight="1">
      <c r="A41" s="409"/>
      <c r="B41" s="410"/>
      <c r="C41" s="411"/>
      <c r="D41" s="168" t="s">
        <v>423</v>
      </c>
      <c r="E41" s="399" t="s">
        <v>380</v>
      </c>
      <c r="F41" s="399"/>
      <c r="G41" s="209" t="s">
        <v>384</v>
      </c>
      <c r="H41" s="209" t="s">
        <v>385</v>
      </c>
      <c r="I41" s="183">
        <v>35</v>
      </c>
      <c r="J41" s="156">
        <f t="shared" si="9"/>
        <v>35</v>
      </c>
      <c r="K41" s="157" t="str">
        <f t="shared" si="10"/>
        <v>Sim</v>
      </c>
      <c r="L41" s="157">
        <f t="shared" si="11"/>
        <v>35</v>
      </c>
      <c r="M41" s="397"/>
      <c r="N41" s="398"/>
    </row>
    <row r="42" spans="1:248" ht="15" customHeight="1">
      <c r="A42" s="409"/>
      <c r="B42" s="410"/>
      <c r="C42" s="411"/>
      <c r="D42" s="168" t="s">
        <v>423</v>
      </c>
      <c r="E42" s="399" t="s">
        <v>380</v>
      </c>
      <c r="F42" s="399"/>
      <c r="G42" s="209" t="s">
        <v>387</v>
      </c>
      <c r="H42" s="209" t="s">
        <v>386</v>
      </c>
      <c r="I42" s="183">
        <v>33</v>
      </c>
      <c r="J42" s="156">
        <f t="shared" si="9"/>
        <v>33</v>
      </c>
      <c r="K42" s="157" t="str">
        <f t="shared" si="10"/>
        <v>Sim</v>
      </c>
      <c r="L42" s="157">
        <f t="shared" si="11"/>
        <v>33</v>
      </c>
      <c r="M42" s="397"/>
      <c r="N42" s="398"/>
    </row>
    <row r="43" spans="1:248" ht="15" customHeight="1">
      <c r="A43" s="409"/>
      <c r="B43" s="410"/>
      <c r="C43" s="411"/>
      <c r="D43" s="168" t="s">
        <v>423</v>
      </c>
      <c r="E43" s="399" t="s">
        <v>380</v>
      </c>
      <c r="F43" s="399"/>
      <c r="G43" s="209" t="s">
        <v>393</v>
      </c>
      <c r="H43" s="209" t="s">
        <v>394</v>
      </c>
      <c r="I43" s="183">
        <v>17</v>
      </c>
      <c r="J43" s="156" t="str">
        <f t="shared" si="9"/>
        <v/>
      </c>
      <c r="K43" s="157" t="str">
        <f t="shared" si="10"/>
        <v>Não</v>
      </c>
      <c r="L43" s="157" t="str">
        <f t="shared" si="11"/>
        <v/>
      </c>
      <c r="M43" s="397"/>
      <c r="N43" s="398"/>
    </row>
    <row r="44" spans="1:248" ht="15" customHeight="1">
      <c r="A44" s="409"/>
      <c r="B44" s="410"/>
      <c r="C44" s="411"/>
      <c r="D44" s="168" t="s">
        <v>423</v>
      </c>
      <c r="E44" s="399" t="s">
        <v>380</v>
      </c>
      <c r="F44" s="399"/>
      <c r="G44" s="209" t="s">
        <v>335</v>
      </c>
      <c r="H44" s="209" t="s">
        <v>395</v>
      </c>
      <c r="I44" s="183">
        <v>22</v>
      </c>
      <c r="J44" s="156">
        <f t="shared" si="9"/>
        <v>22</v>
      </c>
      <c r="K44" s="157" t="str">
        <f t="shared" si="10"/>
        <v>Sim</v>
      </c>
      <c r="L44" s="157">
        <f t="shared" si="11"/>
        <v>22</v>
      </c>
      <c r="M44" s="397"/>
      <c r="N44" s="398"/>
    </row>
    <row r="45" spans="1:248" ht="15" customHeight="1">
      <c r="A45" s="409"/>
      <c r="B45" s="410"/>
      <c r="C45" s="411"/>
      <c r="D45" s="168" t="s">
        <v>423</v>
      </c>
      <c r="E45" s="399" t="s">
        <v>396</v>
      </c>
      <c r="F45" s="399"/>
      <c r="G45" s="67" t="s">
        <v>332</v>
      </c>
      <c r="H45" s="209" t="s">
        <v>397</v>
      </c>
      <c r="I45" s="183">
        <v>54.9</v>
      </c>
      <c r="J45" s="156" t="str">
        <f t="shared" si="9"/>
        <v/>
      </c>
      <c r="K45" s="157" t="str">
        <f t="shared" si="10"/>
        <v>Não</v>
      </c>
      <c r="L45" s="157" t="str">
        <f t="shared" si="11"/>
        <v/>
      </c>
      <c r="M45" s="397"/>
      <c r="N45" s="398"/>
    </row>
    <row r="46" spans="1:248" ht="15" customHeight="1"/>
    <row r="47" spans="1:248">
      <c r="A47" s="394" t="s">
        <v>7</v>
      </c>
      <c r="B47" s="395"/>
      <c r="C47" s="395"/>
      <c r="D47" s="395"/>
      <c r="E47" s="396"/>
      <c r="F47" s="394" t="s">
        <v>8</v>
      </c>
      <c r="G47" s="395"/>
      <c r="H47" s="395"/>
      <c r="I47" s="394" t="s">
        <v>330</v>
      </c>
      <c r="J47" s="395"/>
      <c r="K47" s="395"/>
      <c r="L47" s="396"/>
      <c r="M47" s="390" t="s">
        <v>2</v>
      </c>
      <c r="N47" s="391"/>
    </row>
    <row r="48" spans="1:248" ht="12" customHeight="1">
      <c r="A48" s="406"/>
      <c r="B48" s="407"/>
      <c r="C48" s="407"/>
      <c r="D48" s="407"/>
      <c r="E48" s="408"/>
      <c r="F48" s="403" t="s">
        <v>338</v>
      </c>
      <c r="G48" s="404"/>
      <c r="H48" s="404"/>
      <c r="I48" s="403" t="s">
        <v>16</v>
      </c>
      <c r="J48" s="404"/>
      <c r="K48" s="404"/>
      <c r="L48" s="405"/>
      <c r="M48" s="392"/>
      <c r="N48" s="393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</row>
    <row r="49" spans="1:248" ht="21">
      <c r="A49" s="131" t="s">
        <v>10</v>
      </c>
      <c r="B49" s="131" t="s">
        <v>15</v>
      </c>
      <c r="C49" s="131" t="s">
        <v>6</v>
      </c>
      <c r="D49" s="132" t="s">
        <v>4</v>
      </c>
      <c r="E49" s="388" t="s">
        <v>9</v>
      </c>
      <c r="F49" s="389"/>
      <c r="G49" s="133" t="s">
        <v>5</v>
      </c>
      <c r="H49" s="133" t="s">
        <v>1</v>
      </c>
      <c r="I49" s="134" t="s">
        <v>12</v>
      </c>
      <c r="J49" s="135" t="s">
        <v>13</v>
      </c>
      <c r="K49" s="136"/>
      <c r="L49" s="152" t="s">
        <v>14</v>
      </c>
      <c r="M49" s="171" t="s">
        <v>0</v>
      </c>
      <c r="N49" s="152" t="s">
        <v>3</v>
      </c>
    </row>
    <row r="50" spans="1:248" ht="15" customHeight="1">
      <c r="A50" s="426"/>
      <c r="B50" s="428"/>
      <c r="C50" s="411">
        <v>1</v>
      </c>
      <c r="D50" s="184" t="s">
        <v>315</v>
      </c>
      <c r="E50" s="412" t="s">
        <v>317</v>
      </c>
      <c r="F50" s="412"/>
      <c r="G50" s="209" t="s">
        <v>318</v>
      </c>
      <c r="H50" s="209" t="s">
        <v>316</v>
      </c>
      <c r="I50" s="155">
        <v>2.5299999999999998</v>
      </c>
      <c r="J50" s="156" t="str">
        <f t="shared" ref="J50:J61" si="12">IF(AND((STDEV(I$50:I$61)/AVERAGE(I$50:I$61))&lt;=0.25,ISNUMBER(I50)),I50,IF(AND(I50&lt;=(AVERAGE(I$50:I$61)+STDEV(I$50:I$61)),I50&gt;=(AVERAGE(I$50:I$61)-STDEV(I$50:I$61)),ISNUMBER(I50)),I50,""))</f>
        <v/>
      </c>
      <c r="K50" s="157" t="str">
        <f t="shared" ref="K50:K61" si="13">IF(AND(COUNT(I$50:I$61)=1,ISNUMBER(I50)),"Sim",IF(AND((STDEV(J$50:J$61)/AVERAGE(J$50:J$61))&lt;0.25,ISNUMBER(J50)),"Sim",IF(AND(J50&lt;=(AVERAGE(J$50:J$61)+STDEV(J$50:J$61)),J50&gt;=(AVERAGE(J$50:J$61)-STDEV(J$50:J$61)),ISNUMBER(J50)),"Sim","Não")))</f>
        <v>Não</v>
      </c>
      <c r="L50" s="157" t="str">
        <f>IF(K50="Sim",J50,"")</f>
        <v/>
      </c>
      <c r="M50" s="397">
        <f>ROUND(IF(COUNT(I50:I61)=1,I50,IF((COUNT(L50:L61)&lt;3),MIN(L50:L61),AVERAGE(L50:L61))),2)</f>
        <v>11.22</v>
      </c>
      <c r="N50" s="398">
        <f>C50*M50</f>
        <v>11.22</v>
      </c>
    </row>
    <row r="51" spans="1:248" ht="15" customHeight="1">
      <c r="A51" s="427"/>
      <c r="B51" s="429"/>
      <c r="C51" s="411"/>
      <c r="D51" s="184" t="s">
        <v>364</v>
      </c>
      <c r="E51" s="412" t="s">
        <v>366</v>
      </c>
      <c r="F51" s="412"/>
      <c r="G51" s="209" t="s">
        <v>363</v>
      </c>
      <c r="H51" s="209" t="s">
        <v>365</v>
      </c>
      <c r="I51" s="155">
        <v>5</v>
      </c>
      <c r="J51" s="156">
        <f t="shared" si="12"/>
        <v>5</v>
      </c>
      <c r="K51" s="157" t="str">
        <f t="shared" si="13"/>
        <v>Sim</v>
      </c>
      <c r="L51" s="157">
        <f t="shared" ref="L51:L61" si="14">IF(K51="Sim",J51,"")</f>
        <v>5</v>
      </c>
      <c r="M51" s="397"/>
      <c r="N51" s="398"/>
    </row>
    <row r="52" spans="1:248" ht="15" customHeight="1">
      <c r="A52" s="427"/>
      <c r="B52" s="429"/>
      <c r="C52" s="411"/>
      <c r="D52" s="184" t="s">
        <v>309</v>
      </c>
      <c r="E52" s="412" t="s">
        <v>373</v>
      </c>
      <c r="F52" s="412"/>
      <c r="G52" s="209" t="s">
        <v>371</v>
      </c>
      <c r="H52" s="209" t="s">
        <v>372</v>
      </c>
      <c r="I52" s="155">
        <v>5.65</v>
      </c>
      <c r="J52" s="156">
        <f t="shared" si="12"/>
        <v>5.65</v>
      </c>
      <c r="K52" s="157" t="str">
        <f t="shared" si="13"/>
        <v>Sim</v>
      </c>
      <c r="L52" s="157">
        <f t="shared" si="14"/>
        <v>5.65</v>
      </c>
      <c r="M52" s="397"/>
      <c r="N52" s="398"/>
    </row>
    <row r="53" spans="1:248" ht="15" customHeight="1">
      <c r="A53" s="427"/>
      <c r="B53" s="429"/>
      <c r="C53" s="411"/>
      <c r="D53" s="168" t="s">
        <v>320</v>
      </c>
      <c r="E53" s="399" t="s">
        <v>321</v>
      </c>
      <c r="F53" s="399"/>
      <c r="G53" s="209" t="s">
        <v>322</v>
      </c>
      <c r="H53" s="209" t="s">
        <v>323</v>
      </c>
      <c r="I53" s="155">
        <v>5</v>
      </c>
      <c r="J53" s="156">
        <f t="shared" si="12"/>
        <v>5</v>
      </c>
      <c r="K53" s="157" t="str">
        <f t="shared" si="13"/>
        <v>Sim</v>
      </c>
      <c r="L53" s="157">
        <f t="shared" si="14"/>
        <v>5</v>
      </c>
      <c r="M53" s="397"/>
      <c r="N53" s="398"/>
    </row>
    <row r="54" spans="1:248" ht="15" customHeight="1">
      <c r="A54" s="427"/>
      <c r="B54" s="429"/>
      <c r="C54" s="411"/>
      <c r="D54" s="168" t="s">
        <v>311</v>
      </c>
      <c r="E54" s="399" t="s">
        <v>375</v>
      </c>
      <c r="F54" s="399"/>
      <c r="G54" s="209" t="s">
        <v>312</v>
      </c>
      <c r="H54" s="209" t="s">
        <v>376</v>
      </c>
      <c r="I54" s="155">
        <v>10</v>
      </c>
      <c r="J54" s="156">
        <f t="shared" si="12"/>
        <v>10</v>
      </c>
      <c r="K54" s="157" t="str">
        <f t="shared" si="13"/>
        <v>Sim</v>
      </c>
      <c r="L54" s="157">
        <f t="shared" si="14"/>
        <v>10</v>
      </c>
      <c r="M54" s="397"/>
      <c r="N54" s="398"/>
    </row>
    <row r="55" spans="1:248" ht="15" customHeight="1">
      <c r="A55" s="427"/>
      <c r="B55" s="429"/>
      <c r="C55" s="411"/>
      <c r="D55" s="168" t="s">
        <v>423</v>
      </c>
      <c r="E55" s="399" t="s">
        <v>380</v>
      </c>
      <c r="F55" s="399"/>
      <c r="G55" s="209" t="s">
        <v>377</v>
      </c>
      <c r="H55" s="209" t="s">
        <v>378</v>
      </c>
      <c r="I55" s="155">
        <v>49.9</v>
      </c>
      <c r="J55" s="156" t="str">
        <f t="shared" si="12"/>
        <v/>
      </c>
      <c r="K55" s="157" t="str">
        <f t="shared" si="13"/>
        <v>Não</v>
      </c>
      <c r="L55" s="157" t="str">
        <f t="shared" si="14"/>
        <v/>
      </c>
      <c r="M55" s="397"/>
      <c r="N55" s="398"/>
    </row>
    <row r="56" spans="1:248" ht="15" customHeight="1">
      <c r="A56" s="427"/>
      <c r="B56" s="429"/>
      <c r="C56" s="411"/>
      <c r="D56" s="168" t="s">
        <v>423</v>
      </c>
      <c r="E56" s="399" t="s">
        <v>380</v>
      </c>
      <c r="F56" s="399"/>
      <c r="G56" s="209" t="s">
        <v>381</v>
      </c>
      <c r="H56" s="209" t="s">
        <v>382</v>
      </c>
      <c r="I56" s="155">
        <v>7.9</v>
      </c>
      <c r="J56" s="156">
        <f t="shared" si="12"/>
        <v>7.9</v>
      </c>
      <c r="K56" s="157" t="str">
        <f t="shared" si="13"/>
        <v>Sim</v>
      </c>
      <c r="L56" s="157">
        <f t="shared" si="14"/>
        <v>7.9</v>
      </c>
      <c r="M56" s="397"/>
      <c r="N56" s="398"/>
    </row>
    <row r="57" spans="1:248" ht="15" customHeight="1">
      <c r="A57" s="427"/>
      <c r="B57" s="429"/>
      <c r="C57" s="411"/>
      <c r="D57" s="168" t="s">
        <v>423</v>
      </c>
      <c r="E57" s="399" t="s">
        <v>380</v>
      </c>
      <c r="F57" s="399"/>
      <c r="G57" s="209" t="s">
        <v>337</v>
      </c>
      <c r="H57" s="209" t="s">
        <v>383</v>
      </c>
      <c r="I57" s="155">
        <v>20</v>
      </c>
      <c r="J57" s="156">
        <f t="shared" si="12"/>
        <v>20</v>
      </c>
      <c r="K57" s="157" t="str">
        <f t="shared" si="13"/>
        <v>Sim</v>
      </c>
      <c r="L57" s="157">
        <f t="shared" si="14"/>
        <v>20</v>
      </c>
      <c r="M57" s="397"/>
      <c r="N57" s="398"/>
    </row>
    <row r="58" spans="1:248" ht="15" customHeight="1">
      <c r="A58" s="427"/>
      <c r="B58" s="429"/>
      <c r="C58" s="411"/>
      <c r="D58" s="168" t="s">
        <v>423</v>
      </c>
      <c r="E58" s="399" t="s">
        <v>380</v>
      </c>
      <c r="F58" s="399"/>
      <c r="G58" s="209" t="s">
        <v>384</v>
      </c>
      <c r="H58" s="209" t="s">
        <v>385</v>
      </c>
      <c r="I58" s="155">
        <v>35</v>
      </c>
      <c r="J58" s="156">
        <f t="shared" si="12"/>
        <v>35</v>
      </c>
      <c r="K58" s="157" t="str">
        <f t="shared" si="13"/>
        <v>Não</v>
      </c>
      <c r="L58" s="157" t="str">
        <f t="shared" si="14"/>
        <v/>
      </c>
      <c r="M58" s="397"/>
      <c r="N58" s="398"/>
    </row>
    <row r="59" spans="1:248" ht="15" customHeight="1">
      <c r="A59" s="427"/>
      <c r="B59" s="429"/>
      <c r="C59" s="411"/>
      <c r="D59" s="168" t="s">
        <v>423</v>
      </c>
      <c r="E59" s="399" t="s">
        <v>380</v>
      </c>
      <c r="F59" s="399"/>
      <c r="G59" s="209" t="s">
        <v>393</v>
      </c>
      <c r="H59" s="209" t="s">
        <v>394</v>
      </c>
      <c r="I59" s="155">
        <v>25</v>
      </c>
      <c r="J59" s="156">
        <f t="shared" si="12"/>
        <v>25</v>
      </c>
      <c r="K59" s="157" t="str">
        <f t="shared" si="13"/>
        <v>Sim</v>
      </c>
      <c r="L59" s="157">
        <f t="shared" si="14"/>
        <v>25</v>
      </c>
      <c r="M59" s="397"/>
      <c r="N59" s="398"/>
    </row>
    <row r="60" spans="1:248" ht="15" customHeight="1">
      <c r="A60" s="427"/>
      <c r="B60" s="429"/>
      <c r="C60" s="411"/>
      <c r="D60" s="168" t="s">
        <v>423</v>
      </c>
      <c r="E60" s="399" t="s">
        <v>380</v>
      </c>
      <c r="F60" s="399"/>
      <c r="G60" s="209" t="s">
        <v>335</v>
      </c>
      <c r="H60" s="209" t="s">
        <v>395</v>
      </c>
      <c r="I60" s="155">
        <v>49</v>
      </c>
      <c r="J60" s="156" t="str">
        <f t="shared" si="12"/>
        <v/>
      </c>
      <c r="K60" s="157" t="str">
        <f t="shared" si="13"/>
        <v>Não</v>
      </c>
      <c r="L60" s="157" t="str">
        <f t="shared" si="14"/>
        <v/>
      </c>
      <c r="M60" s="397"/>
      <c r="N60" s="398"/>
    </row>
    <row r="61" spans="1:248" ht="15" customHeight="1">
      <c r="A61" s="427"/>
      <c r="B61" s="429"/>
      <c r="C61" s="411"/>
      <c r="D61" s="168" t="s">
        <v>423</v>
      </c>
      <c r="E61" s="399" t="s">
        <v>396</v>
      </c>
      <c r="F61" s="399"/>
      <c r="G61" s="67" t="s">
        <v>332</v>
      </c>
      <c r="H61" s="209" t="s">
        <v>397</v>
      </c>
      <c r="I61" s="155">
        <v>47.9</v>
      </c>
      <c r="J61" s="156" t="str">
        <f t="shared" si="12"/>
        <v/>
      </c>
      <c r="K61" s="157" t="str">
        <f t="shared" si="13"/>
        <v>Não</v>
      </c>
      <c r="L61" s="157" t="str">
        <f t="shared" si="14"/>
        <v/>
      </c>
      <c r="M61" s="397"/>
      <c r="N61" s="398"/>
    </row>
    <row r="62" spans="1:248" ht="15" customHeight="1"/>
    <row r="63" spans="1:248" ht="15" customHeight="1">
      <c r="A63" s="394" t="s">
        <v>7</v>
      </c>
      <c r="B63" s="395"/>
      <c r="C63" s="395"/>
      <c r="D63" s="395"/>
      <c r="E63" s="396"/>
      <c r="F63" s="394" t="s">
        <v>8</v>
      </c>
      <c r="G63" s="395"/>
      <c r="H63" s="395"/>
      <c r="I63" s="394" t="s">
        <v>330</v>
      </c>
      <c r="J63" s="395"/>
      <c r="K63" s="395"/>
      <c r="L63" s="396"/>
      <c r="M63" s="390" t="s">
        <v>2</v>
      </c>
      <c r="N63" s="391"/>
    </row>
    <row r="64" spans="1:248" ht="15" customHeight="1">
      <c r="A64" s="406"/>
      <c r="B64" s="407"/>
      <c r="C64" s="407"/>
      <c r="D64" s="407"/>
      <c r="E64" s="408"/>
      <c r="F64" s="403" t="s">
        <v>339</v>
      </c>
      <c r="G64" s="404"/>
      <c r="H64" s="404"/>
      <c r="I64" s="403" t="s">
        <v>18</v>
      </c>
      <c r="J64" s="404"/>
      <c r="K64" s="404"/>
      <c r="L64" s="405"/>
      <c r="M64" s="392"/>
      <c r="N64" s="393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</row>
    <row r="65" spans="1:248" s="1" customFormat="1" ht="21">
      <c r="A65" s="176" t="s">
        <v>10</v>
      </c>
      <c r="B65" s="176" t="s">
        <v>15</v>
      </c>
      <c r="C65" s="176" t="s">
        <v>6</v>
      </c>
      <c r="D65" s="132" t="s">
        <v>4</v>
      </c>
      <c r="E65" s="388" t="s">
        <v>9</v>
      </c>
      <c r="F65" s="389"/>
      <c r="G65" s="133" t="s">
        <v>5</v>
      </c>
      <c r="H65" s="133" t="s">
        <v>1</v>
      </c>
      <c r="I65" s="177" t="s">
        <v>12</v>
      </c>
      <c r="J65" s="178" t="s">
        <v>13</v>
      </c>
      <c r="K65" s="154"/>
      <c r="L65" s="173" t="s">
        <v>14</v>
      </c>
      <c r="M65" s="172" t="s">
        <v>0</v>
      </c>
      <c r="N65" s="173" t="s">
        <v>3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</row>
    <row r="66" spans="1:248" ht="15" customHeight="1">
      <c r="A66" s="409"/>
      <c r="B66" s="410"/>
      <c r="C66" s="411">
        <v>2</v>
      </c>
      <c r="D66" s="184" t="s">
        <v>315</v>
      </c>
      <c r="E66" s="412" t="s">
        <v>317</v>
      </c>
      <c r="F66" s="412"/>
      <c r="G66" s="209" t="s">
        <v>318</v>
      </c>
      <c r="H66" s="209" t="s">
        <v>316</v>
      </c>
      <c r="I66" s="155">
        <v>13.78</v>
      </c>
      <c r="J66" s="156" t="str">
        <f>IF(AND((STDEV(I$66:I$79)/AVERAGE(I$66:I$79))&lt;=0.25,ISNUMBER(I66)),I66,IF(AND(I66&lt;=(AVERAGE(I$66:I$79)+STDEV(I$66:I$79)),I66&gt;=(AVERAGE(I$66:I$79)-STDEV(I$66:I$79)),ISNUMBER(I66)),I66,""))</f>
        <v/>
      </c>
      <c r="K66" s="157" t="str">
        <f>IF(AND(COUNT(I$66:I$79)=1,ISNUMBER(I66)),"Sim",IF(AND((STDEV(J$66:J$79)/AVERAGE(J$66:J$79))&lt;0.25,ISNUMBER(J66)),"Sim",IF(AND(J66&lt;=(AVERAGE(J$66:J$79)+STDEV(J$66:J$79)),J66&gt;=(AVERAGE(J$66:J$79)-STDEV(J$66:J$79)),ISNUMBER(J66)),"Sim","Não")))</f>
        <v>Não</v>
      </c>
      <c r="L66" s="157" t="str">
        <f>IF(K66="Sim",J66,"")</f>
        <v/>
      </c>
      <c r="M66" s="397">
        <f>ROUND(IF(COUNT(I66:I79)=1,I66,IF((COUNT(L66:L79)&lt;3),MIN(L66:L79),AVERAGE(L66:L79))),2)</f>
        <v>102.18</v>
      </c>
      <c r="N66" s="398">
        <f>C66*M66</f>
        <v>204.36</v>
      </c>
    </row>
    <row r="67" spans="1:248">
      <c r="A67" s="409"/>
      <c r="B67" s="410"/>
      <c r="C67" s="411"/>
      <c r="D67" s="184" t="s">
        <v>364</v>
      </c>
      <c r="E67" s="412" t="s">
        <v>366</v>
      </c>
      <c r="F67" s="412"/>
      <c r="G67" s="209" t="s">
        <v>363</v>
      </c>
      <c r="H67" s="209" t="s">
        <v>365</v>
      </c>
      <c r="I67" s="183">
        <v>33</v>
      </c>
      <c r="J67" s="156">
        <f t="shared" ref="J67:J79" si="15">IF(AND((STDEV(I$66:I$79)/AVERAGE(I$66:I$79))&lt;=0.25,ISNUMBER(I67)),I67,IF(AND(I67&lt;=(AVERAGE(I$66:I$79)+STDEV(I$66:I$79)),I67&gt;=(AVERAGE(I$66:I$79)-STDEV(I$66:I$79)),ISNUMBER(I67)),I67,""))</f>
        <v>33</v>
      </c>
      <c r="K67" s="157" t="str">
        <f t="shared" ref="K67:K79" si="16">IF(AND(COUNT(I$66:I$79)=1,ISNUMBER(I67)),"Sim",IF(AND((STDEV(J$66:J$79)/AVERAGE(J$66:J$79))&lt;0.25,ISNUMBER(J67)),"Sim",IF(AND(J67&lt;=(AVERAGE(J$66:J$79)+STDEV(J$66:J$79)),J67&gt;=(AVERAGE(J$66:J$79)-STDEV(J$66:J$79)),ISNUMBER(J67)),"Sim","Não")))</f>
        <v>Não</v>
      </c>
      <c r="L67" s="157" t="str">
        <f t="shared" ref="L67:L79" si="17">IF(K67="Sim",J67,"")</f>
        <v/>
      </c>
      <c r="M67" s="397"/>
      <c r="N67" s="398"/>
    </row>
    <row r="68" spans="1:248" ht="15" customHeight="1">
      <c r="A68" s="409"/>
      <c r="B68" s="410"/>
      <c r="C68" s="411"/>
      <c r="D68" s="184" t="s">
        <v>309</v>
      </c>
      <c r="E68" s="412" t="s">
        <v>373</v>
      </c>
      <c r="F68" s="412"/>
      <c r="G68" s="209" t="s">
        <v>371</v>
      </c>
      <c r="H68" s="209" t="s">
        <v>372</v>
      </c>
      <c r="I68" s="155">
        <v>39.72</v>
      </c>
      <c r="J68" s="156">
        <f t="shared" si="15"/>
        <v>39.72</v>
      </c>
      <c r="K68" s="157" t="str">
        <f t="shared" si="16"/>
        <v>Não</v>
      </c>
      <c r="L68" s="157" t="str">
        <f t="shared" si="17"/>
        <v/>
      </c>
      <c r="M68" s="397"/>
      <c r="N68" s="398"/>
    </row>
    <row r="69" spans="1:248" ht="15" customHeight="1">
      <c r="A69" s="409"/>
      <c r="B69" s="410"/>
      <c r="C69" s="411"/>
      <c r="D69" s="168" t="s">
        <v>320</v>
      </c>
      <c r="E69" s="399" t="s">
        <v>321</v>
      </c>
      <c r="F69" s="399"/>
      <c r="G69" s="209" t="s">
        <v>322</v>
      </c>
      <c r="H69" s="209" t="s">
        <v>323</v>
      </c>
      <c r="I69" s="155">
        <v>37.5</v>
      </c>
      <c r="J69" s="156">
        <f t="shared" si="15"/>
        <v>37.5</v>
      </c>
      <c r="K69" s="157" t="str">
        <f t="shared" si="16"/>
        <v>Não</v>
      </c>
      <c r="L69" s="157" t="str">
        <f t="shared" si="17"/>
        <v/>
      </c>
      <c r="M69" s="397"/>
      <c r="N69" s="398"/>
    </row>
    <row r="70" spans="1:248" ht="15" customHeight="1">
      <c r="A70" s="409"/>
      <c r="B70" s="410"/>
      <c r="C70" s="411"/>
      <c r="D70" s="168" t="s">
        <v>311</v>
      </c>
      <c r="E70" s="399" t="s">
        <v>375</v>
      </c>
      <c r="F70" s="399"/>
      <c r="G70" s="209" t="s">
        <v>312</v>
      </c>
      <c r="H70" s="209" t="s">
        <v>376</v>
      </c>
      <c r="I70" s="155">
        <v>12.5</v>
      </c>
      <c r="J70" s="156" t="str">
        <f t="shared" si="15"/>
        <v/>
      </c>
      <c r="K70" s="157" t="str">
        <f t="shared" si="16"/>
        <v>Não</v>
      </c>
      <c r="L70" s="157" t="str">
        <f t="shared" si="17"/>
        <v/>
      </c>
      <c r="M70" s="397"/>
      <c r="N70" s="398"/>
    </row>
    <row r="71" spans="1:248" ht="15" customHeight="1">
      <c r="A71" s="409"/>
      <c r="B71" s="410"/>
      <c r="C71" s="411"/>
      <c r="D71" s="168" t="s">
        <v>423</v>
      </c>
      <c r="E71" s="399" t="s">
        <v>380</v>
      </c>
      <c r="F71" s="399"/>
      <c r="G71" s="209" t="s">
        <v>377</v>
      </c>
      <c r="H71" s="209" t="s">
        <v>378</v>
      </c>
      <c r="I71" s="155">
        <v>120</v>
      </c>
      <c r="J71" s="156">
        <f t="shared" si="15"/>
        <v>120</v>
      </c>
      <c r="K71" s="157" t="str">
        <f t="shared" si="16"/>
        <v>Sim</v>
      </c>
      <c r="L71" s="157">
        <f t="shared" si="17"/>
        <v>120</v>
      </c>
      <c r="M71" s="397"/>
      <c r="N71" s="398"/>
    </row>
    <row r="72" spans="1:248" ht="15" customHeight="1">
      <c r="A72" s="409"/>
      <c r="B72" s="410"/>
      <c r="C72" s="411"/>
      <c r="D72" s="168" t="s">
        <v>423</v>
      </c>
      <c r="E72" s="399" t="s">
        <v>380</v>
      </c>
      <c r="F72" s="399"/>
      <c r="G72" s="209" t="s">
        <v>381</v>
      </c>
      <c r="H72" s="209" t="s">
        <v>382</v>
      </c>
      <c r="I72" s="155">
        <v>67</v>
      </c>
      <c r="J72" s="156">
        <f t="shared" si="15"/>
        <v>67</v>
      </c>
      <c r="K72" s="157" t="str">
        <f t="shared" si="16"/>
        <v>Sim</v>
      </c>
      <c r="L72" s="157">
        <f t="shared" si="17"/>
        <v>67</v>
      </c>
      <c r="M72" s="397"/>
      <c r="N72" s="398"/>
    </row>
    <row r="73" spans="1:248" ht="15" customHeight="1">
      <c r="A73" s="409"/>
      <c r="B73" s="410"/>
      <c r="C73" s="411"/>
      <c r="D73" s="168" t="s">
        <v>423</v>
      </c>
      <c r="E73" s="399" t="s">
        <v>380</v>
      </c>
      <c r="F73" s="399"/>
      <c r="G73" s="209" t="s">
        <v>337</v>
      </c>
      <c r="H73" s="209" t="s">
        <v>383</v>
      </c>
      <c r="I73" s="155">
        <v>134</v>
      </c>
      <c r="J73" s="156">
        <f t="shared" si="15"/>
        <v>134</v>
      </c>
      <c r="K73" s="157" t="str">
        <f t="shared" si="16"/>
        <v>Não</v>
      </c>
      <c r="L73" s="157" t="str">
        <f t="shared" si="17"/>
        <v/>
      </c>
      <c r="M73" s="397"/>
      <c r="N73" s="398"/>
    </row>
    <row r="74" spans="1:248" ht="15" customHeight="1">
      <c r="A74" s="409"/>
      <c r="B74" s="410"/>
      <c r="C74" s="411"/>
      <c r="D74" s="168" t="s">
        <v>423</v>
      </c>
      <c r="E74" s="399" t="s">
        <v>380</v>
      </c>
      <c r="F74" s="399"/>
      <c r="G74" s="209" t="s">
        <v>384</v>
      </c>
      <c r="H74" s="209" t="s">
        <v>385</v>
      </c>
      <c r="I74" s="155">
        <v>115</v>
      </c>
      <c r="J74" s="156">
        <f t="shared" si="15"/>
        <v>115</v>
      </c>
      <c r="K74" s="157" t="str">
        <f t="shared" si="16"/>
        <v>Sim</v>
      </c>
      <c r="L74" s="157">
        <f t="shared" si="17"/>
        <v>115</v>
      </c>
      <c r="M74" s="397"/>
      <c r="N74" s="398"/>
    </row>
    <row r="75" spans="1:248" ht="15" customHeight="1">
      <c r="A75" s="409"/>
      <c r="B75" s="410"/>
      <c r="C75" s="411"/>
      <c r="D75" s="168" t="s">
        <v>423</v>
      </c>
      <c r="E75" s="399" t="s">
        <v>380</v>
      </c>
      <c r="F75" s="399"/>
      <c r="G75" s="209" t="s">
        <v>391</v>
      </c>
      <c r="H75" s="209" t="s">
        <v>392</v>
      </c>
      <c r="I75" s="155">
        <v>150</v>
      </c>
      <c r="J75" s="156" t="str">
        <f t="shared" si="15"/>
        <v/>
      </c>
      <c r="K75" s="157" t="str">
        <f t="shared" si="16"/>
        <v>Não</v>
      </c>
      <c r="L75" s="157" t="str">
        <f t="shared" si="17"/>
        <v/>
      </c>
      <c r="M75" s="397"/>
      <c r="N75" s="398"/>
    </row>
    <row r="76" spans="1:248" ht="15" customHeight="1">
      <c r="A76" s="409"/>
      <c r="B76" s="410"/>
      <c r="C76" s="411"/>
      <c r="D76" s="168" t="s">
        <v>423</v>
      </c>
      <c r="E76" s="399" t="s">
        <v>380</v>
      </c>
      <c r="F76" s="399"/>
      <c r="G76" s="209" t="s">
        <v>393</v>
      </c>
      <c r="H76" s="209" t="s">
        <v>394</v>
      </c>
      <c r="I76" s="155">
        <v>89.9</v>
      </c>
      <c r="J76" s="156">
        <f t="shared" si="15"/>
        <v>89.9</v>
      </c>
      <c r="K76" s="157" t="str">
        <f t="shared" si="16"/>
        <v>Sim</v>
      </c>
      <c r="L76" s="157">
        <f t="shared" si="17"/>
        <v>89.9</v>
      </c>
      <c r="M76" s="397"/>
      <c r="N76" s="398"/>
    </row>
    <row r="77" spans="1:248" ht="15" customHeight="1">
      <c r="A77" s="409"/>
      <c r="B77" s="410"/>
      <c r="C77" s="411"/>
      <c r="D77" s="168" t="s">
        <v>423</v>
      </c>
      <c r="E77" s="399" t="s">
        <v>380</v>
      </c>
      <c r="F77" s="399"/>
      <c r="G77" s="209" t="s">
        <v>335</v>
      </c>
      <c r="H77" s="209" t="s">
        <v>395</v>
      </c>
      <c r="I77" s="155">
        <v>119</v>
      </c>
      <c r="J77" s="156">
        <f t="shared" si="15"/>
        <v>119</v>
      </c>
      <c r="K77" s="157" t="str">
        <f t="shared" si="16"/>
        <v>Sim</v>
      </c>
      <c r="L77" s="157">
        <f t="shared" si="17"/>
        <v>119</v>
      </c>
      <c r="M77" s="397"/>
      <c r="N77" s="398"/>
    </row>
    <row r="78" spans="1:248" ht="15" customHeight="1">
      <c r="A78" s="409"/>
      <c r="B78" s="410"/>
      <c r="C78" s="411"/>
      <c r="D78" s="168" t="s">
        <v>423</v>
      </c>
      <c r="E78" s="399" t="s">
        <v>396</v>
      </c>
      <c r="F78" s="399"/>
      <c r="G78" s="67" t="s">
        <v>332</v>
      </c>
      <c r="H78" s="209" t="s">
        <v>397</v>
      </c>
      <c r="I78" s="155">
        <v>154.9</v>
      </c>
      <c r="J78" s="156" t="str">
        <f t="shared" si="15"/>
        <v/>
      </c>
      <c r="K78" s="157" t="str">
        <f t="shared" si="16"/>
        <v>Não</v>
      </c>
      <c r="L78" s="157" t="str">
        <f t="shared" si="17"/>
        <v/>
      </c>
      <c r="M78" s="397"/>
      <c r="N78" s="398"/>
    </row>
    <row r="79" spans="1:248" ht="15" customHeight="1">
      <c r="A79" s="409"/>
      <c r="B79" s="410"/>
      <c r="C79" s="411"/>
      <c r="D79" s="168"/>
      <c r="E79" s="399"/>
      <c r="F79" s="399"/>
      <c r="G79" s="158"/>
      <c r="H79" s="159"/>
      <c r="I79" s="155"/>
      <c r="J79" s="156" t="str">
        <f t="shared" si="15"/>
        <v/>
      </c>
      <c r="K79" s="157" t="str">
        <f t="shared" si="16"/>
        <v>Não</v>
      </c>
      <c r="L79" s="157" t="str">
        <f t="shared" si="17"/>
        <v/>
      </c>
      <c r="M79" s="397"/>
      <c r="N79" s="398"/>
    </row>
    <row r="81" spans="1:14">
      <c r="A81" s="394" t="s">
        <v>7</v>
      </c>
      <c r="B81" s="395"/>
      <c r="C81" s="395"/>
      <c r="D81" s="395"/>
      <c r="E81" s="396"/>
      <c r="F81" s="394" t="s">
        <v>8</v>
      </c>
      <c r="G81" s="395"/>
      <c r="H81" s="395"/>
      <c r="I81" s="394" t="s">
        <v>330</v>
      </c>
      <c r="J81" s="395"/>
      <c r="K81" s="395"/>
      <c r="L81" s="396"/>
      <c r="M81" s="390" t="s">
        <v>2</v>
      </c>
      <c r="N81" s="391"/>
    </row>
    <row r="82" spans="1:14" ht="15" customHeight="1">
      <c r="A82" s="406"/>
      <c r="B82" s="407"/>
      <c r="C82" s="407"/>
      <c r="D82" s="407"/>
      <c r="E82" s="408"/>
      <c r="F82" s="403" t="s">
        <v>340</v>
      </c>
      <c r="G82" s="404"/>
      <c r="H82" s="404"/>
      <c r="I82" s="403" t="s">
        <v>18</v>
      </c>
      <c r="J82" s="404"/>
      <c r="K82" s="404"/>
      <c r="L82" s="405"/>
      <c r="M82" s="392"/>
      <c r="N82" s="393"/>
    </row>
    <row r="83" spans="1:14" ht="21">
      <c r="A83" s="176" t="s">
        <v>10</v>
      </c>
      <c r="B83" s="176" t="s">
        <v>15</v>
      </c>
      <c r="C83" s="176" t="s">
        <v>6</v>
      </c>
      <c r="D83" s="132" t="s">
        <v>4</v>
      </c>
      <c r="E83" s="388" t="s">
        <v>9</v>
      </c>
      <c r="F83" s="389"/>
      <c r="G83" s="133" t="s">
        <v>5</v>
      </c>
      <c r="H83" s="133" t="s">
        <v>1</v>
      </c>
      <c r="I83" s="177" t="s">
        <v>12</v>
      </c>
      <c r="J83" s="178" t="s">
        <v>13</v>
      </c>
      <c r="K83" s="154"/>
      <c r="L83" s="173" t="s">
        <v>14</v>
      </c>
      <c r="M83" s="172" t="s">
        <v>0</v>
      </c>
      <c r="N83" s="173" t="s">
        <v>3</v>
      </c>
    </row>
    <row r="84" spans="1:14" ht="15" customHeight="1">
      <c r="A84" s="409"/>
      <c r="B84" s="410"/>
      <c r="C84" s="411">
        <v>6</v>
      </c>
      <c r="D84" s="184" t="s">
        <v>364</v>
      </c>
      <c r="E84" s="399" t="s">
        <v>366</v>
      </c>
      <c r="F84" s="399"/>
      <c r="G84" s="209" t="s">
        <v>363</v>
      </c>
      <c r="H84" s="209" t="s">
        <v>365</v>
      </c>
      <c r="I84" s="183">
        <v>2.9</v>
      </c>
      <c r="J84" s="156" t="str">
        <f t="shared" ref="J84:J92" si="18">IF(AND((STDEV(I$84:I$92)/AVERAGE(I$84:I$92))&lt;=0.25,ISNUMBER(I84)),I84,IF(AND(I84&lt;=(AVERAGE(I$84:I$92)+STDEV(I$84:I$92)),I84&gt;=(AVERAGE(I$84:I$92)-STDEV(I$84:I$92)),ISNUMBER(I84)),I84,""))</f>
        <v/>
      </c>
      <c r="K84" s="157" t="str">
        <f t="shared" ref="K84:K92" si="19">IF(AND(COUNT(I$84:I$92)=1,ISNUMBER(I84)),"Sim",IF(AND((STDEV(J$84:J$92)/AVERAGE(J$84:J$92))&lt;0.25,ISNUMBER(J84)),"Sim",IF(AND(J84&lt;=(AVERAGE(J$84:J$92)+STDEV(J$84:J$92)),J84&gt;=(AVERAGE(J$84:J$92)-STDEV(J$84:J$92)),ISNUMBER(J84)),"Sim","Não")))</f>
        <v>Não</v>
      </c>
      <c r="L84" s="157" t="str">
        <f>IF(K84="Sim",J84,"")</f>
        <v/>
      </c>
      <c r="M84" s="397">
        <f>ROUND(IF(COUNT(I84:I92)=1,I84,IF((COUNT(L84:L92)&lt;3),MIN(L84:L92),AVERAGE(L84:L92))),2)</f>
        <v>5.67</v>
      </c>
      <c r="N84" s="398">
        <f>C84*M84</f>
        <v>34.019999999999996</v>
      </c>
    </row>
    <row r="85" spans="1:14">
      <c r="A85" s="409"/>
      <c r="B85" s="410"/>
      <c r="C85" s="411"/>
      <c r="D85" s="184" t="s">
        <v>309</v>
      </c>
      <c r="E85" s="399" t="s">
        <v>373</v>
      </c>
      <c r="F85" s="399"/>
      <c r="G85" s="209" t="s">
        <v>371</v>
      </c>
      <c r="H85" s="209" t="s">
        <v>372</v>
      </c>
      <c r="I85" s="155">
        <v>4</v>
      </c>
      <c r="J85" s="156">
        <f t="shared" si="18"/>
        <v>4</v>
      </c>
      <c r="K85" s="157" t="str">
        <f t="shared" si="19"/>
        <v>Sim</v>
      </c>
      <c r="L85" s="157">
        <f t="shared" ref="L85:L91" si="20">IF(K85="Sim",J85,"")</f>
        <v>4</v>
      </c>
      <c r="M85" s="397"/>
      <c r="N85" s="398"/>
    </row>
    <row r="86" spans="1:14">
      <c r="A86" s="409"/>
      <c r="B86" s="410"/>
      <c r="C86" s="411"/>
      <c r="D86" s="168" t="s">
        <v>320</v>
      </c>
      <c r="E86" s="399" t="s">
        <v>321</v>
      </c>
      <c r="F86" s="399"/>
      <c r="G86" s="209" t="s">
        <v>322</v>
      </c>
      <c r="H86" s="209" t="s">
        <v>323</v>
      </c>
      <c r="I86" s="155">
        <v>5</v>
      </c>
      <c r="J86" s="156">
        <f t="shared" si="18"/>
        <v>5</v>
      </c>
      <c r="K86" s="157" t="str">
        <f t="shared" si="19"/>
        <v>Sim</v>
      </c>
      <c r="L86" s="157">
        <f t="shared" si="20"/>
        <v>5</v>
      </c>
      <c r="M86" s="397"/>
      <c r="N86" s="398"/>
    </row>
    <row r="87" spans="1:14">
      <c r="A87" s="409"/>
      <c r="B87" s="410"/>
      <c r="C87" s="411"/>
      <c r="D87" s="168" t="s">
        <v>311</v>
      </c>
      <c r="E87" s="399" t="s">
        <v>375</v>
      </c>
      <c r="F87" s="399"/>
      <c r="G87" s="209" t="s">
        <v>312</v>
      </c>
      <c r="H87" s="209" t="s">
        <v>376</v>
      </c>
      <c r="I87" s="155">
        <v>3.5</v>
      </c>
      <c r="J87" s="156">
        <f t="shared" si="18"/>
        <v>3.5</v>
      </c>
      <c r="K87" s="157" t="str">
        <f t="shared" si="19"/>
        <v>Não</v>
      </c>
      <c r="L87" s="157" t="str">
        <f t="shared" si="20"/>
        <v/>
      </c>
      <c r="M87" s="397"/>
      <c r="N87" s="398"/>
    </row>
    <row r="88" spans="1:14">
      <c r="A88" s="409"/>
      <c r="B88" s="410"/>
      <c r="C88" s="411"/>
      <c r="D88" s="168" t="s">
        <v>423</v>
      </c>
      <c r="E88" s="399" t="s">
        <v>380</v>
      </c>
      <c r="F88" s="399"/>
      <c r="G88" s="209" t="s">
        <v>377</v>
      </c>
      <c r="H88" s="209" t="s">
        <v>378</v>
      </c>
      <c r="I88" s="155">
        <v>19.899999999999999</v>
      </c>
      <c r="J88" s="156" t="str">
        <f t="shared" si="18"/>
        <v/>
      </c>
      <c r="K88" s="157" t="str">
        <f t="shared" si="19"/>
        <v>Não</v>
      </c>
      <c r="L88" s="157" t="str">
        <f t="shared" si="20"/>
        <v/>
      </c>
      <c r="M88" s="397"/>
      <c r="N88" s="398"/>
    </row>
    <row r="89" spans="1:14">
      <c r="A89" s="409"/>
      <c r="B89" s="410"/>
      <c r="C89" s="411"/>
      <c r="D89" s="168" t="s">
        <v>423</v>
      </c>
      <c r="E89" s="399" t="s">
        <v>380</v>
      </c>
      <c r="F89" s="399"/>
      <c r="G89" s="209" t="s">
        <v>337</v>
      </c>
      <c r="H89" s="209" t="s">
        <v>383</v>
      </c>
      <c r="I89" s="155">
        <v>15</v>
      </c>
      <c r="J89" s="156">
        <f t="shared" si="18"/>
        <v>15</v>
      </c>
      <c r="K89" s="157" t="str">
        <f t="shared" si="19"/>
        <v>Não</v>
      </c>
      <c r="L89" s="157" t="str">
        <f t="shared" si="20"/>
        <v/>
      </c>
      <c r="M89" s="397"/>
      <c r="N89" s="398"/>
    </row>
    <row r="90" spans="1:14">
      <c r="A90" s="409"/>
      <c r="B90" s="410"/>
      <c r="C90" s="411"/>
      <c r="D90" s="168" t="s">
        <v>423</v>
      </c>
      <c r="E90" s="399" t="s">
        <v>380</v>
      </c>
      <c r="F90" s="399"/>
      <c r="G90" s="209" t="s">
        <v>387</v>
      </c>
      <c r="H90" s="209" t="s">
        <v>386</v>
      </c>
      <c r="I90" s="155">
        <v>15.5</v>
      </c>
      <c r="J90" s="156">
        <f t="shared" si="18"/>
        <v>15.5</v>
      </c>
      <c r="K90" s="157" t="str">
        <f t="shared" si="19"/>
        <v>Não</v>
      </c>
      <c r="L90" s="157" t="str">
        <f t="shared" si="20"/>
        <v/>
      </c>
      <c r="M90" s="397"/>
      <c r="N90" s="398"/>
    </row>
    <row r="91" spans="1:14">
      <c r="A91" s="409"/>
      <c r="B91" s="410"/>
      <c r="C91" s="411"/>
      <c r="D91" s="168" t="s">
        <v>423</v>
      </c>
      <c r="E91" s="399" t="s">
        <v>380</v>
      </c>
      <c r="F91" s="399"/>
      <c r="G91" s="209" t="s">
        <v>393</v>
      </c>
      <c r="H91" s="209" t="s">
        <v>394</v>
      </c>
      <c r="I91" s="155">
        <v>8</v>
      </c>
      <c r="J91" s="156">
        <f t="shared" si="18"/>
        <v>8</v>
      </c>
      <c r="K91" s="157" t="str">
        <f t="shared" si="19"/>
        <v>Sim</v>
      </c>
      <c r="L91" s="157">
        <f t="shared" si="20"/>
        <v>8</v>
      </c>
      <c r="M91" s="397"/>
      <c r="N91" s="398"/>
    </row>
    <row r="92" spans="1:14">
      <c r="A92" s="409"/>
      <c r="B92" s="410"/>
      <c r="C92" s="411"/>
      <c r="D92" s="168" t="s">
        <v>423</v>
      </c>
      <c r="E92" s="399" t="s">
        <v>380</v>
      </c>
      <c r="F92" s="399"/>
      <c r="G92" s="209" t="s">
        <v>335</v>
      </c>
      <c r="H92" s="209" t="s">
        <v>395</v>
      </c>
      <c r="I92" s="155">
        <v>10.95</v>
      </c>
      <c r="J92" s="156">
        <f t="shared" si="18"/>
        <v>10.95</v>
      </c>
      <c r="K92" s="157" t="str">
        <f t="shared" si="19"/>
        <v>Sim</v>
      </c>
      <c r="L92" s="157"/>
      <c r="M92" s="397"/>
      <c r="N92" s="398"/>
    </row>
    <row r="94" spans="1:14">
      <c r="A94" s="394" t="s">
        <v>7</v>
      </c>
      <c r="B94" s="395"/>
      <c r="C94" s="395"/>
      <c r="D94" s="395"/>
      <c r="E94" s="396"/>
      <c r="F94" s="394" t="s">
        <v>8</v>
      </c>
      <c r="G94" s="395"/>
      <c r="H94" s="395"/>
      <c r="I94" s="394" t="s">
        <v>330</v>
      </c>
      <c r="J94" s="395"/>
      <c r="K94" s="395"/>
      <c r="L94" s="396"/>
      <c r="M94" s="390" t="s">
        <v>2</v>
      </c>
      <c r="N94" s="391"/>
    </row>
    <row r="95" spans="1:14" ht="15" customHeight="1">
      <c r="A95" s="406"/>
      <c r="B95" s="407"/>
      <c r="C95" s="407"/>
      <c r="D95" s="407"/>
      <c r="E95" s="408"/>
      <c r="F95" s="403" t="s">
        <v>341</v>
      </c>
      <c r="G95" s="404"/>
      <c r="H95" s="404"/>
      <c r="I95" s="403" t="s">
        <v>18</v>
      </c>
      <c r="J95" s="404"/>
      <c r="K95" s="404"/>
      <c r="L95" s="405"/>
      <c r="M95" s="392"/>
      <c r="N95" s="393"/>
    </row>
    <row r="96" spans="1:14" ht="21">
      <c r="A96" s="176" t="s">
        <v>10</v>
      </c>
      <c r="B96" s="176" t="s">
        <v>15</v>
      </c>
      <c r="C96" s="176" t="s">
        <v>6</v>
      </c>
      <c r="D96" s="132" t="s">
        <v>4</v>
      </c>
      <c r="E96" s="388" t="s">
        <v>9</v>
      </c>
      <c r="F96" s="389"/>
      <c r="G96" s="133" t="s">
        <v>5</v>
      </c>
      <c r="H96" s="133" t="s">
        <v>1</v>
      </c>
      <c r="I96" s="177" t="s">
        <v>12</v>
      </c>
      <c r="J96" s="178" t="s">
        <v>13</v>
      </c>
      <c r="K96" s="154"/>
      <c r="L96" s="173" t="s">
        <v>14</v>
      </c>
      <c r="M96" s="172" t="s">
        <v>0</v>
      </c>
      <c r="N96" s="173" t="s">
        <v>3</v>
      </c>
    </row>
    <row r="97" spans="1:14" ht="15" customHeight="1">
      <c r="A97" s="409"/>
      <c r="B97" s="410"/>
      <c r="C97" s="411">
        <v>1</v>
      </c>
      <c r="D97" s="184" t="s">
        <v>315</v>
      </c>
      <c r="E97" s="412" t="s">
        <v>317</v>
      </c>
      <c r="F97" s="412"/>
      <c r="G97" s="209" t="s">
        <v>318</v>
      </c>
      <c r="H97" s="209" t="s">
        <v>316</v>
      </c>
      <c r="I97" s="155">
        <v>4.25</v>
      </c>
      <c r="J97" s="156" t="str">
        <f t="shared" ref="J97:J108" si="21">IF(AND((STDEV(I$97:I$108)/AVERAGE(I$97:I$108))&lt;=0.25,ISNUMBER(I97)),I97,IF(AND(I97&lt;=(AVERAGE(I$97:I$108)+STDEV(I$97:I$108)),I97&gt;=(AVERAGE(I$97:I$108)-STDEV(I$97:I$108)),ISNUMBER(I97)),I97,""))</f>
        <v/>
      </c>
      <c r="K97" s="157" t="str">
        <f t="shared" ref="K97:K108" si="22">IF(AND(COUNT(I$97:I$108)=1,ISNUMBER(I97)),"Sim",IF(AND((STDEV(J$97:J$108)/AVERAGE(J$97:J$108))&lt;0.25,ISNUMBER(J97)),"Sim",IF(AND(J97&lt;=(AVERAGE(J$97:J$108)+STDEV(J$97:J$108)),J97&gt;=(AVERAGE(J$97:J$108)-STDEV(J$97:J$108)),ISNUMBER(J97)),"Sim","Não")))</f>
        <v>Não</v>
      </c>
      <c r="L97" s="157" t="str">
        <f>IF(K97="Sim",J97,"")</f>
        <v/>
      </c>
      <c r="M97" s="397">
        <f>ROUND(IF(COUNT(I97:I108)=1,I97,IF((COUNT(L97:L108)&lt;3),MIN(L97:L108),AVERAGE(L97:L108))),2)</f>
        <v>19.100000000000001</v>
      </c>
      <c r="N97" s="398">
        <f>C97*M97</f>
        <v>19.100000000000001</v>
      </c>
    </row>
    <row r="98" spans="1:14">
      <c r="A98" s="409"/>
      <c r="B98" s="410"/>
      <c r="C98" s="411"/>
      <c r="D98" s="184" t="s">
        <v>364</v>
      </c>
      <c r="E98" s="412" t="s">
        <v>366</v>
      </c>
      <c r="F98" s="412"/>
      <c r="G98" s="209" t="s">
        <v>363</v>
      </c>
      <c r="H98" s="209" t="s">
        <v>365</v>
      </c>
      <c r="I98" s="183">
        <v>5</v>
      </c>
      <c r="J98" s="156" t="str">
        <f t="shared" si="21"/>
        <v/>
      </c>
      <c r="K98" s="157" t="str">
        <f t="shared" si="22"/>
        <v>Não</v>
      </c>
      <c r="L98" s="157" t="str">
        <f t="shared" ref="L98:L108" si="23">IF(K98="Sim",J98,"")</f>
        <v/>
      </c>
      <c r="M98" s="397"/>
      <c r="N98" s="398"/>
    </row>
    <row r="99" spans="1:14">
      <c r="A99" s="409"/>
      <c r="B99" s="410"/>
      <c r="C99" s="411"/>
      <c r="D99" s="184" t="s">
        <v>309</v>
      </c>
      <c r="E99" s="412" t="s">
        <v>373</v>
      </c>
      <c r="F99" s="412"/>
      <c r="G99" s="209" t="s">
        <v>371</v>
      </c>
      <c r="H99" s="209" t="s">
        <v>372</v>
      </c>
      <c r="I99" s="183">
        <v>9</v>
      </c>
      <c r="J99" s="156">
        <f t="shared" si="21"/>
        <v>9</v>
      </c>
      <c r="K99" s="157" t="str">
        <f t="shared" si="22"/>
        <v>Não</v>
      </c>
      <c r="L99" s="157" t="str">
        <f t="shared" si="23"/>
        <v/>
      </c>
      <c r="M99" s="397"/>
      <c r="N99" s="398"/>
    </row>
    <row r="100" spans="1:14">
      <c r="A100" s="409"/>
      <c r="B100" s="410"/>
      <c r="C100" s="411"/>
      <c r="D100" s="168" t="s">
        <v>320</v>
      </c>
      <c r="E100" s="399" t="s">
        <v>321</v>
      </c>
      <c r="F100" s="399"/>
      <c r="G100" s="209" t="s">
        <v>322</v>
      </c>
      <c r="H100" s="209" t="s">
        <v>323</v>
      </c>
      <c r="I100" s="155">
        <v>20</v>
      </c>
      <c r="J100" s="156">
        <f t="shared" si="21"/>
        <v>20</v>
      </c>
      <c r="K100" s="157" t="str">
        <f t="shared" si="22"/>
        <v>Sim</v>
      </c>
      <c r="L100" s="157">
        <f t="shared" si="23"/>
        <v>20</v>
      </c>
      <c r="M100" s="397"/>
      <c r="N100" s="398"/>
    </row>
    <row r="101" spans="1:14">
      <c r="A101" s="409"/>
      <c r="B101" s="410"/>
      <c r="C101" s="411"/>
      <c r="D101" s="168" t="s">
        <v>311</v>
      </c>
      <c r="E101" s="399" t="s">
        <v>375</v>
      </c>
      <c r="F101" s="399"/>
      <c r="G101" s="209" t="s">
        <v>312</v>
      </c>
      <c r="H101" s="209" t="s">
        <v>376</v>
      </c>
      <c r="I101" s="155">
        <v>6</v>
      </c>
      <c r="J101" s="156" t="str">
        <f t="shared" si="21"/>
        <v/>
      </c>
      <c r="K101" s="157" t="str">
        <f t="shared" si="22"/>
        <v>Não</v>
      </c>
      <c r="L101" s="157" t="str">
        <f t="shared" si="23"/>
        <v/>
      </c>
      <c r="M101" s="397"/>
      <c r="N101" s="398"/>
    </row>
    <row r="102" spans="1:14">
      <c r="A102" s="409"/>
      <c r="B102" s="410"/>
      <c r="C102" s="411"/>
      <c r="D102" s="168" t="s">
        <v>423</v>
      </c>
      <c r="E102" s="399" t="s">
        <v>380</v>
      </c>
      <c r="F102" s="399"/>
      <c r="G102" s="209" t="s">
        <v>377</v>
      </c>
      <c r="H102" s="209" t="s">
        <v>378</v>
      </c>
      <c r="I102" s="155">
        <v>39.9</v>
      </c>
      <c r="J102" s="156" t="str">
        <f t="shared" si="21"/>
        <v/>
      </c>
      <c r="K102" s="157" t="str">
        <f t="shared" si="22"/>
        <v>Não</v>
      </c>
      <c r="L102" s="157" t="str">
        <f t="shared" si="23"/>
        <v/>
      </c>
      <c r="M102" s="397"/>
      <c r="N102" s="398"/>
    </row>
    <row r="103" spans="1:14">
      <c r="A103" s="409"/>
      <c r="B103" s="410"/>
      <c r="C103" s="411"/>
      <c r="D103" s="168" t="s">
        <v>423</v>
      </c>
      <c r="E103" s="399" t="s">
        <v>380</v>
      </c>
      <c r="F103" s="399"/>
      <c r="G103" s="209" t="s">
        <v>381</v>
      </c>
      <c r="H103" s="209" t="s">
        <v>382</v>
      </c>
      <c r="I103" s="155">
        <v>13.9</v>
      </c>
      <c r="J103" s="156">
        <f t="shared" si="21"/>
        <v>13.9</v>
      </c>
      <c r="K103" s="157" t="str">
        <f t="shared" si="22"/>
        <v>Sim</v>
      </c>
      <c r="L103" s="157">
        <f t="shared" si="23"/>
        <v>13.9</v>
      </c>
      <c r="M103" s="397"/>
      <c r="N103" s="398"/>
    </row>
    <row r="104" spans="1:14">
      <c r="A104" s="409"/>
      <c r="B104" s="410"/>
      <c r="C104" s="411"/>
      <c r="D104" s="168" t="s">
        <v>423</v>
      </c>
      <c r="E104" s="399" t="s">
        <v>380</v>
      </c>
      <c r="F104" s="399"/>
      <c r="G104" s="209" t="s">
        <v>337</v>
      </c>
      <c r="H104" s="209" t="s">
        <v>383</v>
      </c>
      <c r="I104" s="155">
        <v>37</v>
      </c>
      <c r="J104" s="156" t="str">
        <f t="shared" si="21"/>
        <v/>
      </c>
      <c r="K104" s="157" t="str">
        <f t="shared" si="22"/>
        <v>Não</v>
      </c>
      <c r="L104" s="157" t="str">
        <f t="shared" si="23"/>
        <v/>
      </c>
      <c r="M104" s="397"/>
      <c r="N104" s="398"/>
    </row>
    <row r="105" spans="1:14">
      <c r="A105" s="409"/>
      <c r="B105" s="410"/>
      <c r="C105" s="411"/>
      <c r="D105" s="168" t="s">
        <v>423</v>
      </c>
      <c r="E105" s="399" t="s">
        <v>380</v>
      </c>
      <c r="F105" s="399"/>
      <c r="G105" s="209" t="s">
        <v>387</v>
      </c>
      <c r="H105" s="209" t="s">
        <v>386</v>
      </c>
      <c r="I105" s="155">
        <v>24.5</v>
      </c>
      <c r="J105" s="156">
        <f t="shared" si="21"/>
        <v>24.5</v>
      </c>
      <c r="K105" s="157" t="str">
        <f t="shared" si="22"/>
        <v>Sim</v>
      </c>
      <c r="L105" s="157">
        <f t="shared" si="23"/>
        <v>24.5</v>
      </c>
      <c r="M105" s="397"/>
      <c r="N105" s="398"/>
    </row>
    <row r="106" spans="1:14">
      <c r="A106" s="409"/>
      <c r="B106" s="410"/>
      <c r="C106" s="411"/>
      <c r="D106" s="168" t="s">
        <v>423</v>
      </c>
      <c r="E106" s="399" t="s">
        <v>380</v>
      </c>
      <c r="F106" s="399"/>
      <c r="G106" s="209" t="s">
        <v>393</v>
      </c>
      <c r="H106" s="209" t="s">
        <v>394</v>
      </c>
      <c r="I106" s="155">
        <v>39.9</v>
      </c>
      <c r="J106" s="156" t="str">
        <f t="shared" si="21"/>
        <v/>
      </c>
      <c r="K106" s="157" t="str">
        <f t="shared" si="22"/>
        <v>Não</v>
      </c>
      <c r="L106" s="157" t="str">
        <f t="shared" si="23"/>
        <v/>
      </c>
      <c r="M106" s="397"/>
      <c r="N106" s="398"/>
    </row>
    <row r="107" spans="1:14">
      <c r="A107" s="409"/>
      <c r="B107" s="410"/>
      <c r="C107" s="411"/>
      <c r="D107" s="168" t="s">
        <v>423</v>
      </c>
      <c r="E107" s="399" t="s">
        <v>380</v>
      </c>
      <c r="F107" s="399"/>
      <c r="G107" s="209" t="s">
        <v>335</v>
      </c>
      <c r="H107" s="209" t="s">
        <v>395</v>
      </c>
      <c r="I107" s="155">
        <v>18</v>
      </c>
      <c r="J107" s="156">
        <f t="shared" si="21"/>
        <v>18</v>
      </c>
      <c r="K107" s="157" t="str">
        <f t="shared" si="22"/>
        <v>Sim</v>
      </c>
      <c r="L107" s="157">
        <f t="shared" si="23"/>
        <v>18</v>
      </c>
      <c r="M107" s="397"/>
      <c r="N107" s="398"/>
    </row>
    <row r="108" spans="1:14">
      <c r="A108" s="409"/>
      <c r="B108" s="410"/>
      <c r="C108" s="411"/>
      <c r="D108" s="168" t="s">
        <v>423</v>
      </c>
      <c r="E108" s="399" t="s">
        <v>396</v>
      </c>
      <c r="F108" s="399"/>
      <c r="G108" s="67" t="s">
        <v>332</v>
      </c>
      <c r="H108" s="209" t="s">
        <v>397</v>
      </c>
      <c r="I108" s="155">
        <v>32.9</v>
      </c>
      <c r="J108" s="156">
        <f t="shared" si="21"/>
        <v>32.9</v>
      </c>
      <c r="K108" s="157" t="str">
        <f t="shared" si="22"/>
        <v>Não</v>
      </c>
      <c r="L108" s="157" t="str">
        <f t="shared" si="23"/>
        <v/>
      </c>
      <c r="M108" s="397"/>
      <c r="N108" s="398"/>
    </row>
    <row r="110" spans="1:14">
      <c r="A110" s="394" t="s">
        <v>7</v>
      </c>
      <c r="B110" s="395"/>
      <c r="C110" s="395"/>
      <c r="D110" s="395"/>
      <c r="E110" s="396"/>
      <c r="F110" s="394" t="s">
        <v>8</v>
      </c>
      <c r="G110" s="395"/>
      <c r="H110" s="395"/>
      <c r="I110" s="394" t="s">
        <v>330</v>
      </c>
      <c r="J110" s="395"/>
      <c r="K110" s="395"/>
      <c r="L110" s="396"/>
      <c r="M110" s="390" t="s">
        <v>2</v>
      </c>
      <c r="N110" s="391"/>
    </row>
    <row r="111" spans="1:14" ht="15" customHeight="1">
      <c r="A111" s="406"/>
      <c r="B111" s="407"/>
      <c r="C111" s="407"/>
      <c r="D111" s="407"/>
      <c r="E111" s="408"/>
      <c r="F111" s="403" t="s">
        <v>342</v>
      </c>
      <c r="G111" s="404"/>
      <c r="H111" s="404"/>
      <c r="I111" s="403" t="s">
        <v>18</v>
      </c>
      <c r="J111" s="404"/>
      <c r="K111" s="404"/>
      <c r="L111" s="405"/>
      <c r="M111" s="392"/>
      <c r="N111" s="393"/>
    </row>
    <row r="112" spans="1:14" ht="21">
      <c r="A112" s="176" t="s">
        <v>10</v>
      </c>
      <c r="B112" s="176" t="s">
        <v>15</v>
      </c>
      <c r="C112" s="176" t="s">
        <v>6</v>
      </c>
      <c r="D112" s="132" t="s">
        <v>4</v>
      </c>
      <c r="E112" s="388" t="s">
        <v>9</v>
      </c>
      <c r="F112" s="389"/>
      <c r="G112" s="133" t="s">
        <v>5</v>
      </c>
      <c r="H112" s="133" t="s">
        <v>1</v>
      </c>
      <c r="I112" s="177" t="s">
        <v>12</v>
      </c>
      <c r="J112" s="178" t="s">
        <v>13</v>
      </c>
      <c r="K112" s="154"/>
      <c r="L112" s="173" t="s">
        <v>14</v>
      </c>
      <c r="M112" s="172" t="s">
        <v>0</v>
      </c>
      <c r="N112" s="173" t="s">
        <v>3</v>
      </c>
    </row>
    <row r="113" spans="1:14" ht="15" customHeight="1">
      <c r="A113" s="409"/>
      <c r="B113" s="410"/>
      <c r="C113" s="411">
        <v>1</v>
      </c>
      <c r="D113" s="184" t="s">
        <v>315</v>
      </c>
      <c r="E113" s="412" t="s">
        <v>317</v>
      </c>
      <c r="F113" s="412"/>
      <c r="G113" s="209" t="s">
        <v>318</v>
      </c>
      <c r="H113" s="209" t="s">
        <v>316</v>
      </c>
      <c r="I113" s="155">
        <v>23.56</v>
      </c>
      <c r="J113" s="156" t="str">
        <f t="shared" ref="J113:J122" si="24">IF(AND((STDEV(I$113:I$123)/AVERAGE(I$113:I$123))&lt;=0.25,ISNUMBER(I113)),I113,IF(AND(I113&lt;=(AVERAGE(I$113:I$123)+STDEV(I$113:I$123)),I113&gt;=(AVERAGE(I$113:I$123)-STDEV(I$113:I$123)),ISNUMBER(I113)),I113,""))</f>
        <v/>
      </c>
      <c r="K113" s="157" t="str">
        <f t="shared" ref="K113:K122" si="25">IF(AND(COUNT(I$113:I$123)=1,ISNUMBER(I113)),"Sim",IF(AND((STDEV(J$113:J$123)/AVERAGE(J$113:J$123))&lt;0.25,ISNUMBER(J113)),"Sim",IF(AND(J113&lt;=(AVERAGE(J$113:J$123)+STDEV(J$113:J$123)),J113&gt;=(AVERAGE(J$113:J$123)-STDEV(J$113:J$123)),ISNUMBER(J113)),"Sim","Não")))</f>
        <v>Não</v>
      </c>
      <c r="L113" s="157" t="str">
        <f>IF(K113="Sim",J113,"")</f>
        <v/>
      </c>
      <c r="M113" s="397">
        <f>ROUND(IF(COUNT(I113:I123)=1,I113,IF((COUNT(L113:L123)&lt;3),MIN(L113:L123),AVERAGE(L113:L123))),2)</f>
        <v>126.1</v>
      </c>
      <c r="N113" s="398">
        <f>C113*M113</f>
        <v>126.1</v>
      </c>
    </row>
    <row r="114" spans="1:14">
      <c r="A114" s="409"/>
      <c r="B114" s="410"/>
      <c r="C114" s="411"/>
      <c r="D114" s="184" t="s">
        <v>364</v>
      </c>
      <c r="E114" s="412" t="s">
        <v>366</v>
      </c>
      <c r="F114" s="412"/>
      <c r="G114" s="209" t="s">
        <v>363</v>
      </c>
      <c r="H114" s="209" t="s">
        <v>365</v>
      </c>
      <c r="I114" s="183">
        <v>23</v>
      </c>
      <c r="J114" s="156" t="str">
        <f t="shared" si="24"/>
        <v/>
      </c>
      <c r="K114" s="157" t="str">
        <f t="shared" si="25"/>
        <v>Não</v>
      </c>
      <c r="L114" s="157" t="str">
        <f t="shared" ref="L114:L122" si="26">IF(K114="Sim",J114,"")</f>
        <v/>
      </c>
      <c r="M114" s="397"/>
      <c r="N114" s="398"/>
    </row>
    <row r="115" spans="1:14">
      <c r="A115" s="409"/>
      <c r="B115" s="410"/>
      <c r="C115" s="411"/>
      <c r="D115" s="184" t="s">
        <v>309</v>
      </c>
      <c r="E115" s="412" t="s">
        <v>373</v>
      </c>
      <c r="F115" s="412"/>
      <c r="G115" s="209" t="s">
        <v>371</v>
      </c>
      <c r="H115" s="209" t="s">
        <v>372</v>
      </c>
      <c r="I115" s="155">
        <v>42.2</v>
      </c>
      <c r="J115" s="156">
        <f t="shared" si="24"/>
        <v>42.2</v>
      </c>
      <c r="K115" s="157" t="str">
        <f t="shared" si="25"/>
        <v>Não</v>
      </c>
      <c r="L115" s="157" t="str">
        <f t="shared" si="26"/>
        <v/>
      </c>
      <c r="M115" s="397"/>
      <c r="N115" s="398"/>
    </row>
    <row r="116" spans="1:14">
      <c r="A116" s="409"/>
      <c r="B116" s="410"/>
      <c r="C116" s="411"/>
      <c r="D116" s="168" t="s">
        <v>320</v>
      </c>
      <c r="E116" s="399" t="s">
        <v>321</v>
      </c>
      <c r="F116" s="399"/>
      <c r="G116" s="209" t="s">
        <v>322</v>
      </c>
      <c r="H116" s="209" t="s">
        <v>323</v>
      </c>
      <c r="I116" s="155">
        <v>40</v>
      </c>
      <c r="J116" s="156">
        <f t="shared" si="24"/>
        <v>40</v>
      </c>
      <c r="K116" s="157" t="str">
        <f t="shared" si="25"/>
        <v>Não</v>
      </c>
      <c r="L116" s="157" t="str">
        <f t="shared" si="26"/>
        <v/>
      </c>
      <c r="M116" s="397"/>
      <c r="N116" s="398"/>
    </row>
    <row r="117" spans="1:14">
      <c r="A117" s="409"/>
      <c r="B117" s="410"/>
      <c r="C117" s="411"/>
      <c r="D117" s="168" t="s">
        <v>311</v>
      </c>
      <c r="E117" s="399" t="s">
        <v>375</v>
      </c>
      <c r="F117" s="399"/>
      <c r="G117" s="209" t="s">
        <v>312</v>
      </c>
      <c r="H117" s="209" t="s">
        <v>376</v>
      </c>
      <c r="I117" s="155">
        <v>12.5</v>
      </c>
      <c r="J117" s="156" t="str">
        <f t="shared" si="24"/>
        <v/>
      </c>
      <c r="K117" s="157" t="str">
        <f t="shared" si="25"/>
        <v>Não</v>
      </c>
      <c r="L117" s="157" t="str">
        <f t="shared" si="26"/>
        <v/>
      </c>
      <c r="M117" s="397"/>
      <c r="N117" s="398"/>
    </row>
    <row r="118" spans="1:14">
      <c r="A118" s="409"/>
      <c r="B118" s="410"/>
      <c r="C118" s="411"/>
      <c r="D118" s="168" t="s">
        <v>423</v>
      </c>
      <c r="E118" s="399" t="s">
        <v>380</v>
      </c>
      <c r="F118" s="399"/>
      <c r="G118" s="209" t="s">
        <v>381</v>
      </c>
      <c r="H118" s="209" t="s">
        <v>382</v>
      </c>
      <c r="I118" s="155">
        <v>110.8</v>
      </c>
      <c r="J118" s="156">
        <f t="shared" si="24"/>
        <v>110.8</v>
      </c>
      <c r="K118" s="157" t="str">
        <f t="shared" si="25"/>
        <v>Sim</v>
      </c>
      <c r="L118" s="157">
        <f t="shared" si="26"/>
        <v>110.8</v>
      </c>
      <c r="M118" s="397"/>
      <c r="N118" s="398"/>
    </row>
    <row r="119" spans="1:14">
      <c r="A119" s="409"/>
      <c r="B119" s="410"/>
      <c r="C119" s="411"/>
      <c r="D119" s="168" t="s">
        <v>423</v>
      </c>
      <c r="E119" s="399" t="s">
        <v>380</v>
      </c>
      <c r="F119" s="399"/>
      <c r="G119" s="209" t="s">
        <v>337</v>
      </c>
      <c r="H119" s="209" t="s">
        <v>383</v>
      </c>
      <c r="I119" s="155">
        <v>122.5</v>
      </c>
      <c r="J119" s="156">
        <f t="shared" si="24"/>
        <v>122.5</v>
      </c>
      <c r="K119" s="157" t="str">
        <f t="shared" si="25"/>
        <v>Sim</v>
      </c>
      <c r="L119" s="157">
        <f t="shared" si="26"/>
        <v>122.5</v>
      </c>
      <c r="M119" s="397"/>
      <c r="N119" s="398"/>
    </row>
    <row r="120" spans="1:14">
      <c r="A120" s="409"/>
      <c r="B120" s="410"/>
      <c r="C120" s="411"/>
      <c r="D120" s="168" t="s">
        <v>423</v>
      </c>
      <c r="E120" s="399" t="s">
        <v>380</v>
      </c>
      <c r="F120" s="399"/>
      <c r="G120" s="209" t="s">
        <v>384</v>
      </c>
      <c r="H120" s="209" t="s">
        <v>385</v>
      </c>
      <c r="I120" s="155">
        <v>152</v>
      </c>
      <c r="J120" s="156">
        <f t="shared" si="24"/>
        <v>152</v>
      </c>
      <c r="K120" s="157" t="str">
        <f t="shared" si="25"/>
        <v>Não</v>
      </c>
      <c r="L120" s="157" t="str">
        <f t="shared" si="26"/>
        <v/>
      </c>
      <c r="M120" s="397"/>
      <c r="N120" s="398"/>
    </row>
    <row r="121" spans="1:14">
      <c r="A121" s="409"/>
      <c r="B121" s="410"/>
      <c r="C121" s="411"/>
      <c r="D121" s="168" t="s">
        <v>423</v>
      </c>
      <c r="E121" s="399" t="s">
        <v>380</v>
      </c>
      <c r="F121" s="399"/>
      <c r="G121" s="209" t="s">
        <v>387</v>
      </c>
      <c r="H121" s="209" t="s">
        <v>386</v>
      </c>
      <c r="I121" s="155">
        <v>194</v>
      </c>
      <c r="J121" s="156" t="str">
        <f t="shared" si="24"/>
        <v/>
      </c>
      <c r="K121" s="157" t="str">
        <f t="shared" si="25"/>
        <v>Não</v>
      </c>
      <c r="L121" s="157" t="str">
        <f t="shared" si="26"/>
        <v/>
      </c>
      <c r="M121" s="397"/>
      <c r="N121" s="398"/>
    </row>
    <row r="122" spans="1:14">
      <c r="A122" s="409"/>
      <c r="B122" s="410"/>
      <c r="C122" s="411"/>
      <c r="D122" s="168" t="s">
        <v>423</v>
      </c>
      <c r="E122" s="399" t="s">
        <v>380</v>
      </c>
      <c r="F122" s="399"/>
      <c r="G122" s="209" t="s">
        <v>391</v>
      </c>
      <c r="H122" s="209" t="s">
        <v>392</v>
      </c>
      <c r="I122" s="155">
        <v>144.99</v>
      </c>
      <c r="J122" s="156">
        <f t="shared" si="24"/>
        <v>144.99</v>
      </c>
      <c r="K122" s="157" t="str">
        <f t="shared" si="25"/>
        <v>Sim</v>
      </c>
      <c r="L122" s="157">
        <f t="shared" si="26"/>
        <v>144.99</v>
      </c>
      <c r="M122" s="397"/>
      <c r="N122" s="398"/>
    </row>
    <row r="123" spans="1:14">
      <c r="A123" s="409"/>
      <c r="B123" s="410"/>
      <c r="C123" s="411"/>
      <c r="D123" s="168" t="s">
        <v>423</v>
      </c>
      <c r="E123" s="399" t="s">
        <v>396</v>
      </c>
      <c r="F123" s="399"/>
      <c r="G123" s="67" t="s">
        <v>332</v>
      </c>
      <c r="H123" s="209" t="s">
        <v>397</v>
      </c>
      <c r="I123" s="155">
        <v>208.9</v>
      </c>
      <c r="J123" s="156"/>
      <c r="K123" s="157"/>
      <c r="L123" s="157"/>
      <c r="M123" s="397"/>
      <c r="N123" s="398"/>
    </row>
    <row r="125" spans="1:14">
      <c r="A125" s="394" t="s">
        <v>7</v>
      </c>
      <c r="B125" s="395"/>
      <c r="C125" s="395"/>
      <c r="D125" s="395"/>
      <c r="E125" s="396"/>
      <c r="F125" s="394" t="s">
        <v>8</v>
      </c>
      <c r="G125" s="395"/>
      <c r="H125" s="395"/>
      <c r="I125" s="394" t="s">
        <v>330</v>
      </c>
      <c r="J125" s="395"/>
      <c r="K125" s="395"/>
      <c r="L125" s="396"/>
      <c r="M125" s="390" t="s">
        <v>2</v>
      </c>
      <c r="N125" s="391"/>
    </row>
    <row r="126" spans="1:14" ht="15" customHeight="1">
      <c r="A126" s="406"/>
      <c r="B126" s="407"/>
      <c r="C126" s="407"/>
      <c r="D126" s="407"/>
      <c r="E126" s="408"/>
      <c r="F126" s="403" t="s">
        <v>343</v>
      </c>
      <c r="G126" s="404"/>
      <c r="H126" s="404"/>
      <c r="I126" s="403" t="s">
        <v>16</v>
      </c>
      <c r="J126" s="404"/>
      <c r="K126" s="404"/>
      <c r="L126" s="405"/>
      <c r="M126" s="392"/>
      <c r="N126" s="393"/>
    </row>
    <row r="127" spans="1:14" ht="21">
      <c r="A127" s="176" t="s">
        <v>10</v>
      </c>
      <c r="B127" s="176" t="s">
        <v>15</v>
      </c>
      <c r="C127" s="176" t="s">
        <v>6</v>
      </c>
      <c r="D127" s="132" t="s">
        <v>4</v>
      </c>
      <c r="E127" s="388" t="s">
        <v>9</v>
      </c>
      <c r="F127" s="389"/>
      <c r="G127" s="133" t="s">
        <v>5</v>
      </c>
      <c r="H127" s="133" t="s">
        <v>1</v>
      </c>
      <c r="I127" s="177" t="s">
        <v>12</v>
      </c>
      <c r="J127" s="178" t="s">
        <v>13</v>
      </c>
      <c r="K127" s="154"/>
      <c r="L127" s="173" t="s">
        <v>14</v>
      </c>
      <c r="M127" s="172" t="s">
        <v>0</v>
      </c>
      <c r="N127" s="173" t="s">
        <v>3</v>
      </c>
    </row>
    <row r="128" spans="1:14" ht="15" customHeight="1">
      <c r="A128" s="409"/>
      <c r="B128" s="410"/>
      <c r="C128" s="411">
        <v>1</v>
      </c>
      <c r="D128" s="184" t="s">
        <v>315</v>
      </c>
      <c r="E128" s="412" t="s">
        <v>317</v>
      </c>
      <c r="F128" s="412"/>
      <c r="G128" s="209" t="s">
        <v>318</v>
      </c>
      <c r="H128" s="209" t="s">
        <v>316</v>
      </c>
      <c r="I128" s="155">
        <v>1.5</v>
      </c>
      <c r="J128" s="156" t="str">
        <f>IF(AND((STDEV(I$128:I$131)/AVERAGE(I$128:I$131))&lt;=0.25,ISNUMBER(I128)),I128,IF(AND(I128&lt;=(AVERAGE(I$128:I$131)+STDEV(I$128:I$131)),I128&gt;=(AVERAGE(I$128:I$131)-STDEV(I$128:I$131)),ISNUMBER(I128)),I128,""))</f>
        <v/>
      </c>
      <c r="K128" s="157" t="str">
        <f>IF(AND(COUNT(I$128:I$131)=1,ISNUMBER(I128)),"Sim",IF(AND((STDEV(J$128:J$131)/AVERAGE(J$128:J$131))&lt;0.25,ISNUMBER(J128)),"Sim",IF(AND(J128&lt;=(AVERAGE(J$128:J$131)+STDEV(J$128:J$131)),J128&gt;=(AVERAGE(J$128:J$131)-STDEV(J$128:J$131)),ISNUMBER(J128)),"Sim","Não")))</f>
        <v>Não</v>
      </c>
      <c r="L128" s="157" t="str">
        <f>IF(K128="Sim",J128,"")</f>
        <v/>
      </c>
      <c r="M128" s="397">
        <f>ROUND(IF(COUNT(I128:I131)=1,I128,IF((COUNT(L128:L131)&lt;3),MIN(L128:L131),AVERAGE(L128:L131))),2)</f>
        <v>5</v>
      </c>
      <c r="N128" s="398">
        <f>C128*M128</f>
        <v>5</v>
      </c>
    </row>
    <row r="129" spans="1:14">
      <c r="A129" s="409"/>
      <c r="B129" s="410"/>
      <c r="C129" s="411"/>
      <c r="D129" s="184" t="s">
        <v>309</v>
      </c>
      <c r="E129" s="412" t="s">
        <v>373</v>
      </c>
      <c r="F129" s="412"/>
      <c r="G129" s="209" t="s">
        <v>371</v>
      </c>
      <c r="H129" s="209" t="s">
        <v>372</v>
      </c>
      <c r="I129" s="155">
        <v>3.13</v>
      </c>
      <c r="J129" s="156">
        <f>IF(AND((STDEV(I$128:I$131)/AVERAGE(I$128:I$131))&lt;=0.25,ISNUMBER(I129)),I129,IF(AND(I129&lt;=(AVERAGE(I$128:I$131)+STDEV(I$128:I$131)),I129&gt;=(AVERAGE(I$128:I$131)-STDEV(I$128:I$131)),ISNUMBER(I129)),I129,""))</f>
        <v>3.13</v>
      </c>
      <c r="K129" s="157" t="str">
        <f>IF(AND(COUNT(I$128:I$131)=1,ISNUMBER(I129)),"Sim",IF(AND((STDEV(J$128:J$131)/AVERAGE(J$128:J$131))&lt;0.25,ISNUMBER(J129)),"Sim",IF(AND(J129&lt;=(AVERAGE(J$128:J$131)+STDEV(J$128:J$131)),J129&gt;=(AVERAGE(J$128:J$131)-STDEV(J$128:J$131)),ISNUMBER(J129)),"Sim","Não")))</f>
        <v>Não</v>
      </c>
      <c r="L129" s="157" t="str">
        <f>IF(K129="Sim",J129,"")</f>
        <v/>
      </c>
      <c r="M129" s="397"/>
      <c r="N129" s="398"/>
    </row>
    <row r="130" spans="1:14">
      <c r="A130" s="409"/>
      <c r="B130" s="410"/>
      <c r="C130" s="411"/>
      <c r="D130" s="168" t="s">
        <v>320</v>
      </c>
      <c r="E130" s="399" t="s">
        <v>321</v>
      </c>
      <c r="F130" s="399"/>
      <c r="G130" s="209" t="s">
        <v>322</v>
      </c>
      <c r="H130" s="209" t="s">
        <v>323</v>
      </c>
      <c r="I130" s="155">
        <v>5</v>
      </c>
      <c r="J130" s="156">
        <f>IF(AND((STDEV(I$128:I$131)/AVERAGE(I$128:I$131))&lt;=0.25,ISNUMBER(I130)),I130,IF(AND(I130&lt;=(AVERAGE(I$128:I$131)+STDEV(I$128:I$131)),I130&gt;=(AVERAGE(I$128:I$131)-STDEV(I$128:I$131)),ISNUMBER(I130)),I130,""))</f>
        <v>5</v>
      </c>
      <c r="K130" s="157" t="str">
        <f>IF(AND(COUNT(I$128:I$131)=1,ISNUMBER(I130)),"Sim",IF(AND((STDEV(J$128:J$131)/AVERAGE(J$128:J$131))&lt;0.25,ISNUMBER(J130)),"Sim",IF(AND(J130&lt;=(AVERAGE(J$128:J$131)+STDEV(J$128:J$131)),J130&gt;=(AVERAGE(J$128:J$131)-STDEV(J$128:J$131)),ISNUMBER(J130)),"Sim","Não")))</f>
        <v>Sim</v>
      </c>
      <c r="L130" s="157">
        <f>IF(K130="Sim",J130,"")</f>
        <v>5</v>
      </c>
      <c r="M130" s="397"/>
      <c r="N130" s="398"/>
    </row>
    <row r="131" spans="1:14">
      <c r="A131" s="409"/>
      <c r="B131" s="410"/>
      <c r="C131" s="411"/>
      <c r="D131" s="168" t="s">
        <v>423</v>
      </c>
      <c r="E131" s="399" t="s">
        <v>396</v>
      </c>
      <c r="F131" s="399"/>
      <c r="G131" s="67" t="s">
        <v>422</v>
      </c>
      <c r="H131" s="209" t="s">
        <v>421</v>
      </c>
      <c r="I131" s="155">
        <v>5.32</v>
      </c>
      <c r="J131" s="156">
        <f>IF(AND((STDEV(I$128:I$131)/AVERAGE(I$128:I$131))&lt;=0.25,ISNUMBER(I131)),I131,IF(AND(I131&lt;=(AVERAGE(I$128:I$131)+STDEV(I$128:I$131)),I131&gt;=(AVERAGE(I$128:I$131)-STDEV(I$128:I$131)),ISNUMBER(I131)),I131,""))</f>
        <v>5.32</v>
      </c>
      <c r="K131" s="157" t="str">
        <f>IF(AND(COUNT(I$128:I$131)=1,ISNUMBER(I131)),"Sim",IF(AND((STDEV(J$128:J$131)/AVERAGE(J$128:J$131))&lt;0.25,ISNUMBER(J131)),"Sim",IF(AND(J131&lt;=(AVERAGE(J$128:J$131)+STDEV(J$128:J$131)),J131&gt;=(AVERAGE(J$128:J$131)-STDEV(J$128:J$131)),ISNUMBER(J131)),"Sim","Não")))</f>
        <v>Sim</v>
      </c>
      <c r="L131" s="157"/>
      <c r="M131" s="397"/>
      <c r="N131" s="398"/>
    </row>
    <row r="133" spans="1:14">
      <c r="A133" s="394" t="s">
        <v>7</v>
      </c>
      <c r="B133" s="395"/>
      <c r="C133" s="395"/>
      <c r="D133" s="395"/>
      <c r="E133" s="396"/>
      <c r="F133" s="394" t="s">
        <v>8</v>
      </c>
      <c r="G133" s="395"/>
      <c r="H133" s="396"/>
      <c r="I133" s="394" t="s">
        <v>330</v>
      </c>
      <c r="J133" s="395"/>
      <c r="K133" s="395"/>
      <c r="L133" s="396"/>
      <c r="M133" s="390" t="s">
        <v>2</v>
      </c>
      <c r="N133" s="391"/>
    </row>
    <row r="134" spans="1:14" ht="15" customHeight="1">
      <c r="A134" s="416"/>
      <c r="B134" s="417"/>
      <c r="C134" s="417"/>
      <c r="D134" s="417"/>
      <c r="E134" s="418"/>
      <c r="F134" s="419" t="s">
        <v>344</v>
      </c>
      <c r="G134" s="420"/>
      <c r="H134" s="421"/>
      <c r="I134" s="419" t="s">
        <v>16</v>
      </c>
      <c r="J134" s="420"/>
      <c r="K134" s="420"/>
      <c r="L134" s="421"/>
      <c r="M134" s="422"/>
      <c r="N134" s="423"/>
    </row>
    <row r="135" spans="1:14" ht="21">
      <c r="A135" s="176" t="s">
        <v>10</v>
      </c>
      <c r="B135" s="176" t="s">
        <v>15</v>
      </c>
      <c r="C135" s="176" t="s">
        <v>6</v>
      </c>
      <c r="D135" s="132" t="s">
        <v>4</v>
      </c>
      <c r="E135" s="388" t="s">
        <v>9</v>
      </c>
      <c r="F135" s="389"/>
      <c r="G135" s="133" t="s">
        <v>5</v>
      </c>
      <c r="H135" s="133" t="s">
        <v>1</v>
      </c>
      <c r="I135" s="177" t="s">
        <v>12</v>
      </c>
      <c r="J135" s="178" t="s">
        <v>13</v>
      </c>
      <c r="K135" s="154"/>
      <c r="L135" s="173" t="s">
        <v>14</v>
      </c>
      <c r="M135" s="172" t="s">
        <v>0</v>
      </c>
      <c r="N135" s="173" t="s">
        <v>3</v>
      </c>
    </row>
    <row r="136" spans="1:14" ht="15" customHeight="1">
      <c r="A136" s="426"/>
      <c r="B136" s="428"/>
      <c r="C136" s="430">
        <v>1</v>
      </c>
      <c r="D136" s="184" t="s">
        <v>315</v>
      </c>
      <c r="E136" s="424" t="s">
        <v>317</v>
      </c>
      <c r="F136" s="425"/>
      <c r="G136" s="209" t="s">
        <v>318</v>
      </c>
      <c r="H136" s="209" t="s">
        <v>316</v>
      </c>
      <c r="I136" s="155">
        <v>2.71</v>
      </c>
      <c r="J136" s="156">
        <f>IF(AND((STDEV(I$136:I$138)/AVERAGE(I$136:I$138))&lt;=0.25,ISNUMBER(I136)),I136,IF(AND(I136&lt;=(AVERAGE(I$136:I$138)+STDEV(I$136:I$138)),I136&gt;=(AVERAGE(I$136:I$138)-STDEV(I$136:I$138)),ISNUMBER(I136)),I136,""))</f>
        <v>2.71</v>
      </c>
      <c r="K136" s="157" t="str">
        <f>IF(AND(COUNT(I$136:I$138)=1,ISNUMBER(I136)),"Sim",IF(AND((STDEV(J$136:J$138)/AVERAGE(J$136:J$138))&lt;0.25,ISNUMBER(J136)),"Sim",IF(AND(J136&lt;=(AVERAGE(J$136:J$138)+STDEV(J$136:J$138)),J136&gt;=(AVERAGE(J$136:J$138)-STDEV(J$136:J$138)),ISNUMBER(J136)),"Sim","Não")))</f>
        <v>Sim</v>
      </c>
      <c r="L136" s="157">
        <f>IF(K136="Sim",J136,"")</f>
        <v>2.71</v>
      </c>
      <c r="M136" s="413">
        <f>ROUND(IF(COUNT(I136:I138)=1,I136,IF((COUNT(L136:L138)&lt;3),MIN(L136:L138),AVERAGE(L136:L138))),2)</f>
        <v>2.71</v>
      </c>
      <c r="N136" s="400">
        <f>C136*M136</f>
        <v>2.71</v>
      </c>
    </row>
    <row r="137" spans="1:14">
      <c r="A137" s="427"/>
      <c r="B137" s="429"/>
      <c r="C137" s="431"/>
      <c r="D137" s="184" t="s">
        <v>364</v>
      </c>
      <c r="E137" s="424" t="s">
        <v>366</v>
      </c>
      <c r="F137" s="425"/>
      <c r="G137" s="209" t="s">
        <v>363</v>
      </c>
      <c r="H137" s="209" t="s">
        <v>365</v>
      </c>
      <c r="I137" s="183">
        <v>0.9</v>
      </c>
      <c r="J137" s="156" t="str">
        <f>IF(AND((STDEV(I$136:I$138)/AVERAGE(I$136:I$138))&lt;=0.25,ISNUMBER(I137)),I137,IF(AND(I137&lt;=(AVERAGE(I$136:I$138)+STDEV(I$136:I$138)),I137&gt;=(AVERAGE(I$136:I$138)-STDEV(I$136:I$138)),ISNUMBER(I137)),I137,""))</f>
        <v/>
      </c>
      <c r="K137" s="157" t="str">
        <f>IF(AND(COUNT(I$136:I$138)=1,ISNUMBER(I137)),"Sim",IF(AND((STDEV(J$136:J$138)/AVERAGE(J$136:J$138))&lt;0.25,ISNUMBER(J137)),"Sim",IF(AND(J137&lt;=(AVERAGE(J$136:J$138)+STDEV(J$136:J$138)),J137&gt;=(AVERAGE(J$136:J$138)-STDEV(J$136:J$138)),ISNUMBER(J137)),"Sim","Não")))</f>
        <v>Não</v>
      </c>
      <c r="L137" s="157" t="str">
        <f>IF(K137="Sim",J137,"")</f>
        <v/>
      </c>
      <c r="M137" s="414"/>
      <c r="N137" s="401"/>
    </row>
    <row r="138" spans="1:14">
      <c r="A138" s="427"/>
      <c r="B138" s="429"/>
      <c r="C138" s="431"/>
      <c r="D138" s="168" t="s">
        <v>320</v>
      </c>
      <c r="E138" s="432" t="s">
        <v>321</v>
      </c>
      <c r="F138" s="433"/>
      <c r="G138" s="209" t="s">
        <v>322</v>
      </c>
      <c r="H138" s="209" t="s">
        <v>323</v>
      </c>
      <c r="I138" s="155">
        <v>3</v>
      </c>
      <c r="J138" s="156">
        <f>IF(AND((STDEV(I$136:I$138)/AVERAGE(I$136:I$138))&lt;=0.25,ISNUMBER(I138)),I138,IF(AND(I138&lt;=(AVERAGE(I$136:I$138)+STDEV(I$136:I$138)),I138&gt;=(AVERAGE(I$136:I$138)-STDEV(I$136:I$138)),ISNUMBER(I138)),I138,""))</f>
        <v>3</v>
      </c>
      <c r="K138" s="157" t="str">
        <f>IF(AND(COUNT(I$136:I$138)=1,ISNUMBER(I138)),"Sim",IF(AND((STDEV(J$136:J$138)/AVERAGE(J$136:J$138))&lt;0.25,ISNUMBER(J138)),"Sim",IF(AND(J138&lt;=(AVERAGE(J$136:J$138)+STDEV(J$136:J$138)),J138&gt;=(AVERAGE(J$136:J$138)-STDEV(J$136:J$138)),ISNUMBER(J138)),"Sim","Não")))</f>
        <v>Sim</v>
      </c>
      <c r="L138" s="157">
        <f>IF(K138="Sim",J138,"")</f>
        <v>3</v>
      </c>
      <c r="M138" s="415"/>
      <c r="N138" s="402"/>
    </row>
    <row r="140" spans="1:14">
      <c r="A140" s="394" t="s">
        <v>7</v>
      </c>
      <c r="B140" s="395"/>
      <c r="C140" s="395"/>
      <c r="D140" s="395"/>
      <c r="E140" s="396"/>
      <c r="F140" s="394" t="s">
        <v>8</v>
      </c>
      <c r="G140" s="395"/>
      <c r="H140" s="395"/>
      <c r="I140" s="394" t="s">
        <v>330</v>
      </c>
      <c r="J140" s="395"/>
      <c r="K140" s="395"/>
      <c r="L140" s="396"/>
      <c r="M140" s="390" t="s">
        <v>2</v>
      </c>
      <c r="N140" s="391"/>
    </row>
    <row r="141" spans="1:14" ht="15" customHeight="1">
      <c r="A141" s="406"/>
      <c r="B141" s="407"/>
      <c r="C141" s="407"/>
      <c r="D141" s="407"/>
      <c r="E141" s="408"/>
      <c r="F141" s="403" t="s">
        <v>345</v>
      </c>
      <c r="G141" s="404"/>
      <c r="H141" s="404"/>
      <c r="I141" s="403" t="s">
        <v>16</v>
      </c>
      <c r="J141" s="404"/>
      <c r="K141" s="404"/>
      <c r="L141" s="405"/>
      <c r="M141" s="392"/>
      <c r="N141" s="393"/>
    </row>
    <row r="142" spans="1:14" ht="21">
      <c r="A142" s="176" t="s">
        <v>10</v>
      </c>
      <c r="B142" s="176" t="s">
        <v>15</v>
      </c>
      <c r="C142" s="176" t="s">
        <v>6</v>
      </c>
      <c r="D142" s="132" t="s">
        <v>4</v>
      </c>
      <c r="E142" s="388" t="s">
        <v>9</v>
      </c>
      <c r="F142" s="389"/>
      <c r="G142" s="133" t="s">
        <v>5</v>
      </c>
      <c r="H142" s="133" t="s">
        <v>1</v>
      </c>
      <c r="I142" s="177" t="s">
        <v>12</v>
      </c>
      <c r="J142" s="178" t="s">
        <v>13</v>
      </c>
      <c r="K142" s="154"/>
      <c r="L142" s="173" t="s">
        <v>14</v>
      </c>
      <c r="M142" s="172" t="s">
        <v>0</v>
      </c>
      <c r="N142" s="173" t="s">
        <v>3</v>
      </c>
    </row>
    <row r="143" spans="1:14" ht="15" customHeight="1">
      <c r="A143" s="409"/>
      <c r="B143" s="410"/>
      <c r="C143" s="411">
        <v>1</v>
      </c>
      <c r="D143" s="184" t="s">
        <v>315</v>
      </c>
      <c r="E143" s="412" t="s">
        <v>317</v>
      </c>
      <c r="F143" s="412"/>
      <c r="G143" s="209" t="s">
        <v>318</v>
      </c>
      <c r="H143" s="209" t="s">
        <v>316</v>
      </c>
      <c r="I143" s="155">
        <v>21.52</v>
      </c>
      <c r="J143" s="156">
        <f t="shared" ref="J143:J151" si="27">IF(AND((STDEV(I$143:I$151)/AVERAGE(I$143:I$151))&lt;=0.25,ISNUMBER(I143)),I143,IF(AND(I143&lt;=(AVERAGE(I$143:I$151)+STDEV(I$143:I$151)),I143&gt;=(AVERAGE(I$143:I$151)-STDEV(I$143:I$151)),ISNUMBER(I143)),I143,""))</f>
        <v>21.52</v>
      </c>
      <c r="K143" s="157" t="str">
        <f t="shared" ref="K143:K151" si="28">IF(AND(COUNT(I$143:I$151)=1,ISNUMBER(I143)),"Sim",IF(AND((STDEV(J$143:J$151)/AVERAGE(J$143:J$151))&lt;0.25,ISNUMBER(J143)),"Sim",IF(AND(J143&lt;=(AVERAGE(J$143:J$151)+STDEV(J$143:J$151)),J143&gt;=(AVERAGE(J$143:J$151)-STDEV(J$143:J$151)),ISNUMBER(J143)),"Sim","Não")))</f>
        <v>Não</v>
      </c>
      <c r="L143" s="157" t="str">
        <f>IF(K143="Sim",J143,"")</f>
        <v/>
      </c>
      <c r="M143" s="397">
        <f>ROUND(IF(COUNT(I143:I151)=1,I143,IF((COUNT(L143:L151)&lt;3),MIN(L143:L151),AVERAGE(L143:L151))),2)</f>
        <v>66.25</v>
      </c>
      <c r="N143" s="398">
        <f>C143*M143</f>
        <v>66.25</v>
      </c>
    </row>
    <row r="144" spans="1:14">
      <c r="A144" s="409"/>
      <c r="B144" s="410"/>
      <c r="C144" s="411"/>
      <c r="D144" s="168" t="s">
        <v>320</v>
      </c>
      <c r="E144" s="399" t="s">
        <v>321</v>
      </c>
      <c r="F144" s="399"/>
      <c r="G144" s="209" t="s">
        <v>322</v>
      </c>
      <c r="H144" s="209" t="s">
        <v>323</v>
      </c>
      <c r="I144" s="183">
        <v>50</v>
      </c>
      <c r="J144" s="156">
        <f t="shared" si="27"/>
        <v>50</v>
      </c>
      <c r="K144" s="157" t="str">
        <f t="shared" si="28"/>
        <v>Sim</v>
      </c>
      <c r="L144" s="157">
        <f t="shared" ref="L144:L151" si="29">IF(K144="Sim",J144,"")</f>
        <v>50</v>
      </c>
      <c r="M144" s="397"/>
      <c r="N144" s="398"/>
    </row>
    <row r="145" spans="1:14">
      <c r="A145" s="409"/>
      <c r="B145" s="410"/>
      <c r="C145" s="411"/>
      <c r="D145" s="168" t="s">
        <v>311</v>
      </c>
      <c r="E145" s="399" t="s">
        <v>375</v>
      </c>
      <c r="F145" s="399"/>
      <c r="G145" s="209" t="s">
        <v>312</v>
      </c>
      <c r="H145" s="209" t="s">
        <v>376</v>
      </c>
      <c r="I145" s="155">
        <v>35</v>
      </c>
      <c r="J145" s="156">
        <f t="shared" si="27"/>
        <v>35</v>
      </c>
      <c r="K145" s="157" t="str">
        <f t="shared" si="28"/>
        <v>Sim</v>
      </c>
      <c r="L145" s="157">
        <f t="shared" si="29"/>
        <v>35</v>
      </c>
      <c r="M145" s="397"/>
      <c r="N145" s="398"/>
    </row>
    <row r="146" spans="1:14">
      <c r="A146" s="409"/>
      <c r="B146" s="410"/>
      <c r="C146" s="411"/>
      <c r="D146" s="168" t="s">
        <v>423</v>
      </c>
      <c r="E146" s="399" t="s">
        <v>380</v>
      </c>
      <c r="F146" s="399"/>
      <c r="G146" s="209" t="s">
        <v>377</v>
      </c>
      <c r="H146" s="209" t="s">
        <v>378</v>
      </c>
      <c r="I146" s="155">
        <v>189.9</v>
      </c>
      <c r="J146" s="156">
        <f t="shared" si="27"/>
        <v>189.9</v>
      </c>
      <c r="K146" s="157" t="str">
        <f t="shared" si="28"/>
        <v>Não</v>
      </c>
      <c r="L146" s="157" t="str">
        <f t="shared" si="29"/>
        <v/>
      </c>
      <c r="M146" s="397"/>
      <c r="N146" s="398"/>
    </row>
    <row r="147" spans="1:14">
      <c r="A147" s="409"/>
      <c r="B147" s="410"/>
      <c r="C147" s="411"/>
      <c r="D147" s="168" t="s">
        <v>423</v>
      </c>
      <c r="E147" s="399" t="s">
        <v>380</v>
      </c>
      <c r="F147" s="399"/>
      <c r="G147" s="209" t="s">
        <v>381</v>
      </c>
      <c r="H147" s="209" t="s">
        <v>382</v>
      </c>
      <c r="I147" s="155">
        <v>156.16999999999999</v>
      </c>
      <c r="J147" s="156">
        <f t="shared" si="27"/>
        <v>156.16999999999999</v>
      </c>
      <c r="K147" s="157" t="str">
        <f t="shared" si="28"/>
        <v>Não</v>
      </c>
      <c r="L147" s="157" t="str">
        <f t="shared" si="29"/>
        <v/>
      </c>
      <c r="M147" s="397"/>
      <c r="N147" s="398"/>
    </row>
    <row r="148" spans="1:14">
      <c r="A148" s="409"/>
      <c r="B148" s="410"/>
      <c r="C148" s="411"/>
      <c r="D148" s="168" t="s">
        <v>423</v>
      </c>
      <c r="E148" s="399" t="s">
        <v>380</v>
      </c>
      <c r="F148" s="399"/>
      <c r="G148" s="209" t="s">
        <v>337</v>
      </c>
      <c r="H148" s="209" t="s">
        <v>383</v>
      </c>
      <c r="I148" s="155">
        <v>70</v>
      </c>
      <c r="J148" s="156">
        <f t="shared" si="27"/>
        <v>70</v>
      </c>
      <c r="K148" s="157" t="str">
        <f t="shared" si="28"/>
        <v>Sim</v>
      </c>
      <c r="L148" s="157">
        <f t="shared" si="29"/>
        <v>70</v>
      </c>
      <c r="M148" s="397"/>
      <c r="N148" s="398"/>
    </row>
    <row r="149" spans="1:14">
      <c r="A149" s="409"/>
      <c r="B149" s="410"/>
      <c r="C149" s="411"/>
      <c r="D149" s="168" t="s">
        <v>423</v>
      </c>
      <c r="E149" s="399" t="s">
        <v>380</v>
      </c>
      <c r="F149" s="399"/>
      <c r="G149" s="209" t="s">
        <v>393</v>
      </c>
      <c r="H149" s="209" t="s">
        <v>394</v>
      </c>
      <c r="I149" s="155">
        <v>110</v>
      </c>
      <c r="J149" s="156">
        <f t="shared" si="27"/>
        <v>110</v>
      </c>
      <c r="K149" s="157" t="str">
        <f t="shared" si="28"/>
        <v>Sim</v>
      </c>
      <c r="L149" s="157">
        <f t="shared" si="29"/>
        <v>110</v>
      </c>
      <c r="M149" s="397"/>
      <c r="N149" s="398"/>
    </row>
    <row r="150" spans="1:14">
      <c r="A150" s="409"/>
      <c r="B150" s="410"/>
      <c r="C150" s="411"/>
      <c r="D150" s="168" t="s">
        <v>423</v>
      </c>
      <c r="E150" s="399" t="s">
        <v>380</v>
      </c>
      <c r="F150" s="399"/>
      <c r="G150" s="209" t="s">
        <v>335</v>
      </c>
      <c r="H150" s="209" t="s">
        <v>395</v>
      </c>
      <c r="I150" s="155">
        <v>390</v>
      </c>
      <c r="J150" s="156" t="str">
        <f t="shared" si="27"/>
        <v/>
      </c>
      <c r="K150" s="157" t="str">
        <f t="shared" si="28"/>
        <v>Não</v>
      </c>
      <c r="L150" s="157" t="str">
        <f t="shared" si="29"/>
        <v/>
      </c>
      <c r="M150" s="397"/>
      <c r="N150" s="398"/>
    </row>
    <row r="151" spans="1:14">
      <c r="A151" s="409"/>
      <c r="B151" s="410"/>
      <c r="C151" s="411"/>
      <c r="D151" s="168" t="s">
        <v>423</v>
      </c>
      <c r="E151" s="399" t="s">
        <v>396</v>
      </c>
      <c r="F151" s="399"/>
      <c r="G151" s="67" t="s">
        <v>332</v>
      </c>
      <c r="H151" s="209" t="s">
        <v>397</v>
      </c>
      <c r="I151" s="155">
        <v>321</v>
      </c>
      <c r="J151" s="156" t="str">
        <f t="shared" si="27"/>
        <v/>
      </c>
      <c r="K151" s="157" t="str">
        <f t="shared" si="28"/>
        <v>Não</v>
      </c>
      <c r="L151" s="157" t="str">
        <f t="shared" si="29"/>
        <v/>
      </c>
      <c r="M151" s="397"/>
      <c r="N151" s="398"/>
    </row>
  </sheetData>
  <mergeCells count="261">
    <mergeCell ref="C5:C14"/>
    <mergeCell ref="E20:F20"/>
    <mergeCell ref="E40:F40"/>
    <mergeCell ref="N5:N14"/>
    <mergeCell ref="E23:F23"/>
    <mergeCell ref="E5:F5"/>
    <mergeCell ref="E6:F6"/>
    <mergeCell ref="E7:F7"/>
    <mergeCell ref="E29:F29"/>
    <mergeCell ref="A28:E28"/>
    <mergeCell ref="E19:F19"/>
    <mergeCell ref="E24:F24"/>
    <mergeCell ref="E18:F18"/>
    <mergeCell ref="F28:H28"/>
    <mergeCell ref="I28:L28"/>
    <mergeCell ref="E25:F25"/>
    <mergeCell ref="A27:E27"/>
    <mergeCell ref="F27:H27"/>
    <mergeCell ref="I27:L27"/>
    <mergeCell ref="A19:A25"/>
    <mergeCell ref="B19:B25"/>
    <mergeCell ref="C19:C25"/>
    <mergeCell ref="A37:E37"/>
    <mergeCell ref="F37:H37"/>
    <mergeCell ref="I1:N1"/>
    <mergeCell ref="F2:H2"/>
    <mergeCell ref="I2:L2"/>
    <mergeCell ref="I17:L17"/>
    <mergeCell ref="M5:M14"/>
    <mergeCell ref="I16:L16"/>
    <mergeCell ref="I3:L3"/>
    <mergeCell ref="E11:F11"/>
    <mergeCell ref="A2:E2"/>
    <mergeCell ref="E4:F4"/>
    <mergeCell ref="E1:H1"/>
    <mergeCell ref="A3:E3"/>
    <mergeCell ref="F17:H17"/>
    <mergeCell ref="F16:H16"/>
    <mergeCell ref="F3:H3"/>
    <mergeCell ref="A17:E17"/>
    <mergeCell ref="E8:F8"/>
    <mergeCell ref="E12:F12"/>
    <mergeCell ref="E13:F13"/>
    <mergeCell ref="E9:F9"/>
    <mergeCell ref="E10:F10"/>
    <mergeCell ref="A16:E16"/>
    <mergeCell ref="A5:A14"/>
    <mergeCell ref="B5:B14"/>
    <mergeCell ref="I37:L37"/>
    <mergeCell ref="A30:A35"/>
    <mergeCell ref="B30:B35"/>
    <mergeCell ref="C30:C35"/>
    <mergeCell ref="E33:F33"/>
    <mergeCell ref="E35:F35"/>
    <mergeCell ref="E30:F30"/>
    <mergeCell ref="E21:F21"/>
    <mergeCell ref="E31:F31"/>
    <mergeCell ref="E32:F32"/>
    <mergeCell ref="C40:C45"/>
    <mergeCell ref="M40:M45"/>
    <mergeCell ref="N40:N45"/>
    <mergeCell ref="A38:E38"/>
    <mergeCell ref="F38:H38"/>
    <mergeCell ref="I38:L38"/>
    <mergeCell ref="E39:F39"/>
    <mergeCell ref="E41:F41"/>
    <mergeCell ref="E42:F42"/>
    <mergeCell ref="E43:F43"/>
    <mergeCell ref="I48:L48"/>
    <mergeCell ref="E150:F150"/>
    <mergeCell ref="E151:F151"/>
    <mergeCell ref="E123:F123"/>
    <mergeCell ref="E45:F45"/>
    <mergeCell ref="A47:E47"/>
    <mergeCell ref="F47:H47"/>
    <mergeCell ref="I47:L47"/>
    <mergeCell ref="A40:A45"/>
    <mergeCell ref="B40:B45"/>
    <mergeCell ref="A50:A61"/>
    <mergeCell ref="B50:B61"/>
    <mergeCell ref="C50:C61"/>
    <mergeCell ref="E70:F70"/>
    <mergeCell ref="A66:A79"/>
    <mergeCell ref="B66:B79"/>
    <mergeCell ref="C66:C79"/>
    <mergeCell ref="E66:F66"/>
    <mergeCell ref="E58:F58"/>
    <mergeCell ref="E59:F59"/>
    <mergeCell ref="E65:F65"/>
    <mergeCell ref="A82:E82"/>
    <mergeCell ref="F82:H82"/>
    <mergeCell ref="I82:L82"/>
    <mergeCell ref="M50:M61"/>
    <mergeCell ref="N50:N61"/>
    <mergeCell ref="E61:F61"/>
    <mergeCell ref="E52:F52"/>
    <mergeCell ref="E50:F50"/>
    <mergeCell ref="E51:F51"/>
    <mergeCell ref="E149:F149"/>
    <mergeCell ref="E92:F92"/>
    <mergeCell ref="E14:F14"/>
    <mergeCell ref="E44:F44"/>
    <mergeCell ref="E22:F22"/>
    <mergeCell ref="E60:F60"/>
    <mergeCell ref="E49:F49"/>
    <mergeCell ref="A48:E48"/>
    <mergeCell ref="F48:H48"/>
    <mergeCell ref="E34:F34"/>
    <mergeCell ref="A64:E64"/>
    <mergeCell ref="F64:H64"/>
    <mergeCell ref="I64:L64"/>
    <mergeCell ref="E148:F148"/>
    <mergeCell ref="A63:E63"/>
    <mergeCell ref="F63:H63"/>
    <mergeCell ref="I63:L63"/>
    <mergeCell ref="E68:F68"/>
    <mergeCell ref="M66:M79"/>
    <mergeCell ref="E76:F76"/>
    <mergeCell ref="E77:F77"/>
    <mergeCell ref="E78:F78"/>
    <mergeCell ref="E67:F67"/>
    <mergeCell ref="E79:F79"/>
    <mergeCell ref="E69:F69"/>
    <mergeCell ref="N66:N79"/>
    <mergeCell ref="A81:E81"/>
    <mergeCell ref="F81:H81"/>
    <mergeCell ref="I81:L81"/>
    <mergeCell ref="E74:F74"/>
    <mergeCell ref="E75:F75"/>
    <mergeCell ref="E83:F83"/>
    <mergeCell ref="E71:F71"/>
    <mergeCell ref="E55:F55"/>
    <mergeCell ref="E56:F56"/>
    <mergeCell ref="E72:F72"/>
    <mergeCell ref="E73:F73"/>
    <mergeCell ref="E57:F57"/>
    <mergeCell ref="A84:A92"/>
    <mergeCell ref="B84:B92"/>
    <mergeCell ref="C84:C92"/>
    <mergeCell ref="M84:M92"/>
    <mergeCell ref="N84:N92"/>
    <mergeCell ref="E91:F91"/>
    <mergeCell ref="E84:F84"/>
    <mergeCell ref="E85:F85"/>
    <mergeCell ref="E86:F86"/>
    <mergeCell ref="E87:F87"/>
    <mergeCell ref="A94:E94"/>
    <mergeCell ref="F94:H94"/>
    <mergeCell ref="I94:L94"/>
    <mergeCell ref="A95:E95"/>
    <mergeCell ref="F95:H95"/>
    <mergeCell ref="I95:L95"/>
    <mergeCell ref="E96:F96"/>
    <mergeCell ref="A97:A108"/>
    <mergeCell ref="B97:B108"/>
    <mergeCell ref="C97:C108"/>
    <mergeCell ref="E97:F97"/>
    <mergeCell ref="M97:M108"/>
    <mergeCell ref="E106:F106"/>
    <mergeCell ref="E107:F107"/>
    <mergeCell ref="E108:F108"/>
    <mergeCell ref="N97:N108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M113:M123"/>
    <mergeCell ref="E120:F120"/>
    <mergeCell ref="E121:F121"/>
    <mergeCell ref="E122:F122"/>
    <mergeCell ref="A110:E110"/>
    <mergeCell ref="F110:H110"/>
    <mergeCell ref="I110:L110"/>
    <mergeCell ref="A111:E111"/>
    <mergeCell ref="F111:H111"/>
    <mergeCell ref="I111:L111"/>
    <mergeCell ref="E53:F53"/>
    <mergeCell ref="E54:F54"/>
    <mergeCell ref="E88:F88"/>
    <mergeCell ref="E89:F89"/>
    <mergeCell ref="E90:F90"/>
    <mergeCell ref="N113:N123"/>
    <mergeCell ref="E114:F114"/>
    <mergeCell ref="A126:E126"/>
    <mergeCell ref="F126:H126"/>
    <mergeCell ref="E115:F115"/>
    <mergeCell ref="E116:F116"/>
    <mergeCell ref="M81:N82"/>
    <mergeCell ref="M94:N95"/>
    <mergeCell ref="M110:N111"/>
    <mergeCell ref="A125:E125"/>
    <mergeCell ref="F125:H125"/>
    <mergeCell ref="I125:L125"/>
    <mergeCell ref="E118:F118"/>
    <mergeCell ref="E119:F119"/>
    <mergeCell ref="E112:F112"/>
    <mergeCell ref="A113:A123"/>
    <mergeCell ref="B113:B123"/>
    <mergeCell ref="C113:C123"/>
    <mergeCell ref="E113:F113"/>
    <mergeCell ref="M128:M131"/>
    <mergeCell ref="N128:N131"/>
    <mergeCell ref="E129:F129"/>
    <mergeCell ref="M136:M138"/>
    <mergeCell ref="A133:E133"/>
    <mergeCell ref="F133:H133"/>
    <mergeCell ref="I133:L133"/>
    <mergeCell ref="A134:E134"/>
    <mergeCell ref="F134:H134"/>
    <mergeCell ref="I134:L134"/>
    <mergeCell ref="M133:N134"/>
    <mergeCell ref="E135:F135"/>
    <mergeCell ref="E137:F137"/>
    <mergeCell ref="A136:A138"/>
    <mergeCell ref="B136:B138"/>
    <mergeCell ref="C136:C138"/>
    <mergeCell ref="E136:F136"/>
    <mergeCell ref="E138:F138"/>
    <mergeCell ref="I141:L141"/>
    <mergeCell ref="I126:L126"/>
    <mergeCell ref="E146:F146"/>
    <mergeCell ref="E147:F147"/>
    <mergeCell ref="A141:E141"/>
    <mergeCell ref="F141:H141"/>
    <mergeCell ref="E142:F142"/>
    <mergeCell ref="A143:A151"/>
    <mergeCell ref="B143:B151"/>
    <mergeCell ref="C143:C151"/>
    <mergeCell ref="E143:F143"/>
    <mergeCell ref="A128:A131"/>
    <mergeCell ref="B128:B131"/>
    <mergeCell ref="C128:C131"/>
    <mergeCell ref="E128:F128"/>
    <mergeCell ref="E127:F127"/>
    <mergeCell ref="M125:N126"/>
    <mergeCell ref="A140:E140"/>
    <mergeCell ref="F140:H140"/>
    <mergeCell ref="M143:M151"/>
    <mergeCell ref="N143:N151"/>
    <mergeCell ref="E144:F144"/>
    <mergeCell ref="M2:N3"/>
    <mergeCell ref="M16:N17"/>
    <mergeCell ref="M27:N28"/>
    <mergeCell ref="M37:N38"/>
    <mergeCell ref="M47:N48"/>
    <mergeCell ref="M63:N64"/>
    <mergeCell ref="M30:M35"/>
    <mergeCell ref="N30:N35"/>
    <mergeCell ref="M19:M25"/>
    <mergeCell ref="N19:N25"/>
    <mergeCell ref="E145:F145"/>
    <mergeCell ref="M140:N141"/>
    <mergeCell ref="E117:F117"/>
    <mergeCell ref="E130:F130"/>
    <mergeCell ref="E131:F131"/>
    <mergeCell ref="N136:N138"/>
    <mergeCell ref="I140:L140"/>
  </mergeCells>
  <hyperlinks>
    <hyperlink ref="G71" r:id="rId1" xr:uid="{00000000-0004-0000-0400-000000000000}"/>
    <hyperlink ref="G55" r:id="rId2" xr:uid="{00000000-0004-0000-0400-000001000000}"/>
    <hyperlink ref="G146" r:id="rId3" xr:uid="{00000000-0004-0000-0400-000002000000}"/>
    <hyperlink ref="G102" r:id="rId4" xr:uid="{00000000-0004-0000-0400-000003000000}"/>
    <hyperlink ref="G21" r:id="rId5" xr:uid="{00000000-0004-0000-0400-000004000000}"/>
    <hyperlink ref="G56" r:id="rId6" xr:uid="{00000000-0004-0000-0400-000005000000}"/>
    <hyperlink ref="G72" r:id="rId7" xr:uid="{00000000-0004-0000-0400-000006000000}"/>
    <hyperlink ref="G103" r:id="rId8" xr:uid="{00000000-0004-0000-0400-000007000000}"/>
    <hyperlink ref="G40" r:id="rId9" xr:uid="{00000000-0004-0000-0400-000008000000}"/>
    <hyperlink ref="G118" r:id="rId10" xr:uid="{00000000-0004-0000-0400-000009000000}"/>
    <hyperlink ref="G147" r:id="rId11" xr:uid="{00000000-0004-0000-0400-00000A000000}"/>
    <hyperlink ref="G104" r:id="rId12" xr:uid="{00000000-0004-0000-0400-00000B000000}"/>
    <hyperlink ref="G119" r:id="rId13" xr:uid="{00000000-0004-0000-0400-00000C000000}"/>
    <hyperlink ref="G73" r:id="rId14" xr:uid="{00000000-0004-0000-0400-00000D000000}"/>
    <hyperlink ref="G57" r:id="rId15" xr:uid="{00000000-0004-0000-0400-00000E000000}"/>
    <hyperlink ref="G148" r:id="rId16" xr:uid="{00000000-0004-0000-0400-00000F000000}"/>
    <hyperlink ref="G41" r:id="rId17" xr:uid="{00000000-0004-0000-0400-000010000000}"/>
    <hyperlink ref="G74" r:id="rId18" xr:uid="{00000000-0004-0000-0400-000011000000}"/>
    <hyperlink ref="G120" r:id="rId19" xr:uid="{00000000-0004-0000-0400-000012000000}"/>
    <hyperlink ref="G58" r:id="rId20" xr:uid="{00000000-0004-0000-0400-000013000000}"/>
    <hyperlink ref="G105" r:id="rId21" xr:uid="{00000000-0004-0000-0400-000014000000}"/>
    <hyperlink ref="G75" r:id="rId22" xr:uid="{00000000-0004-0000-0400-000015000000}"/>
    <hyperlink ref="G122" r:id="rId23" xr:uid="{00000000-0004-0000-0400-000016000000}"/>
    <hyperlink ref="G106" r:id="rId24" xr:uid="{00000000-0004-0000-0400-000017000000}"/>
    <hyperlink ref="G43" r:id="rId25" xr:uid="{00000000-0004-0000-0400-000018000000}"/>
    <hyperlink ref="G149" r:id="rId26" xr:uid="{00000000-0004-0000-0400-000019000000}"/>
    <hyperlink ref="G59" r:id="rId27" xr:uid="{00000000-0004-0000-0400-00001A000000}"/>
    <hyperlink ref="G76" r:id="rId28" xr:uid="{00000000-0004-0000-0400-00001B000000}"/>
    <hyperlink ref="G107" r:id="rId29" xr:uid="{00000000-0004-0000-0400-00001C000000}"/>
    <hyperlink ref="G44" r:id="rId30" xr:uid="{00000000-0004-0000-0400-00001D000000}"/>
    <hyperlink ref="G22" r:id="rId31" xr:uid="{00000000-0004-0000-0400-00001E000000}"/>
    <hyperlink ref="G150" r:id="rId32" xr:uid="{00000000-0004-0000-0400-00001F000000}"/>
    <hyperlink ref="G60" r:id="rId33" xr:uid="{00000000-0004-0000-0400-000020000000}"/>
    <hyperlink ref="G77" r:id="rId34" xr:uid="{00000000-0004-0000-0400-000021000000}"/>
    <hyperlink ref="G78" r:id="rId35" xr:uid="{00000000-0004-0000-0400-000022000000}"/>
    <hyperlink ref="G151" r:id="rId36" xr:uid="{00000000-0004-0000-0400-000023000000}"/>
    <hyperlink ref="G123" r:id="rId37" xr:uid="{00000000-0004-0000-0400-000024000000}"/>
    <hyperlink ref="G108" r:id="rId38" xr:uid="{00000000-0004-0000-0400-000025000000}"/>
    <hyperlink ref="G45" r:id="rId39" xr:uid="{00000000-0004-0000-0400-000026000000}"/>
    <hyperlink ref="G61" r:id="rId40" xr:uid="{00000000-0004-0000-0400-000027000000}"/>
    <hyperlink ref="G8" r:id="rId41" display="https://lojavigilanteqap.com.br/" xr:uid="{00000000-0004-0000-0400-000028000000}"/>
    <hyperlink ref="G9" r:id="rId42" xr:uid="{00000000-0004-0000-0400-000029000000}"/>
    <hyperlink ref="G10" r:id="rId43" xr:uid="{00000000-0004-0000-0400-00002A000000}"/>
    <hyperlink ref="G12" r:id="rId44" display="http://www.lojapramil.com.br" xr:uid="{00000000-0004-0000-0400-00002B000000}"/>
    <hyperlink ref="G13" r:id="rId45" xr:uid="{00000000-0004-0000-0400-00002C000000}"/>
    <hyperlink ref="G14" r:id="rId46" xr:uid="{00000000-0004-0000-0400-00002D000000}"/>
    <hyperlink ref="G23" r:id="rId47" xr:uid="{00000000-0004-0000-0400-00002E000000}"/>
    <hyperlink ref="G131" r:id="rId48" xr:uid="{00000000-0004-0000-0400-00002F000000}"/>
    <hyperlink ref="G88" r:id="rId49" xr:uid="{00000000-0004-0000-0400-000030000000}"/>
    <hyperlink ref="G89" r:id="rId50" xr:uid="{00000000-0004-0000-0400-000031000000}"/>
    <hyperlink ref="G91" r:id="rId51" display="https://www.citerol.com.br" xr:uid="{00000000-0004-0000-0400-000032000000}"/>
    <hyperlink ref="G92" r:id="rId52" xr:uid="{00000000-0004-0000-0400-000033000000}"/>
    <hyperlink ref="G24" r:id="rId53" xr:uid="{00000000-0004-0000-0400-000034000000}"/>
    <hyperlink ref="G32" r:id="rId54" display="http://www.vigilanteshop.com.br" xr:uid="{00000000-0004-0000-0400-000035000000}"/>
    <hyperlink ref="G33" r:id="rId55" display="https://www.printi.com.br" xr:uid="{00000000-0004-0000-0400-000036000000}"/>
    <hyperlink ref="G25" r:id="rId56" xr:uid="{00000000-0004-0000-0400-000037000000}"/>
    <hyperlink ref="G35" r:id="rId57" xr:uid="{00000000-0004-0000-0400-000038000000}"/>
  </hyperlinks>
  <pageMargins left="0.511811024" right="0.511811024" top="0.78740157499999996" bottom="0.78740157499999996" header="0.31496062000000002" footer="0.31496062000000002"/>
  <pageSetup paperSize="9" scale="83" fitToHeight="0" orientation="landscape" r:id="rId58"/>
  <drawing r:id="rId5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M186"/>
  <sheetViews>
    <sheetView showGridLines="0" zoomScaleNormal="100" workbookViewId="0">
      <selection activeCell="H30" sqref="H30"/>
    </sheetView>
  </sheetViews>
  <sheetFormatPr defaultColWidth="9.1796875" defaultRowHeight="14.5"/>
  <cols>
    <col min="1" max="1" width="3.54296875" style="150" customWidth="1"/>
    <col min="2" max="2" width="4.26953125" style="150" customWidth="1"/>
    <col min="3" max="3" width="5.453125" customWidth="1"/>
    <col min="4" max="4" width="13.7265625" style="151" bestFit="1" customWidth="1"/>
    <col min="5" max="5" width="4.81640625" style="151" customWidth="1"/>
    <col min="6" max="6" width="4.54296875" style="151" customWidth="1"/>
    <col min="7" max="7" width="41" style="1" customWidth="1"/>
    <col min="8" max="8" width="68.81640625" bestFit="1" customWidth="1"/>
    <col min="9" max="9" width="7.1796875" customWidth="1"/>
    <col min="10" max="10" width="7" hidden="1" customWidth="1"/>
    <col min="11" max="11" width="4.26953125" customWidth="1"/>
    <col min="12" max="12" width="6.54296875" hidden="1" customWidth="1"/>
    <col min="13" max="13" width="7" style="181" customWidth="1"/>
    <col min="14" max="14" width="9.1796875" customWidth="1"/>
  </cols>
  <sheetData>
    <row r="1" spans="1:247" ht="45.75" customHeight="1">
      <c r="A1" s="1"/>
      <c r="B1" s="1"/>
      <c r="C1" s="1"/>
      <c r="E1" s="439" t="s">
        <v>346</v>
      </c>
      <c r="F1" s="439"/>
      <c r="G1" s="439"/>
      <c r="H1" s="439"/>
      <c r="I1" s="434" t="s">
        <v>19</v>
      </c>
      <c r="J1" s="435"/>
      <c r="K1" s="435"/>
      <c r="L1" s="435"/>
      <c r="M1" s="435"/>
      <c r="N1" s="435"/>
    </row>
    <row r="2" spans="1:247" ht="16.5" customHeight="1">
      <c r="A2" s="394" t="s">
        <v>7</v>
      </c>
      <c r="B2" s="395"/>
      <c r="C2" s="395"/>
      <c r="D2" s="395"/>
      <c r="E2" s="396"/>
      <c r="F2" s="394" t="s">
        <v>8</v>
      </c>
      <c r="G2" s="395"/>
      <c r="H2" s="395"/>
      <c r="I2" s="394" t="s">
        <v>330</v>
      </c>
      <c r="J2" s="395"/>
      <c r="K2" s="395"/>
      <c r="L2" s="396"/>
      <c r="M2" s="390" t="s">
        <v>2</v>
      </c>
      <c r="N2" s="391"/>
    </row>
    <row r="3" spans="1:247" ht="11.25" customHeight="1">
      <c r="A3" s="406"/>
      <c r="B3" s="407"/>
      <c r="C3" s="407"/>
      <c r="D3" s="407"/>
      <c r="E3" s="408"/>
      <c r="F3" s="403" t="s">
        <v>347</v>
      </c>
      <c r="G3" s="404"/>
      <c r="H3" s="404"/>
      <c r="I3" s="403" t="s">
        <v>16</v>
      </c>
      <c r="J3" s="404"/>
      <c r="K3" s="404"/>
      <c r="L3" s="405"/>
      <c r="M3" s="392"/>
      <c r="N3" s="39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</row>
    <row r="4" spans="1:247" ht="30" customHeight="1">
      <c r="A4" s="131" t="s">
        <v>10</v>
      </c>
      <c r="B4" s="131" t="s">
        <v>15</v>
      </c>
      <c r="C4" s="131" t="s">
        <v>6</v>
      </c>
      <c r="D4" s="132" t="s">
        <v>4</v>
      </c>
      <c r="E4" s="388" t="s">
        <v>9</v>
      </c>
      <c r="F4" s="389"/>
      <c r="G4" s="133" t="s">
        <v>5</v>
      </c>
      <c r="H4" s="133" t="s">
        <v>1</v>
      </c>
      <c r="I4" s="134" t="s">
        <v>12</v>
      </c>
      <c r="J4" s="135" t="s">
        <v>13</v>
      </c>
      <c r="K4" s="136"/>
      <c r="L4" s="152" t="s">
        <v>14</v>
      </c>
      <c r="M4" s="171" t="s">
        <v>0</v>
      </c>
      <c r="N4" s="152" t="s">
        <v>3</v>
      </c>
    </row>
    <row r="5" spans="1:247">
      <c r="A5" s="409"/>
      <c r="B5" s="410"/>
      <c r="C5" s="411">
        <v>1</v>
      </c>
      <c r="D5" s="184" t="s">
        <v>315</v>
      </c>
      <c r="E5" s="412" t="s">
        <v>317</v>
      </c>
      <c r="F5" s="412"/>
      <c r="G5" s="209" t="s">
        <v>318</v>
      </c>
      <c r="H5" s="209" t="s">
        <v>316</v>
      </c>
      <c r="I5" s="155">
        <v>350</v>
      </c>
      <c r="J5" s="156">
        <f>IF(AND((STDEV(I$5:I$9)/AVERAGE(I$5:I$9))&lt;=0.25,ISNUMBER(I5)),I5,IF(AND(I5&lt;=(AVERAGE(I$5:I$9)+STDEV(I$5:I$9)),I5&gt;=(AVERAGE(I$5:I$9)-STDEV(I$5:I$9)),ISNUMBER(I5)),I5,""))</f>
        <v>350</v>
      </c>
      <c r="K5" s="157" t="str">
        <f>IF(AND(COUNT(I$5:I$9)=1,ISNUMBER(I5)),"Sim",IF(AND((STDEV(J$5:J$9)/AVERAGE(J$5:J$9))&lt;0.25,ISNUMBER(J5)),"Sim",IF(AND(J5&lt;=(AVERAGE(J$5:J$9)+STDEV(J$5:J$9)),J5&gt;=(AVERAGE(J$5:J$9)-STDEV(J$5:J$9)),ISNUMBER(J5)),"Sim","Não")))</f>
        <v>Não</v>
      </c>
      <c r="L5" s="157" t="str">
        <f>IF(K5="Sim",J5,"")</f>
        <v/>
      </c>
      <c r="M5" s="397">
        <f>ROUND(IF(COUNT(I5:I9)=1,I5,IF((COUNT(L5:L9)&lt;3),MIN(L5:L9),AVERAGE(L5:L9))),2)</f>
        <v>180.49</v>
      </c>
      <c r="N5" s="398">
        <f>C5*M5</f>
        <v>180.49</v>
      </c>
    </row>
    <row r="6" spans="1:247" ht="15" customHeight="1">
      <c r="A6" s="409"/>
      <c r="B6" s="410"/>
      <c r="C6" s="411"/>
      <c r="D6" s="184" t="s">
        <v>364</v>
      </c>
      <c r="E6" s="412" t="s">
        <v>366</v>
      </c>
      <c r="F6" s="412"/>
      <c r="G6" s="209" t="s">
        <v>363</v>
      </c>
      <c r="H6" s="209" t="s">
        <v>365</v>
      </c>
      <c r="I6" s="155">
        <v>400</v>
      </c>
      <c r="J6" s="156" t="str">
        <f>IF(AND((STDEV(I$5:I$9)/AVERAGE(I$5:I$9))&lt;=0.25,ISNUMBER(I6)),I6,IF(AND(I6&lt;=(AVERAGE(I$5:I$9)+STDEV(I$5:I$9)),I6&gt;=(AVERAGE(I$5:I$9)-STDEV(I$5:I$9)),ISNUMBER(I6)),I6,""))</f>
        <v/>
      </c>
      <c r="K6" s="157" t="str">
        <f>IF(AND(COUNT(I$5:I$9)=1,ISNUMBER(I6)),"Sim",IF(AND((STDEV(J$5:J$9)/AVERAGE(J$5:J$9))&lt;0.25,ISNUMBER(J6)),"Sim",IF(AND(J6&lt;=(AVERAGE(J$5:J$9)+STDEV(J$5:J$9)),J6&gt;=(AVERAGE(J$5:J$9)-STDEV(J$5:J$9)),ISNUMBER(J6)),"Sim","Não")))</f>
        <v>Não</v>
      </c>
      <c r="L6" s="157" t="str">
        <f>IF(K6="Sim",J6,"")</f>
        <v/>
      </c>
      <c r="M6" s="397"/>
      <c r="N6" s="398"/>
    </row>
    <row r="7" spans="1:247" ht="15" customHeight="1">
      <c r="A7" s="409"/>
      <c r="B7" s="410"/>
      <c r="C7" s="411"/>
      <c r="D7" s="168" t="s">
        <v>320</v>
      </c>
      <c r="E7" s="399" t="s">
        <v>321</v>
      </c>
      <c r="F7" s="399"/>
      <c r="G7" s="209" t="s">
        <v>322</v>
      </c>
      <c r="H7" s="209" t="s">
        <v>323</v>
      </c>
      <c r="I7" s="155">
        <v>60</v>
      </c>
      <c r="J7" s="156" t="str">
        <f>IF(AND((STDEV(I$5:I$9)/AVERAGE(I$5:I$9))&lt;=0.25,ISNUMBER(I7)),I7,IF(AND(I7&lt;=(AVERAGE(I$5:I$9)+STDEV(I$5:I$9)),I7&gt;=(AVERAGE(I$5:I$9)-STDEV(I$5:I$9)),ISNUMBER(I7)),I7,""))</f>
        <v/>
      </c>
      <c r="K7" s="157" t="str">
        <f>IF(AND(COUNT(I$5:I$9)=1,ISNUMBER(I7)),"Sim",IF(AND((STDEV(J$5:J$9)/AVERAGE(J$5:J$9))&lt;0.25,ISNUMBER(J7)),"Sim",IF(AND(J7&lt;=(AVERAGE(J$5:J$9)+STDEV(J$5:J$9)),J7&gt;=(AVERAGE(J$5:J$9)-STDEV(J$5:J$9)),ISNUMBER(J7)),"Sim","Não")))</f>
        <v>Não</v>
      </c>
      <c r="L7" s="157" t="str">
        <f>IF(K7="Sim",J7,"")</f>
        <v/>
      </c>
      <c r="M7" s="397"/>
      <c r="N7" s="398"/>
    </row>
    <row r="8" spans="1:247" ht="15" customHeight="1">
      <c r="A8" s="409"/>
      <c r="B8" s="410"/>
      <c r="C8" s="411"/>
      <c r="D8" s="168" t="s">
        <v>379</v>
      </c>
      <c r="E8" s="399" t="s">
        <v>396</v>
      </c>
      <c r="F8" s="399"/>
      <c r="G8" s="209" t="s">
        <v>153</v>
      </c>
      <c r="H8" s="209" t="s">
        <v>403</v>
      </c>
      <c r="I8" s="155">
        <v>180.49</v>
      </c>
      <c r="J8" s="156">
        <f>IF(AND((STDEV(I$5:I$9)/AVERAGE(I$5:I$9))&lt;=0.25,ISNUMBER(I8)),I8,IF(AND(I8&lt;=(AVERAGE(I$5:I$9)+STDEV(I$5:I$9)),I8&gt;=(AVERAGE(I$5:I$9)-STDEV(I$5:I$9)),ISNUMBER(I8)),I8,""))</f>
        <v>180.49</v>
      </c>
      <c r="K8" s="157" t="str">
        <f>IF(AND(COUNT(I$5:I$9)=1,ISNUMBER(I8)),"Sim",IF(AND((STDEV(J$5:J$9)/AVERAGE(J$5:J$9))&lt;0.25,ISNUMBER(J8)),"Sim",IF(AND(J8&lt;=(AVERAGE(J$5:J$9)+STDEV(J$5:J$9)),J8&gt;=(AVERAGE(J$5:J$9)-STDEV(J$5:J$9)),ISNUMBER(J8)),"Sim","Não")))</f>
        <v>Sim</v>
      </c>
      <c r="L8" s="157">
        <f>IF(K8="Sim",J8,"")</f>
        <v>180.49</v>
      </c>
      <c r="M8" s="397"/>
      <c r="N8" s="398"/>
    </row>
    <row r="9" spans="1:247" ht="15" customHeight="1">
      <c r="A9" s="409"/>
      <c r="B9" s="410"/>
      <c r="C9" s="411"/>
      <c r="D9" s="168" t="s">
        <v>379</v>
      </c>
      <c r="E9" s="399" t="s">
        <v>396</v>
      </c>
      <c r="F9" s="399"/>
      <c r="G9" s="209" t="s">
        <v>404</v>
      </c>
      <c r="H9" s="209" t="s">
        <v>405</v>
      </c>
      <c r="I9" s="155">
        <v>249</v>
      </c>
      <c r="J9" s="156">
        <f>IF(AND((STDEV(I$5:I$9)/AVERAGE(I$5:I$9))&lt;=0.25,ISNUMBER(I9)),I9,IF(AND(I9&lt;=(AVERAGE(I$5:I$9)+STDEV(I$5:I$9)),I9&gt;=(AVERAGE(I$5:I$9)-STDEV(I$5:I$9)),ISNUMBER(I9)),I9,""))</f>
        <v>249</v>
      </c>
      <c r="K9" s="157" t="str">
        <f>IF(AND(COUNT(I$5:I$9)=1,ISNUMBER(I9)),"Sim",IF(AND((STDEV(J$5:J$9)/AVERAGE(J$5:J$9))&lt;0.25,ISNUMBER(J9)),"Sim",IF(AND(J9&lt;=(AVERAGE(J$5:J$9)+STDEV(J$5:J$9)),J9&gt;=(AVERAGE(J$5:J$9)-STDEV(J$5:J$9)),ISNUMBER(J9)),"Sim","Não")))</f>
        <v>Sim</v>
      </c>
      <c r="L9" s="157">
        <f>IF(K9="Sim",J9,"")</f>
        <v>249</v>
      </c>
      <c r="M9" s="397"/>
      <c r="N9" s="398"/>
    </row>
    <row r="10" spans="1:247" ht="15" customHeight="1">
      <c r="A10" s="141"/>
      <c r="B10" s="141"/>
      <c r="C10" s="142"/>
      <c r="D10" s="143"/>
      <c r="E10" s="143"/>
      <c r="F10" s="143"/>
      <c r="G10" s="144"/>
      <c r="H10" s="144"/>
      <c r="I10" s="145"/>
      <c r="J10" s="146"/>
      <c r="K10" s="147"/>
      <c r="L10" s="147"/>
      <c r="M10" s="174"/>
      <c r="N10" s="175"/>
    </row>
    <row r="11" spans="1:247" ht="15" customHeight="1">
      <c r="A11" s="394" t="s">
        <v>7</v>
      </c>
      <c r="B11" s="395"/>
      <c r="C11" s="395"/>
      <c r="D11" s="395"/>
      <c r="E11" s="396"/>
      <c r="F11" s="394" t="s">
        <v>8</v>
      </c>
      <c r="G11" s="395"/>
      <c r="H11" s="395"/>
      <c r="I11" s="394" t="s">
        <v>330</v>
      </c>
      <c r="J11" s="395"/>
      <c r="K11" s="395"/>
      <c r="L11" s="396"/>
      <c r="M11" s="390" t="s">
        <v>2</v>
      </c>
      <c r="N11" s="391"/>
    </row>
    <row r="12" spans="1:247" ht="15" customHeight="1">
      <c r="A12" s="406"/>
      <c r="B12" s="407"/>
      <c r="C12" s="407"/>
      <c r="D12" s="407"/>
      <c r="E12" s="408"/>
      <c r="F12" s="403" t="s">
        <v>348</v>
      </c>
      <c r="G12" s="404"/>
      <c r="H12" s="404"/>
      <c r="I12" s="403" t="s">
        <v>349</v>
      </c>
      <c r="J12" s="404"/>
      <c r="K12" s="404"/>
      <c r="L12" s="405"/>
      <c r="M12" s="392" t="s">
        <v>17</v>
      </c>
      <c r="N12" s="39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</row>
    <row r="13" spans="1:247" s="1" customFormat="1">
      <c r="A13" s="176" t="s">
        <v>10</v>
      </c>
      <c r="B13" s="176" t="s">
        <v>15</v>
      </c>
      <c r="C13" s="176" t="s">
        <v>6</v>
      </c>
      <c r="D13" s="132" t="s">
        <v>4</v>
      </c>
      <c r="E13" s="388" t="s">
        <v>9</v>
      </c>
      <c r="F13" s="389"/>
      <c r="G13" s="133" t="s">
        <v>5</v>
      </c>
      <c r="H13" s="133" t="s">
        <v>1</v>
      </c>
      <c r="I13" s="177" t="s">
        <v>12</v>
      </c>
      <c r="J13" s="178" t="s">
        <v>13</v>
      </c>
      <c r="K13" s="154"/>
      <c r="L13" s="173" t="s">
        <v>14</v>
      </c>
      <c r="M13" s="172" t="s">
        <v>0</v>
      </c>
      <c r="N13" s="173" t="s">
        <v>3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</row>
    <row r="14" spans="1:247" ht="15" customHeight="1">
      <c r="A14" s="409"/>
      <c r="B14" s="410"/>
      <c r="C14" s="411">
        <v>1</v>
      </c>
      <c r="D14" s="184" t="s">
        <v>315</v>
      </c>
      <c r="E14" s="412" t="s">
        <v>317</v>
      </c>
      <c r="F14" s="412"/>
      <c r="G14" s="209" t="s">
        <v>318</v>
      </c>
      <c r="H14" s="209" t="s">
        <v>316</v>
      </c>
      <c r="I14" s="155">
        <v>991.32</v>
      </c>
      <c r="J14" s="156">
        <f t="shared" ref="J14:J20" si="0">IF(AND((STDEV(I$14:I$20)/AVERAGE(I$14:I$20))&lt;=0.25,ISNUMBER(I14)),I14,IF(AND(I14&lt;=(AVERAGE(I$14:I$20)+STDEV(I$14:I$20)),I14&gt;=(AVERAGE(I$14:I$20)-STDEV(I$14:I$20)),ISNUMBER(I14)),I14,""))</f>
        <v>991.32</v>
      </c>
      <c r="K14" s="157" t="str">
        <f t="shared" ref="K14:K20" si="1">IF(AND(COUNT(I$14:I$20)=1,ISNUMBER(I14)),"Sim",IF(AND((STDEV(J$14:J$20)/AVERAGE(J$14:J$20))&lt;0.25,ISNUMBER(J14)),"Sim",IF(AND(J14&lt;=(AVERAGE(J$14:J$20)+STDEV(J$14:J$20)),J14&gt;=(AVERAGE(J$14:J$20)-STDEV(J$14:J$20)),ISNUMBER(J14)),"Sim","Não")))</f>
        <v>Sim</v>
      </c>
      <c r="L14" s="157">
        <f t="shared" ref="L14:L20" si="2">IF(K14="Sim",J14,"")</f>
        <v>991.32</v>
      </c>
      <c r="M14" s="397">
        <f>ROUND(IF(COUNT(I14:I20)=1,I14,IF((COUNT(L14:L20)&lt;3),MIN(L14:L20),AVERAGE(L14:L20))),2)</f>
        <v>789.97</v>
      </c>
      <c r="N14" s="398">
        <f>C14*M14</f>
        <v>789.97</v>
      </c>
    </row>
    <row r="15" spans="1:247">
      <c r="A15" s="409"/>
      <c r="B15" s="410"/>
      <c r="C15" s="411"/>
      <c r="D15" s="184" t="s">
        <v>364</v>
      </c>
      <c r="E15" s="412" t="s">
        <v>366</v>
      </c>
      <c r="F15" s="412"/>
      <c r="G15" s="209" t="s">
        <v>363</v>
      </c>
      <c r="H15" s="209" t="s">
        <v>365</v>
      </c>
      <c r="I15" s="155">
        <v>650</v>
      </c>
      <c r="J15" s="156">
        <f t="shared" si="0"/>
        <v>650</v>
      </c>
      <c r="K15" s="157" t="str">
        <f t="shared" si="1"/>
        <v>Sim</v>
      </c>
      <c r="L15" s="157">
        <f t="shared" si="2"/>
        <v>650</v>
      </c>
      <c r="M15" s="397"/>
      <c r="N15" s="398"/>
    </row>
    <row r="16" spans="1:247" ht="15" customHeight="1">
      <c r="A16" s="409"/>
      <c r="B16" s="410"/>
      <c r="C16" s="411"/>
      <c r="D16" s="184" t="s">
        <v>309</v>
      </c>
      <c r="E16" s="412" t="s">
        <v>373</v>
      </c>
      <c r="F16" s="412"/>
      <c r="G16" s="209" t="s">
        <v>371</v>
      </c>
      <c r="H16" s="209" t="s">
        <v>372</v>
      </c>
      <c r="I16" s="155">
        <v>580</v>
      </c>
      <c r="J16" s="156">
        <f t="shared" si="0"/>
        <v>580</v>
      </c>
      <c r="K16" s="157" t="str">
        <f t="shared" si="1"/>
        <v>Sim</v>
      </c>
      <c r="L16" s="157">
        <f t="shared" si="2"/>
        <v>580</v>
      </c>
      <c r="M16" s="397"/>
      <c r="N16" s="398"/>
    </row>
    <row r="17" spans="1:14" ht="15" customHeight="1">
      <c r="A17" s="409"/>
      <c r="B17" s="410"/>
      <c r="C17" s="411"/>
      <c r="D17" s="168" t="s">
        <v>320</v>
      </c>
      <c r="E17" s="399" t="s">
        <v>321</v>
      </c>
      <c r="F17" s="399"/>
      <c r="G17" s="209" t="s">
        <v>322</v>
      </c>
      <c r="H17" s="209" t="s">
        <v>323</v>
      </c>
      <c r="I17" s="155">
        <f>700+100</f>
        <v>800</v>
      </c>
      <c r="J17" s="156">
        <f t="shared" si="0"/>
        <v>800</v>
      </c>
      <c r="K17" s="157" t="str">
        <f t="shared" si="1"/>
        <v>Sim</v>
      </c>
      <c r="L17" s="157">
        <f t="shared" si="2"/>
        <v>800</v>
      </c>
      <c r="M17" s="397"/>
      <c r="N17" s="398"/>
    </row>
    <row r="18" spans="1:14" ht="15" customHeight="1">
      <c r="A18" s="409"/>
      <c r="B18" s="410"/>
      <c r="C18" s="411"/>
      <c r="D18" s="168" t="s">
        <v>379</v>
      </c>
      <c r="E18" s="399" t="s">
        <v>396</v>
      </c>
      <c r="F18" s="399"/>
      <c r="G18" s="67" t="s">
        <v>399</v>
      </c>
      <c r="H18" s="209" t="s">
        <v>398</v>
      </c>
      <c r="I18" s="155">
        <v>899</v>
      </c>
      <c r="J18" s="156">
        <f t="shared" si="0"/>
        <v>899</v>
      </c>
      <c r="K18" s="157" t="str">
        <f t="shared" si="1"/>
        <v>Sim</v>
      </c>
      <c r="L18" s="157">
        <f t="shared" si="2"/>
        <v>899</v>
      </c>
      <c r="M18" s="397"/>
      <c r="N18" s="398"/>
    </row>
    <row r="19" spans="1:14" ht="15" customHeight="1">
      <c r="A19" s="409"/>
      <c r="B19" s="410"/>
      <c r="C19" s="411"/>
      <c r="D19" s="168" t="s">
        <v>379</v>
      </c>
      <c r="E19" s="399" t="s">
        <v>396</v>
      </c>
      <c r="F19" s="399"/>
      <c r="G19" s="67" t="s">
        <v>350</v>
      </c>
      <c r="H19" s="209" t="s">
        <v>400</v>
      </c>
      <c r="I19" s="155">
        <v>779.49</v>
      </c>
      <c r="J19" s="156">
        <f t="shared" si="0"/>
        <v>779.49</v>
      </c>
      <c r="K19" s="157" t="str">
        <f t="shared" si="1"/>
        <v>Sim</v>
      </c>
      <c r="L19" s="157">
        <f t="shared" si="2"/>
        <v>779.49</v>
      </c>
      <c r="M19" s="397"/>
      <c r="N19" s="398"/>
    </row>
    <row r="20" spans="1:14" ht="15" customHeight="1">
      <c r="A20" s="409"/>
      <c r="B20" s="410"/>
      <c r="C20" s="411"/>
      <c r="D20" s="168" t="s">
        <v>379</v>
      </c>
      <c r="E20" s="399" t="s">
        <v>396</v>
      </c>
      <c r="F20" s="399"/>
      <c r="G20" s="67" t="s">
        <v>401</v>
      </c>
      <c r="H20" s="209" t="s">
        <v>402</v>
      </c>
      <c r="I20" s="155">
        <v>830</v>
      </c>
      <c r="J20" s="156">
        <f t="shared" si="0"/>
        <v>830</v>
      </c>
      <c r="K20" s="157" t="str">
        <f t="shared" si="1"/>
        <v>Sim</v>
      </c>
      <c r="L20" s="157">
        <f t="shared" si="2"/>
        <v>830</v>
      </c>
      <c r="M20" s="397"/>
      <c r="N20" s="398"/>
    </row>
    <row r="21" spans="1:14" ht="15" customHeight="1">
      <c r="A21" s="141"/>
      <c r="B21" s="141"/>
      <c r="C21" s="142"/>
      <c r="D21" s="143"/>
      <c r="E21" s="143"/>
      <c r="F21" s="143"/>
      <c r="G21" s="144"/>
      <c r="H21" s="144"/>
      <c r="I21" s="145"/>
      <c r="J21" s="146"/>
      <c r="K21" s="147"/>
      <c r="L21" s="147"/>
      <c r="M21" s="174"/>
      <c r="N21" s="175"/>
    </row>
    <row r="39" spans="1:247" ht="15" customHeight="1"/>
    <row r="40" spans="1:247" ht="15" customHeight="1"/>
    <row r="41" spans="1:247" ht="15" customHeight="1"/>
    <row r="42" spans="1:247" ht="15" customHeight="1"/>
    <row r="47" spans="1:247" s="1" customFormat="1" ht="15" customHeight="1">
      <c r="A47" s="150"/>
      <c r="B47" s="150"/>
      <c r="C47"/>
      <c r="D47" s="151"/>
      <c r="E47" s="151"/>
      <c r="F47" s="151"/>
      <c r="H47"/>
      <c r="I47"/>
      <c r="J47"/>
      <c r="K47"/>
      <c r="L47"/>
      <c r="M47" s="181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</row>
    <row r="48" spans="1:247" ht="15" customHeight="1"/>
    <row r="49" ht="24" customHeight="1"/>
    <row r="52" ht="15" customHeight="1"/>
    <row r="55" ht="15" customHeight="1"/>
    <row r="56" ht="15" customHeight="1"/>
    <row r="57" ht="24" customHeight="1"/>
    <row r="60" ht="15" customHeight="1"/>
    <row r="61" ht="15" customHeight="1"/>
    <row r="64" ht="15" customHeight="1"/>
    <row r="65" ht="15" customHeight="1"/>
    <row r="66" ht="24" customHeight="1"/>
    <row r="73" ht="15" customHeight="1"/>
    <row r="74" ht="15" customHeight="1"/>
    <row r="75" ht="24" customHeight="1"/>
    <row r="77" ht="15" customHeight="1"/>
    <row r="83" spans="1:247" ht="15" customHeight="1"/>
    <row r="84" spans="1:247" ht="15" customHeight="1"/>
    <row r="85" spans="1:247" ht="24" customHeight="1"/>
    <row r="90" spans="1:247" s="2" customFormat="1">
      <c r="A90" s="150"/>
      <c r="B90" s="150"/>
      <c r="C90"/>
      <c r="D90" s="151"/>
      <c r="E90" s="151"/>
      <c r="F90" s="151"/>
      <c r="G90" s="1"/>
      <c r="H90"/>
      <c r="I90"/>
      <c r="J90"/>
      <c r="K90"/>
      <c r="L90"/>
      <c r="M90" s="181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</row>
    <row r="91" spans="1:247" ht="15" customHeight="1"/>
    <row r="94" spans="1:247" ht="15" customHeight="1"/>
    <row r="95" spans="1:247" ht="15" customHeight="1"/>
    <row r="96" spans="1:247" ht="24" customHeight="1"/>
    <row r="101" spans="1:247" ht="15" customHeight="1"/>
    <row r="103" spans="1:247" ht="15" customHeight="1"/>
    <row r="104" spans="1:247" ht="15" customHeight="1"/>
    <row r="105" spans="1:247" ht="15" customHeight="1"/>
    <row r="106" spans="1:247" ht="24" customHeight="1"/>
    <row r="107" spans="1:247" s="1" customFormat="1">
      <c r="A107" s="150"/>
      <c r="B107" s="150"/>
      <c r="C107"/>
      <c r="D107" s="151"/>
      <c r="E107" s="151"/>
      <c r="F107" s="151"/>
      <c r="H107"/>
      <c r="I107"/>
      <c r="J107"/>
      <c r="K107"/>
      <c r="L107"/>
      <c r="M107" s="181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</row>
    <row r="108" spans="1:247" s="1" customFormat="1">
      <c r="A108" s="150"/>
      <c r="B108" s="150"/>
      <c r="C108"/>
      <c r="D108" s="151"/>
      <c r="E108" s="151"/>
      <c r="F108" s="151"/>
      <c r="H108"/>
      <c r="I108"/>
      <c r="J108"/>
      <c r="K108"/>
      <c r="L108"/>
      <c r="M108" s="181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</row>
    <row r="109" spans="1:247" s="1" customFormat="1" ht="15" customHeight="1">
      <c r="A109" s="150"/>
      <c r="B109" s="150"/>
      <c r="C109"/>
      <c r="D109" s="151"/>
      <c r="E109" s="151"/>
      <c r="F109" s="151"/>
      <c r="H109"/>
      <c r="I109"/>
      <c r="J109"/>
      <c r="K109"/>
      <c r="L109"/>
      <c r="M109" s="181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</row>
    <row r="110" spans="1:247" s="1" customFormat="1">
      <c r="A110" s="150"/>
      <c r="B110" s="150"/>
      <c r="C110"/>
      <c r="D110" s="151"/>
      <c r="E110" s="151"/>
      <c r="F110" s="151"/>
      <c r="H110"/>
      <c r="I110"/>
      <c r="J110"/>
      <c r="K110"/>
      <c r="L110"/>
      <c r="M110" s="181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</row>
    <row r="111" spans="1:247" s="1" customFormat="1">
      <c r="A111" s="150"/>
      <c r="B111" s="150"/>
      <c r="C111"/>
      <c r="D111" s="151"/>
      <c r="E111" s="151"/>
      <c r="F111" s="151"/>
      <c r="H111"/>
      <c r="I111"/>
      <c r="J111"/>
      <c r="K111"/>
      <c r="L111"/>
      <c r="M111" s="18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</row>
    <row r="112" spans="1:247" s="1" customFormat="1">
      <c r="A112" s="150"/>
      <c r="B112" s="150"/>
      <c r="C112"/>
      <c r="D112" s="151"/>
      <c r="E112" s="151"/>
      <c r="F112" s="151"/>
      <c r="H112"/>
      <c r="I112"/>
      <c r="J112"/>
      <c r="K112"/>
      <c r="L112"/>
      <c r="M112" s="181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</row>
    <row r="115" ht="15" customHeight="1"/>
    <row r="116" ht="15" customHeight="1"/>
    <row r="117" ht="24" customHeight="1"/>
    <row r="118" ht="15" customHeight="1"/>
    <row r="119" ht="15" customHeight="1"/>
    <row r="120" ht="15" customHeight="1"/>
    <row r="126" ht="15" customHeight="1"/>
    <row r="127" ht="15" customHeight="1"/>
    <row r="128" ht="24" customHeight="1"/>
    <row r="129" spans="1:247" ht="15" customHeight="1"/>
    <row r="130" spans="1:247" ht="15" customHeight="1"/>
    <row r="135" spans="1:247" ht="15" customHeight="1"/>
    <row r="136" spans="1:247" ht="15" customHeight="1"/>
    <row r="137" spans="1:247" ht="24" customHeight="1"/>
    <row r="138" spans="1:247" ht="15" customHeight="1"/>
    <row r="139" spans="1:247" ht="15" customHeight="1"/>
    <row r="140" spans="1:247" ht="15" customHeight="1"/>
    <row r="141" spans="1:247" s="2" customFormat="1" ht="15" customHeight="1">
      <c r="A141" s="150"/>
      <c r="B141" s="150"/>
      <c r="C141"/>
      <c r="D141" s="151"/>
      <c r="E141" s="151"/>
      <c r="F141" s="151"/>
      <c r="G141" s="1"/>
      <c r="H141"/>
      <c r="I141"/>
      <c r="J141"/>
      <c r="K141"/>
      <c r="L141"/>
      <c r="M141" s="18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</row>
    <row r="144" spans="1:247" ht="15" customHeight="1"/>
    <row r="145" ht="18" customHeight="1"/>
    <row r="146" ht="24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5" ht="15" customHeight="1"/>
    <row r="156" ht="15" customHeight="1"/>
    <row r="157" ht="15" customHeight="1"/>
    <row r="158" ht="24" customHeight="1"/>
    <row r="159" ht="15" customHeight="1"/>
    <row r="160" ht="15" customHeight="1"/>
    <row r="161" ht="15" customHeight="1"/>
    <row r="162" ht="15" customHeight="1"/>
    <row r="163" ht="15" customHeight="1"/>
    <row r="166" ht="15" customHeight="1"/>
    <row r="167" ht="15" customHeight="1"/>
    <row r="168" ht="24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8" ht="15" customHeight="1"/>
    <row r="179" ht="15" customHeight="1"/>
    <row r="180" ht="24" customHeight="1"/>
    <row r="181" ht="15" customHeight="1"/>
    <row r="182" ht="15" customHeight="1"/>
    <row r="186" ht="4.5" customHeight="1"/>
  </sheetData>
  <mergeCells count="40">
    <mergeCell ref="E13:F13"/>
    <mergeCell ref="E5:F5"/>
    <mergeCell ref="E6:F6"/>
    <mergeCell ref="E7:F7"/>
    <mergeCell ref="F11:H11"/>
    <mergeCell ref="E1:H1"/>
    <mergeCell ref="I1:N1"/>
    <mergeCell ref="A2:E2"/>
    <mergeCell ref="F2:H2"/>
    <mergeCell ref="I2:L2"/>
    <mergeCell ref="M2:N3"/>
    <mergeCell ref="M5:M9"/>
    <mergeCell ref="A12:E12"/>
    <mergeCell ref="F12:H12"/>
    <mergeCell ref="I11:L11"/>
    <mergeCell ref="A3:E3"/>
    <mergeCell ref="F3:H3"/>
    <mergeCell ref="I3:L3"/>
    <mergeCell ref="I12:L12"/>
    <mergeCell ref="A11:E11"/>
    <mergeCell ref="E4:F4"/>
    <mergeCell ref="A5:A9"/>
    <mergeCell ref="B5:B9"/>
    <mergeCell ref="C5:C9"/>
    <mergeCell ref="A14:A20"/>
    <mergeCell ref="B14:B20"/>
    <mergeCell ref="N5:N9"/>
    <mergeCell ref="E8:F8"/>
    <mergeCell ref="C14:C20"/>
    <mergeCell ref="E14:F14"/>
    <mergeCell ref="M14:M20"/>
    <mergeCell ref="N14:N20"/>
    <mergeCell ref="E17:F17"/>
    <mergeCell ref="E15:F15"/>
    <mergeCell ref="E16:F16"/>
    <mergeCell ref="E18:F18"/>
    <mergeCell ref="E19:F19"/>
    <mergeCell ref="E20:F20"/>
    <mergeCell ref="E9:F9"/>
    <mergeCell ref="M11:N12"/>
  </mergeCells>
  <hyperlinks>
    <hyperlink ref="G18" r:id="rId1" xr:uid="{00000000-0004-0000-0500-000000000000}"/>
    <hyperlink ref="G19" r:id="rId2" xr:uid="{00000000-0004-0000-0500-000001000000}"/>
    <hyperlink ref="G20" r:id="rId3" xr:uid="{00000000-0004-0000-0500-000002000000}"/>
    <hyperlink ref="G8" r:id="rId4" xr:uid="{00000000-0004-0000-0500-000003000000}"/>
    <hyperlink ref="G9" r:id="rId5" xr:uid="{00000000-0004-0000-0500-000004000000}"/>
  </hyperlinks>
  <pageMargins left="0.51181102362204722" right="0.51181102362204722" top="0.78740157480314965" bottom="0.78740157480314965" header="0.31496062992125984" footer="0.31496062992125984"/>
  <pageSetup paperSize="9" scale="78" orientation="landscape" r:id="rId6"/>
  <drawing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N94"/>
  <sheetViews>
    <sheetView showGridLines="0" topLeftCell="A64" workbookViewId="0">
      <selection activeCell="S41" sqref="S41"/>
    </sheetView>
  </sheetViews>
  <sheetFormatPr defaultRowHeight="14.5"/>
  <cols>
    <col min="1" max="1" width="3.54296875" style="150" customWidth="1"/>
    <col min="2" max="2" width="4.26953125" style="150" customWidth="1"/>
    <col min="3" max="3" width="5.453125" customWidth="1"/>
    <col min="4" max="4" width="9" style="151" customWidth="1"/>
    <col min="5" max="5" width="9" style="151" bestFit="1" customWidth="1"/>
    <col min="6" max="6" width="4.54296875" style="151" customWidth="1"/>
    <col min="7" max="7" width="43.1796875" style="1" bestFit="1" customWidth="1"/>
    <col min="8" max="8" width="57.26953125" bestFit="1" customWidth="1"/>
    <col min="9" max="9" width="8.26953125" customWidth="1"/>
    <col min="10" max="10" width="7" hidden="1" customWidth="1"/>
    <col min="11" max="11" width="6.453125" customWidth="1"/>
    <col min="12" max="12" width="7" hidden="1" customWidth="1"/>
    <col min="13" max="13" width="7" style="181" customWidth="1"/>
    <col min="14" max="16" width="9.1796875" customWidth="1"/>
    <col min="17" max="17" width="34.54296875" bestFit="1" customWidth="1"/>
    <col min="18" max="248" width="9.1796875" customWidth="1"/>
  </cols>
  <sheetData>
    <row r="1" spans="1:248" ht="42.75" customHeight="1">
      <c r="A1" s="206"/>
      <c r="B1" s="207"/>
      <c r="C1" s="207"/>
      <c r="D1" s="208"/>
      <c r="E1" s="440" t="s">
        <v>353</v>
      </c>
      <c r="F1" s="439"/>
      <c r="G1" s="439"/>
      <c r="H1" s="439"/>
      <c r="I1" s="434" t="s">
        <v>19</v>
      </c>
      <c r="J1" s="435"/>
      <c r="K1" s="435"/>
      <c r="L1" s="435"/>
      <c r="M1" s="435"/>
      <c r="N1" s="435"/>
    </row>
    <row r="3" spans="1:248">
      <c r="A3" s="394" t="s">
        <v>7</v>
      </c>
      <c r="B3" s="395"/>
      <c r="C3" s="395"/>
      <c r="D3" s="395"/>
      <c r="E3" s="396"/>
      <c r="F3" s="394" t="s">
        <v>8</v>
      </c>
      <c r="G3" s="395"/>
      <c r="H3" s="395"/>
      <c r="I3" s="394" t="s">
        <v>11</v>
      </c>
      <c r="J3" s="395"/>
      <c r="K3" s="395"/>
      <c r="L3" s="396"/>
      <c r="M3" s="390" t="s">
        <v>2</v>
      </c>
      <c r="N3" s="391"/>
    </row>
    <row r="4" spans="1:248">
      <c r="A4" s="406"/>
      <c r="B4" s="407"/>
      <c r="C4" s="407"/>
      <c r="D4" s="407"/>
      <c r="E4" s="408"/>
      <c r="F4" s="403" t="s">
        <v>354</v>
      </c>
      <c r="G4" s="404"/>
      <c r="H4" s="404"/>
      <c r="I4" s="403" t="s">
        <v>16</v>
      </c>
      <c r="J4" s="404"/>
      <c r="K4" s="404"/>
      <c r="L4" s="405"/>
      <c r="M4" s="392"/>
      <c r="N4" s="39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</row>
    <row r="5" spans="1:248" ht="21">
      <c r="A5" s="176" t="s">
        <v>10</v>
      </c>
      <c r="B5" s="176" t="s">
        <v>15</v>
      </c>
      <c r="C5" s="176" t="s">
        <v>6</v>
      </c>
      <c r="D5" s="132" t="s">
        <v>4</v>
      </c>
      <c r="E5" s="388" t="s">
        <v>9</v>
      </c>
      <c r="F5" s="389"/>
      <c r="G5" s="133" t="s">
        <v>5</v>
      </c>
      <c r="H5" s="133" t="s">
        <v>1</v>
      </c>
      <c r="I5" s="177" t="s">
        <v>12</v>
      </c>
      <c r="J5" s="178" t="s">
        <v>13</v>
      </c>
      <c r="K5" s="154"/>
      <c r="L5" s="173" t="s">
        <v>14</v>
      </c>
      <c r="M5" s="172" t="s">
        <v>0</v>
      </c>
      <c r="N5" s="173" t="s">
        <v>3</v>
      </c>
    </row>
    <row r="6" spans="1:248">
      <c r="A6" s="409"/>
      <c r="B6" s="410"/>
      <c r="C6" s="411">
        <v>1</v>
      </c>
      <c r="D6" s="184" t="s">
        <v>364</v>
      </c>
      <c r="E6" s="424" t="s">
        <v>366</v>
      </c>
      <c r="F6" s="425"/>
      <c r="G6" s="209" t="s">
        <v>363</v>
      </c>
      <c r="H6" s="209" t="s">
        <v>365</v>
      </c>
      <c r="I6" s="183">
        <v>18</v>
      </c>
      <c r="J6" s="156">
        <f>IF(AND((STDEV(I$6:I$9)/AVERAGE(I$6:I$9))&lt;=0.25,ISNUMBER(I6)),I6,IF(AND(I6&lt;=(AVERAGE(I$6:I$9)+STDEV(I$6:I$9)),I6&gt;=(AVERAGE(I$6:I$9)-STDEV(I$6:I$9)),ISNUMBER(I6)),I6,""))</f>
        <v>18</v>
      </c>
      <c r="K6" s="157" t="str">
        <f t="shared" ref="K6:K16" si="0">IF(AND(COUNT(I$6:I$9)=1,ISNUMBER(I6)),"Sim",IF(AND((STDEV(J$6:J$9)/AVERAGE(J$6:J$9))&lt;0.25,ISNUMBER(J6)),"Sim",IF(AND(J6&lt;=(AVERAGE(J$6:J$9)+STDEV(J$6:J$9)),J6&gt;=(AVERAGE(J$6:J$9)-STDEV(J$6:J$9)),ISNUMBER(J6)),"Sim","Não")))</f>
        <v>Sim</v>
      </c>
      <c r="L6" s="157">
        <f>IF(K6="Sim",J6,"")</f>
        <v>18</v>
      </c>
      <c r="M6" s="397">
        <f>ROUND(IF(COUNT(I6:I16)=1,I6,IF((COUNT(L6:L16)&lt;3),MIN(L6:L16),AVERAGE(L6:L16))),2)</f>
        <v>29.31</v>
      </c>
      <c r="N6" s="398">
        <f>C6*M6</f>
        <v>29.31</v>
      </c>
    </row>
    <row r="7" spans="1:248">
      <c r="A7" s="409"/>
      <c r="B7" s="410"/>
      <c r="C7" s="411"/>
      <c r="D7" s="184" t="s">
        <v>309</v>
      </c>
      <c r="E7" s="424" t="s">
        <v>373</v>
      </c>
      <c r="F7" s="425"/>
      <c r="G7" s="209" t="s">
        <v>371</v>
      </c>
      <c r="H7" s="209" t="s">
        <v>372</v>
      </c>
      <c r="I7" s="155">
        <v>21.2</v>
      </c>
      <c r="J7" s="156">
        <f t="shared" ref="J7:J16" si="1">IF(AND((STDEV(I$6:I$9)/AVERAGE(I$6:I$9))&lt;=0.25,ISNUMBER(I7)),I7,IF(AND(I7&lt;=(AVERAGE(I$6:I$9)+STDEV(I$6:I$9)),I7&gt;=(AVERAGE(I$6:I$9)-STDEV(I$6:I$9)),ISNUMBER(I7)),I7,""))</f>
        <v>21.2</v>
      </c>
      <c r="K7" s="157" t="str">
        <f t="shared" si="0"/>
        <v>Sim</v>
      </c>
      <c r="L7" s="157">
        <f t="shared" ref="L7:L16" si="2">IF(K7="Sim",J7,"")</f>
        <v>21.2</v>
      </c>
      <c r="M7" s="397"/>
      <c r="N7" s="398"/>
    </row>
    <row r="8" spans="1:248">
      <c r="A8" s="409"/>
      <c r="B8" s="410"/>
      <c r="C8" s="411"/>
      <c r="D8" s="168" t="s">
        <v>320</v>
      </c>
      <c r="E8" s="424" t="s">
        <v>321</v>
      </c>
      <c r="F8" s="425"/>
      <c r="G8" s="209" t="s">
        <v>322</v>
      </c>
      <c r="H8" s="209" t="s">
        <v>323</v>
      </c>
      <c r="I8" s="155">
        <v>25</v>
      </c>
      <c r="J8" s="156">
        <f t="shared" si="1"/>
        <v>25</v>
      </c>
      <c r="K8" s="157" t="str">
        <f t="shared" si="0"/>
        <v>Sim</v>
      </c>
      <c r="L8" s="157">
        <f t="shared" si="2"/>
        <v>25</v>
      </c>
      <c r="M8" s="397"/>
      <c r="N8" s="398"/>
    </row>
    <row r="9" spans="1:248">
      <c r="A9" s="409"/>
      <c r="B9" s="410"/>
      <c r="C9" s="411"/>
      <c r="D9" s="168" t="s">
        <v>379</v>
      </c>
      <c r="E9" s="424" t="s">
        <v>380</v>
      </c>
      <c r="F9" s="425"/>
      <c r="G9" s="209" t="s">
        <v>377</v>
      </c>
      <c r="H9" s="209" t="s">
        <v>378</v>
      </c>
      <c r="I9" s="155">
        <v>60</v>
      </c>
      <c r="J9" s="156" t="str">
        <f t="shared" si="1"/>
        <v/>
      </c>
      <c r="K9" s="157" t="str">
        <f t="shared" si="0"/>
        <v>Não</v>
      </c>
      <c r="L9" s="157" t="str">
        <f t="shared" si="2"/>
        <v/>
      </c>
      <c r="M9" s="397"/>
      <c r="N9" s="398"/>
    </row>
    <row r="10" spans="1:248">
      <c r="A10" s="409"/>
      <c r="B10" s="410"/>
      <c r="C10" s="411"/>
      <c r="D10" s="168" t="s">
        <v>379</v>
      </c>
      <c r="E10" s="424" t="s">
        <v>380</v>
      </c>
      <c r="F10" s="425"/>
      <c r="G10" s="209" t="s">
        <v>381</v>
      </c>
      <c r="H10" s="209" t="s">
        <v>382</v>
      </c>
      <c r="I10" s="155">
        <v>25</v>
      </c>
      <c r="J10" s="156">
        <f t="shared" si="1"/>
        <v>25</v>
      </c>
      <c r="K10" s="157" t="str">
        <f t="shared" si="0"/>
        <v>Sim</v>
      </c>
      <c r="L10" s="157">
        <f t="shared" si="2"/>
        <v>25</v>
      </c>
      <c r="M10" s="397"/>
      <c r="N10" s="398"/>
    </row>
    <row r="11" spans="1:248">
      <c r="A11" s="409"/>
      <c r="B11" s="410"/>
      <c r="C11" s="411"/>
      <c r="D11" s="168" t="s">
        <v>379</v>
      </c>
      <c r="E11" s="424" t="s">
        <v>380</v>
      </c>
      <c r="F11" s="425"/>
      <c r="G11" s="209" t="s">
        <v>337</v>
      </c>
      <c r="H11" s="209" t="s">
        <v>383</v>
      </c>
      <c r="I11" s="155">
        <v>23</v>
      </c>
      <c r="J11" s="156">
        <f t="shared" si="1"/>
        <v>23</v>
      </c>
      <c r="K11" s="157" t="str">
        <f t="shared" si="0"/>
        <v>Sim</v>
      </c>
      <c r="L11" s="157">
        <f t="shared" si="2"/>
        <v>23</v>
      </c>
      <c r="M11" s="397"/>
      <c r="N11" s="398"/>
    </row>
    <row r="12" spans="1:248">
      <c r="A12" s="409"/>
      <c r="B12" s="410"/>
      <c r="C12" s="411"/>
      <c r="D12" s="168" t="s">
        <v>379</v>
      </c>
      <c r="E12" s="424" t="s">
        <v>380</v>
      </c>
      <c r="F12" s="425"/>
      <c r="G12" s="209" t="s">
        <v>384</v>
      </c>
      <c r="H12" s="209" t="s">
        <v>385</v>
      </c>
      <c r="I12" s="155">
        <v>49</v>
      </c>
      <c r="J12" s="156">
        <f t="shared" si="1"/>
        <v>49</v>
      </c>
      <c r="K12" s="157" t="str">
        <f t="shared" si="0"/>
        <v>Sim</v>
      </c>
      <c r="L12" s="157">
        <f t="shared" si="2"/>
        <v>49</v>
      </c>
      <c r="M12" s="397"/>
      <c r="N12" s="398"/>
    </row>
    <row r="13" spans="1:248">
      <c r="A13" s="409"/>
      <c r="B13" s="410"/>
      <c r="C13" s="411"/>
      <c r="D13" s="168" t="s">
        <v>379</v>
      </c>
      <c r="E13" s="424" t="s">
        <v>380</v>
      </c>
      <c r="F13" s="425"/>
      <c r="G13" s="209" t="s">
        <v>391</v>
      </c>
      <c r="H13" s="209" t="s">
        <v>392</v>
      </c>
      <c r="I13" s="155">
        <v>20.99</v>
      </c>
      <c r="J13" s="156">
        <f t="shared" si="1"/>
        <v>20.99</v>
      </c>
      <c r="K13" s="157" t="str">
        <f t="shared" si="0"/>
        <v>Sim</v>
      </c>
      <c r="L13" s="157">
        <f t="shared" si="2"/>
        <v>20.99</v>
      </c>
      <c r="M13" s="397"/>
      <c r="N13" s="398"/>
    </row>
    <row r="14" spans="1:248">
      <c r="A14" s="409"/>
      <c r="B14" s="410"/>
      <c r="C14" s="411"/>
      <c r="D14" s="168" t="s">
        <v>379</v>
      </c>
      <c r="E14" s="424" t="s">
        <v>380</v>
      </c>
      <c r="F14" s="425"/>
      <c r="G14" s="209" t="s">
        <v>393</v>
      </c>
      <c r="H14" s="209" t="s">
        <v>394</v>
      </c>
      <c r="I14" s="155">
        <v>38</v>
      </c>
      <c r="J14" s="156">
        <f t="shared" si="1"/>
        <v>38</v>
      </c>
      <c r="K14" s="157" t="str">
        <f t="shared" si="0"/>
        <v>Sim</v>
      </c>
      <c r="L14" s="157">
        <f t="shared" si="2"/>
        <v>38</v>
      </c>
      <c r="M14" s="397"/>
      <c r="N14" s="398"/>
    </row>
    <row r="15" spans="1:248">
      <c r="A15" s="409"/>
      <c r="B15" s="410"/>
      <c r="C15" s="411"/>
      <c r="D15" s="168" t="s">
        <v>379</v>
      </c>
      <c r="E15" s="424" t="s">
        <v>380</v>
      </c>
      <c r="F15" s="425"/>
      <c r="G15" s="209" t="s">
        <v>335</v>
      </c>
      <c r="H15" s="209" t="s">
        <v>395</v>
      </c>
      <c r="I15" s="155">
        <v>37</v>
      </c>
      <c r="J15" s="156">
        <f t="shared" si="1"/>
        <v>37</v>
      </c>
      <c r="K15" s="157" t="str">
        <f t="shared" si="0"/>
        <v>Sim</v>
      </c>
      <c r="L15" s="157">
        <f t="shared" si="2"/>
        <v>37</v>
      </c>
      <c r="M15" s="397"/>
      <c r="N15" s="398"/>
    </row>
    <row r="16" spans="1:248">
      <c r="A16" s="409"/>
      <c r="B16" s="410"/>
      <c r="C16" s="411"/>
      <c r="D16" s="168" t="s">
        <v>379</v>
      </c>
      <c r="E16" s="424" t="s">
        <v>396</v>
      </c>
      <c r="F16" s="425"/>
      <c r="G16" s="67" t="s">
        <v>332</v>
      </c>
      <c r="H16" s="209" t="s">
        <v>397</v>
      </c>
      <c r="I16" s="155">
        <v>35.9</v>
      </c>
      <c r="J16" s="156">
        <f t="shared" si="1"/>
        <v>35.9</v>
      </c>
      <c r="K16" s="157" t="str">
        <f t="shared" si="0"/>
        <v>Sim</v>
      </c>
      <c r="L16" s="157">
        <f t="shared" si="2"/>
        <v>35.9</v>
      </c>
      <c r="M16" s="397"/>
      <c r="N16" s="398"/>
    </row>
    <row r="18" spans="1:14" ht="15" customHeight="1">
      <c r="A18" s="394" t="s">
        <v>7</v>
      </c>
      <c r="B18" s="395"/>
      <c r="C18" s="395"/>
      <c r="D18" s="395"/>
      <c r="E18" s="396"/>
      <c r="F18" s="394" t="s">
        <v>8</v>
      </c>
      <c r="G18" s="395"/>
      <c r="H18" s="395"/>
      <c r="I18" s="394" t="s">
        <v>11</v>
      </c>
      <c r="J18" s="395"/>
      <c r="K18" s="395"/>
      <c r="L18" s="396"/>
      <c r="M18" s="390" t="s">
        <v>2</v>
      </c>
      <c r="N18" s="391"/>
    </row>
    <row r="19" spans="1:14" ht="15" customHeight="1">
      <c r="A19" s="406"/>
      <c r="B19" s="407"/>
      <c r="C19" s="407"/>
      <c r="D19" s="407"/>
      <c r="E19" s="408"/>
      <c r="F19" s="403" t="s">
        <v>355</v>
      </c>
      <c r="G19" s="404"/>
      <c r="H19" s="404"/>
      <c r="I19" s="403" t="s">
        <v>16</v>
      </c>
      <c r="J19" s="404"/>
      <c r="K19" s="404"/>
      <c r="L19" s="405"/>
      <c r="M19" s="392"/>
      <c r="N19" s="393"/>
    </row>
    <row r="20" spans="1:14" ht="21">
      <c r="A20" s="176" t="s">
        <v>10</v>
      </c>
      <c r="B20" s="176" t="s">
        <v>15</v>
      </c>
      <c r="C20" s="176" t="s">
        <v>6</v>
      </c>
      <c r="D20" s="132" t="s">
        <v>4</v>
      </c>
      <c r="E20" s="388" t="s">
        <v>9</v>
      </c>
      <c r="F20" s="389"/>
      <c r="G20" s="133" t="s">
        <v>5</v>
      </c>
      <c r="H20" s="133" t="s">
        <v>1</v>
      </c>
      <c r="I20" s="177" t="s">
        <v>12</v>
      </c>
      <c r="J20" s="178" t="s">
        <v>13</v>
      </c>
      <c r="K20" s="154"/>
      <c r="L20" s="173" t="s">
        <v>14</v>
      </c>
      <c r="M20" s="172" t="s">
        <v>0</v>
      </c>
      <c r="N20" s="173" t="s">
        <v>3</v>
      </c>
    </row>
    <row r="21" spans="1:14">
      <c r="A21" s="409"/>
      <c r="B21" s="410"/>
      <c r="C21" s="411">
        <v>1</v>
      </c>
      <c r="D21" s="184" t="s">
        <v>309</v>
      </c>
      <c r="E21" s="424" t="s">
        <v>373</v>
      </c>
      <c r="F21" s="425"/>
      <c r="G21" s="209" t="s">
        <v>371</v>
      </c>
      <c r="H21" s="209" t="s">
        <v>372</v>
      </c>
      <c r="I21" s="155">
        <v>17</v>
      </c>
      <c r="J21" s="156">
        <f t="shared" ref="J21:J28" si="3">IF(AND((STDEV(I$21:I$28)/AVERAGE(I$21:I$28))&lt;=0.25,ISNUMBER(I21)),I21,IF(AND(I21&lt;=(AVERAGE(I$21:I$28)+STDEV(I$21:I$28)),I21&gt;=(AVERAGE(I$21:I$28)-STDEV(I$21:I$28)),ISNUMBER(I21)),I21,""))</f>
        <v>17</v>
      </c>
      <c r="K21" s="157" t="str">
        <f t="shared" ref="K21:K28" si="4">IF(AND(COUNT(I$21:I$28)=1,ISNUMBER(I21)),"Sim",IF(AND((STDEV(J$21:J$28)/AVERAGE(J$21:J$28))&lt;0.25,ISNUMBER(J21)),"Sim",IF(AND(J21&lt;=(AVERAGE(J$21:J$28)+STDEV(J$21:J$28)),J21&gt;=(AVERAGE(J$21:J$28)-STDEV(J$21:J$28)),ISNUMBER(J21)),"Sim","Não")))</f>
        <v>Sim</v>
      </c>
      <c r="L21" s="157">
        <f>IF(K21="Sim",J21,"")</f>
        <v>17</v>
      </c>
      <c r="M21" s="397">
        <f>ROUND(IF(COUNT(I21:I28)=1,I21,IF((COUNT(L21:L28)&lt;3),MIN(L21:L28),AVERAGE(L21:L28))),2)</f>
        <v>13.38</v>
      </c>
      <c r="N21" s="398">
        <f>C21*M21</f>
        <v>13.38</v>
      </c>
    </row>
    <row r="22" spans="1:14">
      <c r="A22" s="409"/>
      <c r="B22" s="410"/>
      <c r="C22" s="411"/>
      <c r="D22" s="168" t="s">
        <v>320</v>
      </c>
      <c r="E22" s="424" t="s">
        <v>321</v>
      </c>
      <c r="F22" s="425"/>
      <c r="G22" s="209" t="s">
        <v>322</v>
      </c>
      <c r="H22" s="209" t="s">
        <v>323</v>
      </c>
      <c r="I22" s="155">
        <v>6</v>
      </c>
      <c r="J22" s="156" t="str">
        <f t="shared" si="3"/>
        <v/>
      </c>
      <c r="K22" s="157" t="str">
        <f t="shared" si="4"/>
        <v>Não</v>
      </c>
      <c r="L22" s="157" t="str">
        <f t="shared" ref="L22:L28" si="5">IF(K22="Sim",J22,"")</f>
        <v/>
      </c>
      <c r="M22" s="397"/>
      <c r="N22" s="398"/>
    </row>
    <row r="23" spans="1:14">
      <c r="A23" s="409"/>
      <c r="B23" s="410"/>
      <c r="C23" s="411"/>
      <c r="D23" s="168" t="s">
        <v>379</v>
      </c>
      <c r="E23" s="424" t="s">
        <v>380</v>
      </c>
      <c r="F23" s="425"/>
      <c r="G23" s="209" t="s">
        <v>381</v>
      </c>
      <c r="H23" s="209" t="s">
        <v>382</v>
      </c>
      <c r="I23" s="155">
        <v>4.5</v>
      </c>
      <c r="J23" s="156" t="str">
        <f t="shared" si="3"/>
        <v/>
      </c>
      <c r="K23" s="157" t="str">
        <f t="shared" si="4"/>
        <v>Não</v>
      </c>
      <c r="L23" s="157" t="str">
        <f t="shared" si="5"/>
        <v/>
      </c>
      <c r="M23" s="397"/>
      <c r="N23" s="398"/>
    </row>
    <row r="24" spans="1:14">
      <c r="A24" s="409"/>
      <c r="B24" s="410"/>
      <c r="C24" s="411"/>
      <c r="D24" s="168" t="s">
        <v>379</v>
      </c>
      <c r="E24" s="424" t="s">
        <v>380</v>
      </c>
      <c r="F24" s="425"/>
      <c r="G24" s="209" t="s">
        <v>337</v>
      </c>
      <c r="H24" s="209" t="s">
        <v>383</v>
      </c>
      <c r="I24" s="155">
        <v>17</v>
      </c>
      <c r="J24" s="156">
        <f t="shared" si="3"/>
        <v>17</v>
      </c>
      <c r="K24" s="157" t="str">
        <f t="shared" si="4"/>
        <v>Sim</v>
      </c>
      <c r="L24" s="157">
        <f t="shared" si="5"/>
        <v>17</v>
      </c>
      <c r="M24" s="397"/>
      <c r="N24" s="398"/>
    </row>
    <row r="25" spans="1:14">
      <c r="A25" s="409"/>
      <c r="B25" s="410"/>
      <c r="C25" s="411"/>
      <c r="D25" s="168" t="s">
        <v>379</v>
      </c>
      <c r="E25" s="424" t="s">
        <v>380</v>
      </c>
      <c r="F25" s="425"/>
      <c r="G25" s="209" t="s">
        <v>384</v>
      </c>
      <c r="H25" s="209" t="s">
        <v>385</v>
      </c>
      <c r="I25" s="155">
        <v>20</v>
      </c>
      <c r="J25" s="156" t="str">
        <f t="shared" si="3"/>
        <v/>
      </c>
      <c r="K25" s="157" t="str">
        <f t="shared" si="4"/>
        <v>Não</v>
      </c>
      <c r="L25" s="157" t="str">
        <f t="shared" si="5"/>
        <v/>
      </c>
      <c r="M25" s="397"/>
      <c r="N25" s="398"/>
    </row>
    <row r="26" spans="1:14">
      <c r="A26" s="409"/>
      <c r="B26" s="410"/>
      <c r="C26" s="411"/>
      <c r="D26" s="168" t="s">
        <v>379</v>
      </c>
      <c r="E26" s="424" t="s">
        <v>380</v>
      </c>
      <c r="F26" s="425"/>
      <c r="G26" s="209" t="s">
        <v>391</v>
      </c>
      <c r="H26" s="209" t="s">
        <v>392</v>
      </c>
      <c r="I26" s="155">
        <v>10</v>
      </c>
      <c r="J26" s="156">
        <f t="shared" si="3"/>
        <v>10</v>
      </c>
      <c r="K26" s="157" t="str">
        <f t="shared" si="4"/>
        <v>Sim</v>
      </c>
      <c r="L26" s="157">
        <f t="shared" si="5"/>
        <v>10</v>
      </c>
      <c r="M26" s="397"/>
      <c r="N26" s="398"/>
    </row>
    <row r="27" spans="1:14">
      <c r="A27" s="409"/>
      <c r="B27" s="410"/>
      <c r="C27" s="411"/>
      <c r="D27" s="168" t="s">
        <v>379</v>
      </c>
      <c r="E27" s="424" t="s">
        <v>380</v>
      </c>
      <c r="F27" s="425"/>
      <c r="G27" s="209" t="s">
        <v>393</v>
      </c>
      <c r="H27" s="209" t="s">
        <v>394</v>
      </c>
      <c r="I27" s="155">
        <v>9.5</v>
      </c>
      <c r="J27" s="156">
        <f t="shared" si="3"/>
        <v>9.5</v>
      </c>
      <c r="K27" s="157" t="str">
        <f t="shared" si="4"/>
        <v>Sim</v>
      </c>
      <c r="L27" s="157">
        <f t="shared" si="5"/>
        <v>9.5</v>
      </c>
      <c r="M27" s="397"/>
      <c r="N27" s="398"/>
    </row>
    <row r="28" spans="1:14">
      <c r="A28" s="409"/>
      <c r="B28" s="410"/>
      <c r="C28" s="411"/>
      <c r="D28" s="168" t="s">
        <v>379</v>
      </c>
      <c r="E28" s="399" t="s">
        <v>396</v>
      </c>
      <c r="F28" s="399"/>
      <c r="G28" s="67" t="s">
        <v>332</v>
      </c>
      <c r="H28" s="209" t="s">
        <v>397</v>
      </c>
      <c r="I28" s="155">
        <v>19.899999999999999</v>
      </c>
      <c r="J28" s="156" t="str">
        <f t="shared" si="3"/>
        <v/>
      </c>
      <c r="K28" s="157" t="str">
        <f t="shared" si="4"/>
        <v>Não</v>
      </c>
      <c r="L28" s="157" t="str">
        <f t="shared" si="5"/>
        <v/>
      </c>
      <c r="M28" s="397"/>
      <c r="N28" s="398"/>
    </row>
    <row r="30" spans="1:14">
      <c r="A30" s="394" t="s">
        <v>7</v>
      </c>
      <c r="B30" s="395"/>
      <c r="C30" s="395"/>
      <c r="D30" s="395"/>
      <c r="E30" s="396"/>
      <c r="F30" s="394" t="s">
        <v>8</v>
      </c>
      <c r="G30" s="395"/>
      <c r="H30" s="395"/>
      <c r="I30" s="394" t="s">
        <v>11</v>
      </c>
      <c r="J30" s="395"/>
      <c r="K30" s="395"/>
      <c r="L30" s="396"/>
      <c r="M30" s="390" t="s">
        <v>2</v>
      </c>
      <c r="N30" s="391"/>
    </row>
    <row r="31" spans="1:14" ht="15" customHeight="1">
      <c r="A31" s="406"/>
      <c r="B31" s="407"/>
      <c r="C31" s="407"/>
      <c r="D31" s="407"/>
      <c r="E31" s="408"/>
      <c r="F31" s="403" t="s">
        <v>356</v>
      </c>
      <c r="G31" s="404"/>
      <c r="H31" s="404"/>
      <c r="I31" s="403" t="s">
        <v>16</v>
      </c>
      <c r="J31" s="404"/>
      <c r="K31" s="404"/>
      <c r="L31" s="405"/>
      <c r="M31" s="392"/>
      <c r="N31" s="393"/>
    </row>
    <row r="32" spans="1:14" ht="21">
      <c r="A32" s="176" t="s">
        <v>10</v>
      </c>
      <c r="B32" s="176" t="s">
        <v>15</v>
      </c>
      <c r="C32" s="176" t="s">
        <v>6</v>
      </c>
      <c r="D32" s="132" t="s">
        <v>4</v>
      </c>
      <c r="E32" s="388" t="s">
        <v>9</v>
      </c>
      <c r="F32" s="389"/>
      <c r="G32" s="133" t="s">
        <v>5</v>
      </c>
      <c r="H32" s="133" t="s">
        <v>1</v>
      </c>
      <c r="I32" s="177" t="s">
        <v>12</v>
      </c>
      <c r="J32" s="178" t="s">
        <v>13</v>
      </c>
      <c r="K32" s="154"/>
      <c r="L32" s="173" t="s">
        <v>14</v>
      </c>
      <c r="M32" s="172" t="s">
        <v>0</v>
      </c>
      <c r="N32" s="173" t="s">
        <v>3</v>
      </c>
    </row>
    <row r="33" spans="1:14">
      <c r="A33" s="409"/>
      <c r="B33" s="410"/>
      <c r="C33" s="411">
        <v>1</v>
      </c>
      <c r="D33" s="184" t="s">
        <v>315</v>
      </c>
      <c r="E33" s="412" t="s">
        <v>317</v>
      </c>
      <c r="F33" s="412"/>
      <c r="G33" s="209" t="s">
        <v>318</v>
      </c>
      <c r="H33" s="209" t="s">
        <v>316</v>
      </c>
      <c r="I33" s="183">
        <v>5.25</v>
      </c>
      <c r="J33" s="156">
        <f>IF(AND((STDEV(I$33:I$37)/AVERAGE(I$33:I$37))&lt;=0.25,ISNUMBER(I33)),I33,IF(AND(I33&lt;=(AVERAGE(I$33:I$37)+STDEV(I$33:I$37)),I33&gt;=(AVERAGE(I$33:I$37)-STDEV(I$33:I$37)),ISNUMBER(I33)),I33,""))</f>
        <v>5.25</v>
      </c>
      <c r="K33" s="157" t="str">
        <f>IF(AND(COUNT(I$33:I$37)=1,ISNUMBER(I33)),"Sim",IF(AND((STDEV(J$33:J$37)/AVERAGE(J$33:J$37))&lt;0.25,ISNUMBER(J33)),"Sim",IF(AND(J33&lt;=(AVERAGE(J$33:J$37)+STDEV(J$33:J$37)),J33&gt;=(AVERAGE(J$33:J$37)-STDEV(J$33:J$37)),ISNUMBER(J33)),"Sim","Não")))</f>
        <v>Sim</v>
      </c>
      <c r="L33" s="157">
        <f>IF(K33="Sim",J33,"")</f>
        <v>5.25</v>
      </c>
      <c r="M33" s="397">
        <f>ROUND(IF(COUNT(I33:I37)=1,I33,IF((COUNT(L33:L37)&lt;3),MIN(L33:L37),AVERAGE(L33:L37))),2)</f>
        <v>5.53</v>
      </c>
      <c r="N33" s="398">
        <f>C33*M33</f>
        <v>5.53</v>
      </c>
    </row>
    <row r="34" spans="1:14">
      <c r="A34" s="409"/>
      <c r="B34" s="410"/>
      <c r="C34" s="411"/>
      <c r="D34" s="184" t="s">
        <v>309</v>
      </c>
      <c r="E34" s="412" t="s">
        <v>373</v>
      </c>
      <c r="F34" s="412"/>
      <c r="G34" s="209" t="s">
        <v>371</v>
      </c>
      <c r="H34" s="209" t="s">
        <v>372</v>
      </c>
      <c r="I34" s="183">
        <v>19.8</v>
      </c>
      <c r="J34" s="156" t="str">
        <f>IF(AND((STDEV(I$33:I$37)/AVERAGE(I$33:I$37))&lt;=0.25,ISNUMBER(I34)),I34,IF(AND(I34&lt;=(AVERAGE(I$33:I$37)+STDEV(I$33:I$37)),I34&gt;=(AVERAGE(I$33:I$37)-STDEV(I$33:I$37)),ISNUMBER(I34)),I34,""))</f>
        <v/>
      </c>
      <c r="K34" s="157" t="str">
        <f>IF(AND(COUNT(I$33:I$37)=1,ISNUMBER(I34)),"Sim",IF(AND((STDEV(J$33:J$37)/AVERAGE(J$33:J$37))&lt;0.25,ISNUMBER(J34)),"Sim",IF(AND(J34&lt;=(AVERAGE(J$33:J$37)+STDEV(J$33:J$37)),J34&gt;=(AVERAGE(J$33:J$37)-STDEV(J$33:J$37)),ISNUMBER(J34)),"Sim","Não")))</f>
        <v>Não</v>
      </c>
      <c r="L34" s="157" t="str">
        <f>IF(K34="Sim",J34,"")</f>
        <v/>
      </c>
      <c r="M34" s="397"/>
      <c r="N34" s="398"/>
    </row>
    <row r="35" spans="1:14">
      <c r="A35" s="409"/>
      <c r="B35" s="410"/>
      <c r="C35" s="411"/>
      <c r="D35" s="168" t="s">
        <v>320</v>
      </c>
      <c r="E35" s="399" t="s">
        <v>321</v>
      </c>
      <c r="F35" s="399"/>
      <c r="G35" s="209" t="s">
        <v>322</v>
      </c>
      <c r="H35" s="209" t="s">
        <v>323</v>
      </c>
      <c r="I35" s="155">
        <v>8</v>
      </c>
      <c r="J35" s="156">
        <f>IF(AND((STDEV(I$33:I$37)/AVERAGE(I$33:I$37))&lt;=0.25,ISNUMBER(I35)),I35,IF(AND(I35&lt;=(AVERAGE(I$33:I$37)+STDEV(I$33:I$37)),I35&gt;=(AVERAGE(I$33:I$37)-STDEV(I$33:I$37)),ISNUMBER(I35)),I35,""))</f>
        <v>8</v>
      </c>
      <c r="K35" s="157" t="str">
        <f>IF(AND(COUNT(I$33:I$37)=1,ISNUMBER(I35)),"Sim",IF(AND((STDEV(J$33:J$37)/AVERAGE(J$33:J$37))&lt;0.25,ISNUMBER(J35)),"Sim",IF(AND(J35&lt;=(AVERAGE(J$33:J$37)+STDEV(J$33:J$37)),J35&gt;=(AVERAGE(J$33:J$37)-STDEV(J$33:J$37)),ISNUMBER(J35)),"Sim","Não")))</f>
        <v>Sim</v>
      </c>
      <c r="L35" s="157">
        <f>IF(K35="Sim",J35,"")</f>
        <v>8</v>
      </c>
      <c r="M35" s="397"/>
      <c r="N35" s="398"/>
    </row>
    <row r="36" spans="1:14">
      <c r="A36" s="409"/>
      <c r="B36" s="410"/>
      <c r="C36" s="411"/>
      <c r="D36" s="168" t="s">
        <v>379</v>
      </c>
      <c r="E36" s="399" t="s">
        <v>380</v>
      </c>
      <c r="F36" s="399"/>
      <c r="G36" s="209" t="s">
        <v>381</v>
      </c>
      <c r="H36" s="209" t="s">
        <v>382</v>
      </c>
      <c r="I36" s="155">
        <v>3.33</v>
      </c>
      <c r="J36" s="156">
        <f>IF(AND((STDEV(I$33:I$37)/AVERAGE(I$33:I$37))&lt;=0.25,ISNUMBER(I36)),I36,IF(AND(I36&lt;=(AVERAGE(I$33:I$37)+STDEV(I$33:I$37)),I36&gt;=(AVERAGE(I$33:I$37)-STDEV(I$33:I$37)),ISNUMBER(I36)),I36,""))</f>
        <v>3.33</v>
      </c>
      <c r="K36" s="157" t="str">
        <f>IF(AND(COUNT(I$33:I$37)=1,ISNUMBER(I36)),"Sim",IF(AND((STDEV(J$33:J$37)/AVERAGE(J$33:J$37))&lt;0.25,ISNUMBER(J36)),"Sim",IF(AND(J36&lt;=(AVERAGE(J$33:J$37)+STDEV(J$33:J$37)),J36&gt;=(AVERAGE(J$33:J$37)-STDEV(J$33:J$37)),ISNUMBER(J36)),"Sim","Não")))</f>
        <v>Sim</v>
      </c>
      <c r="L36" s="157">
        <f>IF(K36="Sim",J36,"")</f>
        <v>3.33</v>
      </c>
      <c r="M36" s="397"/>
      <c r="N36" s="398"/>
    </row>
    <row r="37" spans="1:14">
      <c r="A37" s="409"/>
      <c r="B37" s="410"/>
      <c r="C37" s="411"/>
      <c r="D37" s="168" t="s">
        <v>379</v>
      </c>
      <c r="E37" s="399" t="s">
        <v>396</v>
      </c>
      <c r="F37" s="399"/>
      <c r="G37" s="67" t="s">
        <v>413</v>
      </c>
      <c r="H37" s="209" t="s">
        <v>414</v>
      </c>
      <c r="I37" s="155">
        <v>12.99</v>
      </c>
      <c r="J37" s="156">
        <f>IF(AND((STDEV(I$33:I$37)/AVERAGE(I$33:I$37))&lt;=0.25,ISNUMBER(I37)),I37,IF(AND(I37&lt;=(AVERAGE(I$33:I$37)+STDEV(I$33:I$37)),I37&gt;=(AVERAGE(I$33:I$37)-STDEV(I$33:I$37)),ISNUMBER(I37)),I37,""))</f>
        <v>12.99</v>
      </c>
      <c r="K37" s="157" t="str">
        <f>IF(AND(COUNT(I$33:I$37)=1,ISNUMBER(I37)),"Sim",IF(AND((STDEV(J$33:J$37)/AVERAGE(J$33:J$37))&lt;0.25,ISNUMBER(J37)),"Sim",IF(AND(J37&lt;=(AVERAGE(J$33:J$37)+STDEV(J$33:J$37)),J37&gt;=(AVERAGE(J$33:J$37)-STDEV(J$33:J$37)),ISNUMBER(J37)),"Sim","Não")))</f>
        <v>Não</v>
      </c>
      <c r="L37" s="157" t="str">
        <f>IF(K37="Sim",J37,"")</f>
        <v/>
      </c>
      <c r="M37" s="397"/>
      <c r="N37" s="398"/>
    </row>
    <row r="39" spans="1:14">
      <c r="A39" s="394" t="s">
        <v>7</v>
      </c>
      <c r="B39" s="395"/>
      <c r="C39" s="395"/>
      <c r="D39" s="395"/>
      <c r="E39" s="396"/>
      <c r="F39" s="394" t="s">
        <v>8</v>
      </c>
      <c r="G39" s="395"/>
      <c r="H39" s="395"/>
      <c r="I39" s="394" t="s">
        <v>11</v>
      </c>
      <c r="J39" s="395"/>
      <c r="K39" s="395"/>
      <c r="L39" s="396"/>
      <c r="M39" s="390" t="s">
        <v>2</v>
      </c>
      <c r="N39" s="391"/>
    </row>
    <row r="40" spans="1:14" ht="15" customHeight="1">
      <c r="A40" s="406"/>
      <c r="B40" s="407"/>
      <c r="C40" s="407"/>
      <c r="D40" s="407"/>
      <c r="E40" s="408"/>
      <c r="F40" s="403" t="s">
        <v>357</v>
      </c>
      <c r="G40" s="404"/>
      <c r="H40" s="404"/>
      <c r="I40" s="403" t="s">
        <v>16</v>
      </c>
      <c r="J40" s="404"/>
      <c r="K40" s="404"/>
      <c r="L40" s="405"/>
      <c r="M40" s="392"/>
      <c r="N40" s="393"/>
    </row>
    <row r="41" spans="1:14" ht="21">
      <c r="A41" s="176" t="s">
        <v>10</v>
      </c>
      <c r="B41" s="176" t="s">
        <v>15</v>
      </c>
      <c r="C41" s="176" t="s">
        <v>6</v>
      </c>
      <c r="D41" s="132" t="s">
        <v>4</v>
      </c>
      <c r="E41" s="388" t="s">
        <v>9</v>
      </c>
      <c r="F41" s="389"/>
      <c r="G41" s="133" t="s">
        <v>5</v>
      </c>
      <c r="H41" s="133" t="s">
        <v>1</v>
      </c>
      <c r="I41" s="177" t="s">
        <v>12</v>
      </c>
      <c r="J41" s="178" t="s">
        <v>13</v>
      </c>
      <c r="K41" s="154"/>
      <c r="L41" s="173" t="s">
        <v>14</v>
      </c>
      <c r="M41" s="172" t="s">
        <v>0</v>
      </c>
      <c r="N41" s="173" t="s">
        <v>3</v>
      </c>
    </row>
    <row r="42" spans="1:14">
      <c r="A42" s="409"/>
      <c r="B42" s="410"/>
      <c r="C42" s="411">
        <v>1</v>
      </c>
      <c r="D42" s="184" t="s">
        <v>309</v>
      </c>
      <c r="E42" s="184" t="s">
        <v>373</v>
      </c>
      <c r="F42" s="184"/>
      <c r="G42" s="209" t="s">
        <v>371</v>
      </c>
      <c r="H42" s="209" t="s">
        <v>372</v>
      </c>
      <c r="I42" s="183">
        <v>3</v>
      </c>
      <c r="J42" s="156">
        <f t="shared" ref="J42:J47" si="6">IF(AND((STDEV(I$42:I$47)/AVERAGE(I$42:I$47))&lt;=0.25,ISNUMBER(I42)),I42,IF(AND(I42&lt;=(AVERAGE(I$42:I$47)+STDEV(I$42:I$47)),I42&gt;=(AVERAGE(I$42:I$47)-STDEV(I$42:I$47)),ISNUMBER(I42)),I42,""))</f>
        <v>3</v>
      </c>
      <c r="K42" s="157" t="str">
        <f t="shared" ref="K42:K47" si="7">IF(AND(COUNT(I$42:I$47)=1,ISNUMBER(I42)),"Sim",IF(AND((STDEV(J$42:J$47)/AVERAGE(J$42:J$47))&lt;0.25,ISNUMBER(J42)),"Sim",IF(AND(J42&lt;=(AVERAGE(J$42:J$47)+STDEV(J$42:J$47)),J42&gt;=(AVERAGE(J$42:J$47)-STDEV(J$42:J$47)),ISNUMBER(J42)),"Sim","Não")))</f>
        <v>Sim</v>
      </c>
      <c r="L42" s="157">
        <f t="shared" ref="L42:L47" si="8">IF(K42="Sim",J42,"")</f>
        <v>3</v>
      </c>
      <c r="M42" s="397">
        <f>ROUND(IF(COUNT(I42:I47)=1,I42,IF((COUNT(L42:L47)&lt;3),MIN(L42:L47),AVERAGE(L42:L47))),2)</f>
        <v>2.79</v>
      </c>
      <c r="N42" s="398">
        <f>C42*M42</f>
        <v>2.79</v>
      </c>
    </row>
    <row r="43" spans="1:14">
      <c r="A43" s="409"/>
      <c r="B43" s="410"/>
      <c r="C43" s="411"/>
      <c r="D43" s="168" t="s">
        <v>320</v>
      </c>
      <c r="E43" s="168" t="s">
        <v>321</v>
      </c>
      <c r="F43" s="168"/>
      <c r="G43" s="209" t="s">
        <v>322</v>
      </c>
      <c r="H43" s="209" t="s">
        <v>323</v>
      </c>
      <c r="I43" s="155">
        <v>0.99</v>
      </c>
      <c r="J43" s="156">
        <f t="shared" si="6"/>
        <v>0.99</v>
      </c>
      <c r="K43" s="157" t="str">
        <f t="shared" si="7"/>
        <v>Sim</v>
      </c>
      <c r="L43" s="157">
        <f t="shared" si="8"/>
        <v>0.99</v>
      </c>
      <c r="M43" s="397"/>
      <c r="N43" s="398"/>
    </row>
    <row r="44" spans="1:14">
      <c r="A44" s="409"/>
      <c r="B44" s="410"/>
      <c r="C44" s="411"/>
      <c r="D44" s="168" t="s">
        <v>311</v>
      </c>
      <c r="E44" s="168" t="s">
        <v>375</v>
      </c>
      <c r="F44" s="168"/>
      <c r="G44" s="209" t="s">
        <v>312</v>
      </c>
      <c r="H44" s="209" t="s">
        <v>376</v>
      </c>
      <c r="I44" s="155">
        <v>1.56</v>
      </c>
      <c r="J44" s="156">
        <f t="shared" si="6"/>
        <v>1.56</v>
      </c>
      <c r="K44" s="157" t="str">
        <f t="shared" si="7"/>
        <v>Sim</v>
      </c>
      <c r="L44" s="157">
        <f t="shared" si="8"/>
        <v>1.56</v>
      </c>
      <c r="M44" s="397"/>
      <c r="N44" s="398"/>
    </row>
    <row r="45" spans="1:14">
      <c r="A45" s="409"/>
      <c r="B45" s="410"/>
      <c r="C45" s="411"/>
      <c r="D45" s="168" t="s">
        <v>379</v>
      </c>
      <c r="E45" s="168" t="s">
        <v>380</v>
      </c>
      <c r="F45" s="168"/>
      <c r="G45" s="209" t="s">
        <v>381</v>
      </c>
      <c r="H45" s="209" t="s">
        <v>382</v>
      </c>
      <c r="I45" s="155">
        <v>5.6</v>
      </c>
      <c r="J45" s="156">
        <f t="shared" si="6"/>
        <v>5.6</v>
      </c>
      <c r="K45" s="157" t="str">
        <f t="shared" si="7"/>
        <v>Sim</v>
      </c>
      <c r="L45" s="157">
        <f t="shared" si="8"/>
        <v>5.6</v>
      </c>
      <c r="M45" s="397"/>
      <c r="N45" s="398"/>
    </row>
    <row r="46" spans="1:14">
      <c r="A46" s="409"/>
      <c r="B46" s="410"/>
      <c r="C46" s="411"/>
      <c r="D46" s="168" t="s">
        <v>379</v>
      </c>
      <c r="E46" s="168" t="s">
        <v>380</v>
      </c>
      <c r="F46" s="168"/>
      <c r="G46" s="209" t="s">
        <v>391</v>
      </c>
      <c r="H46" s="209" t="s">
        <v>392</v>
      </c>
      <c r="I46" s="155">
        <v>10.31</v>
      </c>
      <c r="J46" s="156">
        <f t="shared" si="6"/>
        <v>10.31</v>
      </c>
      <c r="K46" s="157" t="str">
        <f t="shared" si="7"/>
        <v>Não</v>
      </c>
      <c r="L46" s="157" t="str">
        <f t="shared" si="8"/>
        <v/>
      </c>
      <c r="M46" s="397"/>
      <c r="N46" s="398"/>
    </row>
    <row r="47" spans="1:14">
      <c r="A47" s="409"/>
      <c r="B47" s="410"/>
      <c r="C47" s="411"/>
      <c r="D47" s="168" t="s">
        <v>379</v>
      </c>
      <c r="E47" s="399" t="s">
        <v>396</v>
      </c>
      <c r="F47" s="399"/>
      <c r="G47" s="67" t="s">
        <v>413</v>
      </c>
      <c r="H47" s="209" t="s">
        <v>414</v>
      </c>
      <c r="I47" s="155">
        <v>12.99</v>
      </c>
      <c r="J47" s="156" t="str">
        <f t="shared" si="6"/>
        <v/>
      </c>
      <c r="K47" s="157" t="str">
        <f t="shared" si="7"/>
        <v>Não</v>
      </c>
      <c r="L47" s="157" t="str">
        <f t="shared" si="8"/>
        <v/>
      </c>
      <c r="M47" s="397"/>
      <c r="N47" s="398"/>
    </row>
    <row r="49" spans="1:14">
      <c r="A49" s="394" t="s">
        <v>7</v>
      </c>
      <c r="B49" s="395"/>
      <c r="C49" s="395"/>
      <c r="D49" s="395"/>
      <c r="E49" s="396"/>
      <c r="F49" s="394" t="s">
        <v>8</v>
      </c>
      <c r="G49" s="395"/>
      <c r="H49" s="395"/>
      <c r="I49" s="394" t="s">
        <v>11</v>
      </c>
      <c r="J49" s="395"/>
      <c r="K49" s="395"/>
      <c r="L49" s="396"/>
      <c r="M49" s="390" t="s">
        <v>2</v>
      </c>
      <c r="N49" s="391"/>
    </row>
    <row r="50" spans="1:14" ht="15" customHeight="1">
      <c r="A50" s="406"/>
      <c r="B50" s="407"/>
      <c r="C50" s="407"/>
      <c r="D50" s="407"/>
      <c r="E50" s="408"/>
      <c r="F50" s="403" t="s">
        <v>358</v>
      </c>
      <c r="G50" s="404"/>
      <c r="H50" s="404"/>
      <c r="I50" s="403" t="s">
        <v>349</v>
      </c>
      <c r="J50" s="404"/>
      <c r="K50" s="404"/>
      <c r="L50" s="405"/>
      <c r="M50" s="392"/>
      <c r="N50" s="393"/>
    </row>
    <row r="51" spans="1:14" ht="21">
      <c r="A51" s="176" t="s">
        <v>10</v>
      </c>
      <c r="B51" s="176" t="s">
        <v>15</v>
      </c>
      <c r="C51" s="176" t="s">
        <v>6</v>
      </c>
      <c r="D51" s="132" t="s">
        <v>4</v>
      </c>
      <c r="E51" s="388" t="s">
        <v>9</v>
      </c>
      <c r="F51" s="389"/>
      <c r="G51" s="133" t="s">
        <v>5</v>
      </c>
      <c r="H51" s="133" t="s">
        <v>1</v>
      </c>
      <c r="I51" s="177" t="s">
        <v>12</v>
      </c>
      <c r="J51" s="178" t="s">
        <v>13</v>
      </c>
      <c r="K51" s="154"/>
      <c r="L51" s="173" t="s">
        <v>14</v>
      </c>
      <c r="M51" s="172" t="s">
        <v>0</v>
      </c>
      <c r="N51" s="173" t="s">
        <v>3</v>
      </c>
    </row>
    <row r="52" spans="1:14">
      <c r="A52" s="409"/>
      <c r="B52" s="410"/>
      <c r="C52" s="411">
        <v>1</v>
      </c>
      <c r="D52" s="184" t="s">
        <v>315</v>
      </c>
      <c r="E52" s="412" t="s">
        <v>317</v>
      </c>
      <c r="F52" s="412"/>
      <c r="G52" s="209" t="s">
        <v>318</v>
      </c>
      <c r="H52" s="209" t="s">
        <v>316</v>
      </c>
      <c r="I52" s="183">
        <f>10.06+(1.28*3)</f>
        <v>13.9</v>
      </c>
      <c r="J52" s="156" t="str">
        <f t="shared" ref="J52:J64" si="9">IF(AND((STDEV(I$52:I$64)/AVERAGE(I$52:I$64))&lt;=0.25,ISNUMBER(I52)),I52,IF(AND(I52&lt;=(AVERAGE(I$52:I$64)+STDEV(I$52:I$64)),I52&gt;=(AVERAGE(I$52:I$64)-STDEV(I$52:I$64)),ISNUMBER(I52)),I52,""))</f>
        <v/>
      </c>
      <c r="K52" s="157" t="str">
        <f t="shared" ref="K52:K64" si="10">IF(AND(COUNT(I$52:I$64)=1,ISNUMBER(I52)),"Sim",IF(AND((STDEV(J$52:J$64)/AVERAGE(J$52:J$64))&lt;0.25,ISNUMBER(J52)),"Sim",IF(AND(J52&lt;=(AVERAGE(J$52:J$64)+STDEV(J$52:J$64)),J52&gt;=(AVERAGE(J$52:J$64)-STDEV(J$52:J$64)),ISNUMBER(J52)),"Sim","Não")))</f>
        <v>Não</v>
      </c>
      <c r="L52" s="157" t="str">
        <f>IF(K52="Sim",J52,"")</f>
        <v/>
      </c>
      <c r="M52" s="397">
        <f>ROUND(IF(COUNT(I52:I64)=1,I52,IF((COUNT(L52:L64)&lt;3),MIN(L52:L64),AVERAGE(L52:L64))),2)</f>
        <v>40.700000000000003</v>
      </c>
      <c r="N52" s="398">
        <f>C52*M52</f>
        <v>40.700000000000003</v>
      </c>
    </row>
    <row r="53" spans="1:14">
      <c r="A53" s="409"/>
      <c r="B53" s="410"/>
      <c r="C53" s="411"/>
      <c r="D53" s="184" t="s">
        <v>364</v>
      </c>
      <c r="E53" s="412" t="s">
        <v>366</v>
      </c>
      <c r="F53" s="412"/>
      <c r="G53" s="209" t="s">
        <v>363</v>
      </c>
      <c r="H53" s="209" t="s">
        <v>365</v>
      </c>
      <c r="I53" s="183">
        <f>32+12</f>
        <v>44</v>
      </c>
      <c r="J53" s="156">
        <f t="shared" si="9"/>
        <v>44</v>
      </c>
      <c r="K53" s="157" t="str">
        <f t="shared" si="10"/>
        <v>Sim</v>
      </c>
      <c r="L53" s="157">
        <f t="shared" ref="L53:L64" si="11">IF(K53="Sim",J53,"")</f>
        <v>44</v>
      </c>
      <c r="M53" s="397"/>
      <c r="N53" s="398"/>
    </row>
    <row r="54" spans="1:14">
      <c r="A54" s="409"/>
      <c r="B54" s="410"/>
      <c r="C54" s="411"/>
      <c r="D54" s="184" t="s">
        <v>309</v>
      </c>
      <c r="E54" s="412" t="s">
        <v>373</v>
      </c>
      <c r="F54" s="412"/>
      <c r="G54" s="209" t="s">
        <v>371</v>
      </c>
      <c r="H54" s="209" t="s">
        <v>372</v>
      </c>
      <c r="I54" s="183">
        <v>43.27</v>
      </c>
      <c r="J54" s="156">
        <f t="shared" si="9"/>
        <v>43.27</v>
      </c>
      <c r="K54" s="157" t="str">
        <f t="shared" si="10"/>
        <v>Sim</v>
      </c>
      <c r="L54" s="157">
        <f t="shared" si="11"/>
        <v>43.27</v>
      </c>
      <c r="M54" s="397"/>
      <c r="N54" s="398"/>
    </row>
    <row r="55" spans="1:14">
      <c r="A55" s="409"/>
      <c r="B55" s="410"/>
      <c r="C55" s="411"/>
      <c r="D55" s="168" t="s">
        <v>320</v>
      </c>
      <c r="E55" s="399" t="s">
        <v>321</v>
      </c>
      <c r="F55" s="399"/>
      <c r="G55" s="209" t="s">
        <v>322</v>
      </c>
      <c r="H55" s="209" t="s">
        <v>323</v>
      </c>
      <c r="I55" s="155">
        <v>19.899999999999999</v>
      </c>
      <c r="J55" s="156" t="str">
        <f t="shared" si="9"/>
        <v/>
      </c>
      <c r="K55" s="157" t="str">
        <f t="shared" si="10"/>
        <v>Não</v>
      </c>
      <c r="L55" s="157" t="str">
        <f t="shared" si="11"/>
        <v/>
      </c>
      <c r="M55" s="397"/>
      <c r="N55" s="398"/>
    </row>
    <row r="56" spans="1:14">
      <c r="A56" s="409"/>
      <c r="B56" s="410"/>
      <c r="C56" s="411"/>
      <c r="D56" s="168" t="s">
        <v>311</v>
      </c>
      <c r="E56" s="399" t="s">
        <v>375</v>
      </c>
      <c r="F56" s="399"/>
      <c r="G56" s="209" t="s">
        <v>312</v>
      </c>
      <c r="H56" s="209" t="s">
        <v>376</v>
      </c>
      <c r="I56" s="155">
        <v>30</v>
      </c>
      <c r="J56" s="156">
        <f t="shared" si="9"/>
        <v>30</v>
      </c>
      <c r="K56" s="157" t="str">
        <f t="shared" si="10"/>
        <v>Sim</v>
      </c>
      <c r="L56" s="157">
        <f t="shared" si="11"/>
        <v>30</v>
      </c>
      <c r="M56" s="397"/>
      <c r="N56" s="398"/>
    </row>
    <row r="57" spans="1:14">
      <c r="A57" s="409"/>
      <c r="B57" s="410"/>
      <c r="C57" s="411"/>
      <c r="D57" s="168" t="s">
        <v>379</v>
      </c>
      <c r="E57" s="399" t="s">
        <v>380</v>
      </c>
      <c r="F57" s="399"/>
      <c r="G57" s="209" t="s">
        <v>377</v>
      </c>
      <c r="H57" s="209" t="s">
        <v>378</v>
      </c>
      <c r="I57" s="155">
        <v>69.900000000000006</v>
      </c>
      <c r="J57" s="156">
        <f t="shared" si="9"/>
        <v>69.900000000000006</v>
      </c>
      <c r="K57" s="157" t="str">
        <f t="shared" si="10"/>
        <v>Não</v>
      </c>
      <c r="L57" s="157" t="str">
        <f t="shared" si="11"/>
        <v/>
      </c>
      <c r="M57" s="397"/>
      <c r="N57" s="398"/>
    </row>
    <row r="58" spans="1:14">
      <c r="A58" s="409"/>
      <c r="B58" s="410"/>
      <c r="C58" s="411"/>
      <c r="D58" s="168" t="s">
        <v>379</v>
      </c>
      <c r="E58" s="399" t="s">
        <v>380</v>
      </c>
      <c r="F58" s="399"/>
      <c r="G58" s="209" t="s">
        <v>381</v>
      </c>
      <c r="H58" s="209" t="s">
        <v>382</v>
      </c>
      <c r="I58" s="155">
        <v>25.8</v>
      </c>
      <c r="J58" s="156">
        <f t="shared" si="9"/>
        <v>25.8</v>
      </c>
      <c r="K58" s="157" t="str">
        <f t="shared" si="10"/>
        <v>Não</v>
      </c>
      <c r="L58" s="157" t="str">
        <f t="shared" si="11"/>
        <v/>
      </c>
      <c r="M58" s="397"/>
      <c r="N58" s="398"/>
    </row>
    <row r="59" spans="1:14">
      <c r="A59" s="409"/>
      <c r="B59" s="410"/>
      <c r="C59" s="411"/>
      <c r="D59" s="168" t="s">
        <v>379</v>
      </c>
      <c r="E59" s="399" t="s">
        <v>380</v>
      </c>
      <c r="F59" s="399"/>
      <c r="G59" s="209" t="s">
        <v>337</v>
      </c>
      <c r="H59" s="209" t="s">
        <v>383</v>
      </c>
      <c r="I59" s="155">
        <v>48</v>
      </c>
      <c r="J59" s="156">
        <f t="shared" si="9"/>
        <v>48</v>
      </c>
      <c r="K59" s="157" t="str">
        <f t="shared" si="10"/>
        <v>Sim</v>
      </c>
      <c r="L59" s="157">
        <f t="shared" si="11"/>
        <v>48</v>
      </c>
      <c r="M59" s="397"/>
      <c r="N59" s="398"/>
    </row>
    <row r="60" spans="1:14">
      <c r="A60" s="409"/>
      <c r="B60" s="410"/>
      <c r="C60" s="411"/>
      <c r="D60" s="168" t="s">
        <v>379</v>
      </c>
      <c r="E60" s="399" t="s">
        <v>380</v>
      </c>
      <c r="F60" s="399"/>
      <c r="G60" s="209" t="s">
        <v>384</v>
      </c>
      <c r="H60" s="209" t="s">
        <v>385</v>
      </c>
      <c r="I60" s="155">
        <v>69</v>
      </c>
      <c r="J60" s="156">
        <f t="shared" si="9"/>
        <v>69</v>
      </c>
      <c r="K60" s="157" t="str">
        <f t="shared" si="10"/>
        <v>Não</v>
      </c>
      <c r="L60" s="157" t="str">
        <f t="shared" si="11"/>
        <v/>
      </c>
      <c r="M60" s="397"/>
      <c r="N60" s="398"/>
    </row>
    <row r="61" spans="1:14">
      <c r="A61" s="409"/>
      <c r="B61" s="410"/>
      <c r="C61" s="411"/>
      <c r="D61" s="168" t="s">
        <v>379</v>
      </c>
      <c r="E61" s="399" t="s">
        <v>380</v>
      </c>
      <c r="F61" s="399"/>
      <c r="G61" s="209" t="s">
        <v>391</v>
      </c>
      <c r="H61" s="209" t="s">
        <v>392</v>
      </c>
      <c r="I61" s="155">
        <v>49</v>
      </c>
      <c r="J61" s="156">
        <f t="shared" si="9"/>
        <v>49</v>
      </c>
      <c r="K61" s="157" t="str">
        <f t="shared" si="10"/>
        <v>Sim</v>
      </c>
      <c r="L61" s="157">
        <f t="shared" si="11"/>
        <v>49</v>
      </c>
      <c r="M61" s="397"/>
      <c r="N61" s="398"/>
    </row>
    <row r="62" spans="1:14">
      <c r="A62" s="409"/>
      <c r="B62" s="410"/>
      <c r="C62" s="411"/>
      <c r="D62" s="168" t="s">
        <v>379</v>
      </c>
      <c r="E62" s="399" t="s">
        <v>380</v>
      </c>
      <c r="F62" s="399"/>
      <c r="G62" s="209" t="s">
        <v>393</v>
      </c>
      <c r="H62" s="209" t="s">
        <v>394</v>
      </c>
      <c r="I62" s="155">
        <v>29.9</v>
      </c>
      <c r="J62" s="156">
        <f t="shared" si="9"/>
        <v>29.9</v>
      </c>
      <c r="K62" s="157" t="str">
        <f t="shared" si="10"/>
        <v>Sim</v>
      </c>
      <c r="L62" s="157">
        <f t="shared" si="11"/>
        <v>29.9</v>
      </c>
      <c r="M62" s="397"/>
      <c r="N62" s="398"/>
    </row>
    <row r="63" spans="1:14">
      <c r="A63" s="409"/>
      <c r="B63" s="410"/>
      <c r="C63" s="411"/>
      <c r="D63" s="168" t="s">
        <v>379</v>
      </c>
      <c r="E63" s="399" t="s">
        <v>380</v>
      </c>
      <c r="F63" s="399"/>
      <c r="G63" s="209" t="s">
        <v>335</v>
      </c>
      <c r="H63" s="209" t="s">
        <v>395</v>
      </c>
      <c r="I63" s="155">
        <v>89</v>
      </c>
      <c r="J63" s="156" t="str">
        <f t="shared" si="9"/>
        <v/>
      </c>
      <c r="K63" s="157" t="str">
        <f t="shared" si="10"/>
        <v>Não</v>
      </c>
      <c r="L63" s="157" t="str">
        <f t="shared" si="11"/>
        <v/>
      </c>
      <c r="M63" s="397"/>
      <c r="N63" s="398"/>
    </row>
    <row r="64" spans="1:14">
      <c r="A64" s="409"/>
      <c r="B64" s="410"/>
      <c r="C64" s="411"/>
      <c r="D64" s="168" t="s">
        <v>379</v>
      </c>
      <c r="E64" s="399" t="s">
        <v>396</v>
      </c>
      <c r="F64" s="399"/>
      <c r="G64" s="67" t="s">
        <v>332</v>
      </c>
      <c r="H64" s="209" t="s">
        <v>397</v>
      </c>
      <c r="I64" s="155">
        <v>89.9</v>
      </c>
      <c r="J64" s="156" t="str">
        <f t="shared" si="9"/>
        <v/>
      </c>
      <c r="K64" s="157" t="str">
        <f t="shared" si="10"/>
        <v>Não</v>
      </c>
      <c r="L64" s="157" t="str">
        <f t="shared" si="11"/>
        <v/>
      </c>
      <c r="M64" s="397"/>
      <c r="N64" s="398"/>
    </row>
    <row r="66" spans="1:243">
      <c r="A66" s="394" t="s">
        <v>7</v>
      </c>
      <c r="B66" s="395"/>
      <c r="C66" s="395"/>
      <c r="D66" s="395"/>
      <c r="E66" s="396"/>
      <c r="F66" s="394" t="s">
        <v>8</v>
      </c>
      <c r="G66" s="395"/>
      <c r="H66" s="395"/>
      <c r="I66" s="394" t="s">
        <v>11</v>
      </c>
      <c r="J66" s="395"/>
      <c r="K66" s="395"/>
      <c r="L66" s="396"/>
      <c r="M66" s="390" t="s">
        <v>2</v>
      </c>
      <c r="N66" s="391"/>
    </row>
    <row r="67" spans="1:243" ht="15" customHeight="1">
      <c r="A67" s="406"/>
      <c r="B67" s="407"/>
      <c r="C67" s="407"/>
      <c r="D67" s="407"/>
      <c r="E67" s="408"/>
      <c r="F67" s="403" t="s">
        <v>359</v>
      </c>
      <c r="G67" s="404"/>
      <c r="H67" s="404"/>
      <c r="I67" s="403" t="s">
        <v>18</v>
      </c>
      <c r="J67" s="404"/>
      <c r="K67" s="404"/>
      <c r="L67" s="405"/>
      <c r="M67" s="392"/>
      <c r="N67" s="393"/>
    </row>
    <row r="68" spans="1:243" ht="21">
      <c r="A68" s="176" t="s">
        <v>10</v>
      </c>
      <c r="B68" s="176" t="s">
        <v>15</v>
      </c>
      <c r="C68" s="176" t="s">
        <v>6</v>
      </c>
      <c r="D68" s="132" t="s">
        <v>4</v>
      </c>
      <c r="E68" s="388" t="s">
        <v>9</v>
      </c>
      <c r="F68" s="389"/>
      <c r="G68" s="133" t="s">
        <v>5</v>
      </c>
      <c r="H68" s="133" t="s">
        <v>1</v>
      </c>
      <c r="I68" s="177" t="s">
        <v>12</v>
      </c>
      <c r="J68" s="178" t="s">
        <v>13</v>
      </c>
      <c r="K68" s="154"/>
      <c r="L68" s="173" t="s">
        <v>14</v>
      </c>
      <c r="M68" s="172" t="s">
        <v>0</v>
      </c>
      <c r="N68" s="173" t="s">
        <v>3</v>
      </c>
    </row>
    <row r="69" spans="1:243">
      <c r="A69" s="409"/>
      <c r="B69" s="410"/>
      <c r="C69" s="411">
        <v>1</v>
      </c>
      <c r="D69" s="184" t="s">
        <v>364</v>
      </c>
      <c r="E69" s="184" t="s">
        <v>366</v>
      </c>
      <c r="F69" s="184"/>
      <c r="G69" s="209" t="s">
        <v>363</v>
      </c>
      <c r="H69" s="209" t="s">
        <v>365</v>
      </c>
      <c r="I69" s="183">
        <v>300</v>
      </c>
      <c r="J69" s="156">
        <f t="shared" ref="J69:J74" si="12">IF(AND((STDEV(I$69:I$74)/AVERAGE(I$69:I$74))&lt;=0.25,ISNUMBER(I69)),I69,IF(AND(I69&lt;=(AVERAGE(I$69:I$74)+STDEV(I$69:I$74)),I69&gt;=(AVERAGE(I$69:I$74)-STDEV(I$69:I$74)),ISNUMBER(I69)),I69,""))</f>
        <v>300</v>
      </c>
      <c r="K69" s="157" t="str">
        <f t="shared" ref="K69:K74" si="13">IF(AND(COUNT(I$69:I$74)=1,ISNUMBER(I69)),"Sim",IF(AND((STDEV(J$69:J$74)/AVERAGE(J$69:J$74))&lt;0.25,ISNUMBER(J69)),"Sim",IF(AND(J69&lt;=(AVERAGE(J$69:J$74)+STDEV(J$69:J$74)),J69&gt;=(AVERAGE(J$69:J$74)-STDEV(J$69:J$74)),ISNUMBER(J69)),"Sim","Não")))</f>
        <v>Sim</v>
      </c>
      <c r="L69" s="157">
        <f t="shared" ref="L69:L74" si="14">IF(K69="Sim",J69,"")</f>
        <v>300</v>
      </c>
      <c r="M69" s="397">
        <f>ROUND(IF(COUNT(I69:I72)=1,I69,IF((COUNT(L69:L72)&lt;3),MIN(L69:L72),AVERAGE(L69:L72))),2)</f>
        <v>496.63</v>
      </c>
      <c r="N69" s="398">
        <f>C69*M69</f>
        <v>496.63</v>
      </c>
    </row>
    <row r="70" spans="1:243">
      <c r="A70" s="409"/>
      <c r="B70" s="410"/>
      <c r="C70" s="411"/>
      <c r="D70" s="168" t="s">
        <v>320</v>
      </c>
      <c r="E70" s="399" t="s">
        <v>321</v>
      </c>
      <c r="F70" s="399"/>
      <c r="G70" s="209" t="s">
        <v>322</v>
      </c>
      <c r="H70" s="209" t="s">
        <v>323</v>
      </c>
      <c r="I70" s="155">
        <v>200</v>
      </c>
      <c r="J70" s="156" t="str">
        <f t="shared" si="12"/>
        <v/>
      </c>
      <c r="K70" s="157" t="str">
        <f t="shared" si="13"/>
        <v>Não</v>
      </c>
      <c r="L70" s="157" t="str">
        <f t="shared" si="14"/>
        <v/>
      </c>
      <c r="M70" s="397"/>
      <c r="N70" s="398"/>
    </row>
    <row r="71" spans="1:243">
      <c r="A71" s="409"/>
      <c r="B71" s="410"/>
      <c r="C71" s="411"/>
      <c r="D71" s="168" t="s">
        <v>311</v>
      </c>
      <c r="E71" s="399" t="s">
        <v>375</v>
      </c>
      <c r="F71" s="399"/>
      <c r="G71" s="209" t="s">
        <v>312</v>
      </c>
      <c r="H71" s="209" t="s">
        <v>376</v>
      </c>
      <c r="I71" s="155">
        <v>250</v>
      </c>
      <c r="J71" s="156">
        <f t="shared" si="12"/>
        <v>250</v>
      </c>
      <c r="K71" s="157" t="str">
        <f t="shared" si="13"/>
        <v>Sim</v>
      </c>
      <c r="L71" s="157">
        <f t="shared" si="14"/>
        <v>250</v>
      </c>
      <c r="M71" s="397"/>
      <c r="N71" s="398"/>
    </row>
    <row r="72" spans="1:243">
      <c r="A72" s="409"/>
      <c r="B72" s="410"/>
      <c r="C72" s="411"/>
      <c r="D72" s="168" t="s">
        <v>379</v>
      </c>
      <c r="E72" s="399" t="s">
        <v>396</v>
      </c>
      <c r="F72" s="399"/>
      <c r="G72" s="67" t="s">
        <v>416</v>
      </c>
      <c r="H72" s="209" t="s">
        <v>415</v>
      </c>
      <c r="I72" s="155">
        <f>939.9</f>
        <v>939.9</v>
      </c>
      <c r="J72" s="156">
        <f t="shared" si="12"/>
        <v>939.9</v>
      </c>
      <c r="K72" s="157" t="str">
        <f t="shared" si="13"/>
        <v>Sim</v>
      </c>
      <c r="L72" s="157">
        <f t="shared" si="14"/>
        <v>939.9</v>
      </c>
      <c r="M72" s="397"/>
      <c r="N72" s="398"/>
    </row>
    <row r="73" spans="1:243">
      <c r="A73" s="409"/>
      <c r="B73" s="410"/>
      <c r="C73" s="411"/>
      <c r="D73" s="168" t="s">
        <v>379</v>
      </c>
      <c r="E73" s="399" t="s">
        <v>396</v>
      </c>
      <c r="F73" s="399"/>
      <c r="G73" s="67" t="s">
        <v>418</v>
      </c>
      <c r="H73" s="209" t="s">
        <v>417</v>
      </c>
      <c r="I73" s="155">
        <f>999</f>
        <v>999</v>
      </c>
      <c r="J73" s="156">
        <f t="shared" si="12"/>
        <v>999</v>
      </c>
      <c r="K73" s="157" t="str">
        <f t="shared" si="13"/>
        <v>Sim</v>
      </c>
      <c r="L73" s="157">
        <f t="shared" si="14"/>
        <v>999</v>
      </c>
      <c r="M73" s="397"/>
      <c r="N73" s="398"/>
    </row>
    <row r="74" spans="1:243">
      <c r="A74" s="409"/>
      <c r="B74" s="410"/>
      <c r="C74" s="411"/>
      <c r="D74" s="168" t="s">
        <v>379</v>
      </c>
      <c r="E74" s="399" t="s">
        <v>396</v>
      </c>
      <c r="F74" s="399"/>
      <c r="G74" s="67" t="s">
        <v>360</v>
      </c>
      <c r="H74" s="209" t="s">
        <v>361</v>
      </c>
      <c r="I74" s="155">
        <f>1210</f>
        <v>1210</v>
      </c>
      <c r="J74" s="156" t="str">
        <f t="shared" si="12"/>
        <v/>
      </c>
      <c r="K74" s="157" t="str">
        <f t="shared" si="13"/>
        <v>Não</v>
      </c>
      <c r="L74" s="157" t="str">
        <f t="shared" si="14"/>
        <v/>
      </c>
      <c r="M74" s="397"/>
      <c r="N74" s="398"/>
    </row>
    <row r="76" spans="1:243" ht="15" customHeight="1">
      <c r="A76" s="394" t="s">
        <v>7</v>
      </c>
      <c r="B76" s="395"/>
      <c r="C76" s="395"/>
      <c r="D76" s="395"/>
      <c r="E76" s="396"/>
      <c r="F76" s="394" t="s">
        <v>8</v>
      </c>
      <c r="G76" s="395"/>
      <c r="H76" s="395"/>
      <c r="I76" s="394" t="s">
        <v>11</v>
      </c>
      <c r="J76" s="395"/>
      <c r="K76" s="395"/>
      <c r="L76" s="396"/>
      <c r="M76" s="390" t="s">
        <v>2</v>
      </c>
      <c r="N76" s="391"/>
    </row>
    <row r="77" spans="1:243" ht="15" customHeight="1">
      <c r="A77" s="406"/>
      <c r="B77" s="407"/>
      <c r="C77" s="407"/>
      <c r="D77" s="407"/>
      <c r="E77" s="408"/>
      <c r="F77" s="403" t="s">
        <v>351</v>
      </c>
      <c r="G77" s="404"/>
      <c r="H77" s="404"/>
      <c r="I77" s="403" t="s">
        <v>16</v>
      </c>
      <c r="J77" s="404"/>
      <c r="K77" s="404"/>
      <c r="L77" s="405"/>
      <c r="M77" s="392" t="s">
        <v>17</v>
      </c>
      <c r="N77" s="393"/>
    </row>
    <row r="78" spans="1:243" ht="21">
      <c r="A78" s="131" t="s">
        <v>10</v>
      </c>
      <c r="B78" s="131" t="s">
        <v>15</v>
      </c>
      <c r="C78" s="131" t="s">
        <v>6</v>
      </c>
      <c r="D78" s="132" t="s">
        <v>4</v>
      </c>
      <c r="E78" s="388" t="s">
        <v>9</v>
      </c>
      <c r="F78" s="389"/>
      <c r="G78" s="133" t="s">
        <v>5</v>
      </c>
      <c r="H78" s="133" t="s">
        <v>1</v>
      </c>
      <c r="I78" s="134" t="s">
        <v>12</v>
      </c>
      <c r="J78" s="135" t="s">
        <v>13</v>
      </c>
      <c r="K78" s="136"/>
      <c r="L78" s="152" t="s">
        <v>14</v>
      </c>
      <c r="M78" s="171" t="s">
        <v>0</v>
      </c>
      <c r="N78" s="152" t="s">
        <v>3</v>
      </c>
    </row>
    <row r="79" spans="1:243" s="1" customFormat="1">
      <c r="A79" s="409"/>
      <c r="B79" s="410"/>
      <c r="C79" s="411">
        <v>3</v>
      </c>
      <c r="D79" s="184" t="s">
        <v>315</v>
      </c>
      <c r="E79" s="412" t="s">
        <v>317</v>
      </c>
      <c r="F79" s="412"/>
      <c r="G79" s="209" t="s">
        <v>318</v>
      </c>
      <c r="H79" s="209" t="s">
        <v>316</v>
      </c>
      <c r="I79" s="155">
        <v>4.38</v>
      </c>
      <c r="J79" s="156" t="str">
        <f>IF(AND((STDEV(I$79:I$86)/AVERAGE(I$79:I$86))&lt;=0.25,ISNUMBER(I79)),I79,IF(AND(I79&lt;=(AVERAGE(I$79:I$86)+STDEV(I$79:I$86)),I79&gt;=(AVERAGE(I$79:I$86)-STDEV(I$79:I$86)),ISNUMBER(I79)),I79,""))</f>
        <v/>
      </c>
      <c r="K79" s="157" t="str">
        <f>IF(AND(COUNT(I$79:I$86)=1,ISNUMBER(I79)),"Sim",IF(AND((STDEV(J$79:J$86)/AVERAGE(J$79:J$86))&lt;0.25,ISNUMBER(J79)),"Sim",IF(AND(J79&lt;=(AVERAGE(J$79:J$86)+STDEV(J$79:J$86)),J79&gt;=(AVERAGE(J$79:J$86)-STDEV(J$79:J$86)),ISNUMBER(J79)),"Sim","Não")))</f>
        <v>Não</v>
      </c>
      <c r="L79" s="157" t="str">
        <f>IF(K79="Sim",J79,"")</f>
        <v/>
      </c>
      <c r="M79" s="397">
        <f>ROUND(IF(COUNT(I79:I86)=1,I79,IF((COUNT(L79:L86)&lt;3),MIN(L79:L86),AVERAGE(L79:L86))),2)</f>
        <v>10.28</v>
      </c>
      <c r="N79" s="398">
        <f>C79*M79</f>
        <v>30.839999999999996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spans="1:243" ht="15" customHeight="1">
      <c r="A80" s="409"/>
      <c r="B80" s="410"/>
      <c r="C80" s="411"/>
      <c r="D80" s="184" t="s">
        <v>364</v>
      </c>
      <c r="E80" s="412" t="s">
        <v>366</v>
      </c>
      <c r="F80" s="412"/>
      <c r="G80" s="209" t="s">
        <v>363</v>
      </c>
      <c r="H80" s="209" t="s">
        <v>365</v>
      </c>
      <c r="I80" s="155">
        <v>8</v>
      </c>
      <c r="J80" s="156">
        <f t="shared" ref="J80:J86" si="15">IF(AND((STDEV(I$79:I$86)/AVERAGE(I$79:I$86))&lt;=0.25,ISNUMBER(I80)),I80,IF(AND(I80&lt;=(AVERAGE(I$79:I$86)+STDEV(I$79:I$86)),I80&gt;=(AVERAGE(I$79:I$86)-STDEV(I$79:I$86)),ISNUMBER(I80)),I80,""))</f>
        <v>8</v>
      </c>
      <c r="K80" s="157" t="str">
        <f t="shared" ref="K80:K86" si="16">IF(AND(COUNT(I$79:I$86)=1,ISNUMBER(I80)),"Sim",IF(AND((STDEV(J$79:J$86)/AVERAGE(J$79:J$86))&lt;0.25,ISNUMBER(J80)),"Sim",IF(AND(J80&lt;=(AVERAGE(J$79:J$86)+STDEV(J$79:J$86)),J80&gt;=(AVERAGE(J$79:J$86)-STDEV(J$79:J$86)),ISNUMBER(J80)),"Sim","Não")))</f>
        <v>Sim</v>
      </c>
      <c r="L80" s="157">
        <f t="shared" ref="L80:L86" si="17">IF(K80="Sim",J80,"")</f>
        <v>8</v>
      </c>
      <c r="M80" s="397"/>
      <c r="N80" s="398"/>
    </row>
    <row r="81" spans="1:243">
      <c r="A81" s="409"/>
      <c r="B81" s="410"/>
      <c r="C81" s="411"/>
      <c r="D81" s="168" t="s">
        <v>320</v>
      </c>
      <c r="E81" s="399" t="s">
        <v>321</v>
      </c>
      <c r="F81" s="399"/>
      <c r="G81" s="209" t="s">
        <v>322</v>
      </c>
      <c r="H81" s="209" t="s">
        <v>323</v>
      </c>
      <c r="I81" s="155">
        <v>15</v>
      </c>
      <c r="J81" s="156" t="str">
        <f t="shared" si="15"/>
        <v/>
      </c>
      <c r="K81" s="157" t="str">
        <f t="shared" si="16"/>
        <v>Não</v>
      </c>
      <c r="L81" s="157" t="str">
        <f t="shared" si="17"/>
        <v/>
      </c>
      <c r="M81" s="397"/>
      <c r="N81" s="398"/>
    </row>
    <row r="82" spans="1:243" ht="15" customHeight="1">
      <c r="A82" s="409"/>
      <c r="B82" s="410"/>
      <c r="C82" s="411"/>
      <c r="D82" s="168" t="s">
        <v>311</v>
      </c>
      <c r="E82" s="399" t="s">
        <v>375</v>
      </c>
      <c r="F82" s="399"/>
      <c r="G82" s="209" t="s">
        <v>312</v>
      </c>
      <c r="H82" s="209" t="s">
        <v>376</v>
      </c>
      <c r="I82" s="155">
        <v>4</v>
      </c>
      <c r="J82" s="156" t="str">
        <f t="shared" si="15"/>
        <v/>
      </c>
      <c r="K82" s="157" t="str">
        <f t="shared" si="16"/>
        <v>Não</v>
      </c>
      <c r="L82" s="157" t="str">
        <f t="shared" si="17"/>
        <v/>
      </c>
      <c r="M82" s="397"/>
      <c r="N82" s="398"/>
    </row>
    <row r="83" spans="1:243" ht="15" customHeight="1">
      <c r="A83" s="409"/>
      <c r="B83" s="410"/>
      <c r="C83" s="411"/>
      <c r="D83" s="168" t="s">
        <v>379</v>
      </c>
      <c r="E83" s="399" t="s">
        <v>396</v>
      </c>
      <c r="F83" s="399"/>
      <c r="G83" s="209" t="s">
        <v>154</v>
      </c>
      <c r="H83" s="68" t="s">
        <v>406</v>
      </c>
      <c r="I83" s="155">
        <v>9.6</v>
      </c>
      <c r="J83" s="156">
        <f t="shared" si="15"/>
        <v>9.6</v>
      </c>
      <c r="K83" s="157" t="str">
        <f t="shared" si="16"/>
        <v>Sim</v>
      </c>
      <c r="L83" s="157">
        <f t="shared" si="17"/>
        <v>9.6</v>
      </c>
      <c r="M83" s="397"/>
      <c r="N83" s="398"/>
    </row>
    <row r="84" spans="1:243" ht="15" customHeight="1">
      <c r="A84" s="409"/>
      <c r="B84" s="410"/>
      <c r="C84" s="411"/>
      <c r="D84" s="168" t="s">
        <v>379</v>
      </c>
      <c r="E84" s="399" t="s">
        <v>396</v>
      </c>
      <c r="F84" s="399"/>
      <c r="G84" s="68" t="s">
        <v>407</v>
      </c>
      <c r="H84" s="209" t="s">
        <v>408</v>
      </c>
      <c r="I84" s="155">
        <v>10.64</v>
      </c>
      <c r="J84" s="156">
        <f t="shared" si="15"/>
        <v>10.64</v>
      </c>
      <c r="K84" s="157" t="str">
        <f t="shared" si="16"/>
        <v>Sim</v>
      </c>
      <c r="L84" s="157">
        <f t="shared" si="17"/>
        <v>10.64</v>
      </c>
      <c r="M84" s="397"/>
      <c r="N84" s="398"/>
    </row>
    <row r="85" spans="1:243" ht="15" customHeight="1">
      <c r="A85" s="409"/>
      <c r="B85" s="410"/>
      <c r="C85" s="411"/>
      <c r="D85" s="168" t="s">
        <v>379</v>
      </c>
      <c r="E85" s="399" t="s">
        <v>396</v>
      </c>
      <c r="F85" s="399"/>
      <c r="G85" s="209" t="s">
        <v>410</v>
      </c>
      <c r="H85" s="209" t="s">
        <v>409</v>
      </c>
      <c r="I85" s="155">
        <v>11.27</v>
      </c>
      <c r="J85" s="156">
        <f t="shared" si="15"/>
        <v>11.27</v>
      </c>
      <c r="K85" s="157" t="str">
        <f t="shared" si="16"/>
        <v>Sim</v>
      </c>
      <c r="L85" s="157">
        <f t="shared" si="17"/>
        <v>11.27</v>
      </c>
      <c r="M85" s="397"/>
      <c r="N85" s="398"/>
    </row>
    <row r="86" spans="1:243" ht="15" customHeight="1">
      <c r="A86" s="409"/>
      <c r="B86" s="410"/>
      <c r="C86" s="411"/>
      <c r="D86" s="168" t="s">
        <v>379</v>
      </c>
      <c r="E86" s="399" t="s">
        <v>396</v>
      </c>
      <c r="F86" s="399"/>
      <c r="G86" s="67" t="s">
        <v>412</v>
      </c>
      <c r="H86" s="209" t="s">
        <v>411</v>
      </c>
      <c r="I86" s="155">
        <v>11.9</v>
      </c>
      <c r="J86" s="156">
        <f t="shared" si="15"/>
        <v>11.9</v>
      </c>
      <c r="K86" s="157" t="str">
        <f t="shared" si="16"/>
        <v>Sim</v>
      </c>
      <c r="L86" s="157">
        <f t="shared" si="17"/>
        <v>11.9</v>
      </c>
      <c r="M86" s="397"/>
      <c r="N86" s="398"/>
    </row>
    <row r="87" spans="1:243" ht="15" customHeight="1">
      <c r="A87" s="141"/>
      <c r="B87" s="141"/>
      <c r="C87" s="142"/>
      <c r="D87" s="143"/>
      <c r="E87" s="143"/>
      <c r="F87" s="143"/>
      <c r="G87" s="144"/>
      <c r="H87" s="144"/>
      <c r="I87" s="145"/>
      <c r="J87" s="146"/>
      <c r="K87" s="147"/>
      <c r="L87" s="147"/>
      <c r="M87" s="174"/>
      <c r="N87" s="175"/>
    </row>
    <row r="88" spans="1:243" ht="15" customHeight="1">
      <c r="A88" s="394" t="s">
        <v>7</v>
      </c>
      <c r="B88" s="395"/>
      <c r="C88" s="395"/>
      <c r="D88" s="395"/>
      <c r="E88" s="396"/>
      <c r="F88" s="394" t="s">
        <v>8</v>
      </c>
      <c r="G88" s="395"/>
      <c r="H88" s="395"/>
      <c r="I88" s="394" t="s">
        <v>11</v>
      </c>
      <c r="J88" s="395"/>
      <c r="K88" s="395"/>
      <c r="L88" s="396"/>
      <c r="M88" s="390" t="s">
        <v>2</v>
      </c>
      <c r="N88" s="391"/>
    </row>
    <row r="89" spans="1:243" ht="15" customHeight="1">
      <c r="A89" s="406"/>
      <c r="B89" s="407"/>
      <c r="C89" s="407"/>
      <c r="D89" s="407"/>
      <c r="E89" s="408"/>
      <c r="F89" s="403" t="s">
        <v>352</v>
      </c>
      <c r="G89" s="404"/>
      <c r="H89" s="404"/>
      <c r="I89" s="403" t="s">
        <v>16</v>
      </c>
      <c r="J89" s="404"/>
      <c r="K89" s="404"/>
      <c r="L89" s="405"/>
      <c r="M89" s="392" t="s">
        <v>17</v>
      </c>
      <c r="N89" s="393"/>
    </row>
    <row r="90" spans="1:243" ht="21">
      <c r="A90" s="176" t="s">
        <v>10</v>
      </c>
      <c r="B90" s="176" t="s">
        <v>15</v>
      </c>
      <c r="C90" s="176" t="s">
        <v>6</v>
      </c>
      <c r="D90" s="132" t="s">
        <v>4</v>
      </c>
      <c r="E90" s="388" t="s">
        <v>9</v>
      </c>
      <c r="F90" s="389"/>
      <c r="G90" s="133" t="s">
        <v>5</v>
      </c>
      <c r="H90" s="133" t="s">
        <v>1</v>
      </c>
      <c r="I90" s="177" t="s">
        <v>12</v>
      </c>
      <c r="J90" s="178" t="s">
        <v>13</v>
      </c>
      <c r="K90" s="154"/>
      <c r="L90" s="173" t="s">
        <v>14</v>
      </c>
      <c r="M90" s="172" t="s">
        <v>0</v>
      </c>
      <c r="N90" s="173" t="s">
        <v>3</v>
      </c>
    </row>
    <row r="91" spans="1:243" s="1" customFormat="1" ht="15" customHeight="1">
      <c r="A91" s="409"/>
      <c r="B91" s="410"/>
      <c r="C91" s="411">
        <v>6</v>
      </c>
      <c r="D91" s="168" t="s">
        <v>379</v>
      </c>
      <c r="E91" s="399" t="s">
        <v>396</v>
      </c>
      <c r="F91" s="399"/>
      <c r="G91" s="209" t="s">
        <v>154</v>
      </c>
      <c r="H91" s="68" t="s">
        <v>406</v>
      </c>
      <c r="I91" s="155">
        <f>5.8/3</f>
        <v>1.9333333333333333</v>
      </c>
      <c r="J91" s="156" t="str">
        <f>IF(AND((STDEV(I$91:I$94)/AVERAGE(I$91:I$94))&lt;=0.25,ISNUMBER(I91)),I91,IF(AND(I91&lt;=(AVERAGE(I$91:I$94)+STDEV(I$91:I$94)),I91&gt;=(AVERAGE(I$91:I$94)-STDEV(I$91:I$94)),ISNUMBER(I91)),I91,""))</f>
        <v/>
      </c>
      <c r="K91" s="157" t="s">
        <v>310</v>
      </c>
      <c r="L91" s="157" t="str">
        <f>IF(K91="Sim",J91,"")</f>
        <v/>
      </c>
      <c r="M91" s="397">
        <f>ROUND(IF(COUNT(I91:I94)=1,I91,IF((COUNT(L91:L94)&lt;3),MIN(L91:L94),AVERAGE(L91:L94))),2)</f>
        <v>1.1000000000000001</v>
      </c>
      <c r="N91" s="398">
        <f>C91*M91</f>
        <v>6.6000000000000005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</row>
    <row r="92" spans="1:243" ht="15" customHeight="1">
      <c r="A92" s="409"/>
      <c r="B92" s="410"/>
      <c r="C92" s="411"/>
      <c r="D92" s="168" t="s">
        <v>379</v>
      </c>
      <c r="E92" s="399" t="s">
        <v>396</v>
      </c>
      <c r="F92" s="399"/>
      <c r="G92" s="68" t="s">
        <v>407</v>
      </c>
      <c r="H92" s="209" t="s">
        <v>408</v>
      </c>
      <c r="I92" s="155">
        <v>0.9</v>
      </c>
      <c r="J92" s="156">
        <f>IF(AND((STDEV(I$91:I$94)/AVERAGE(I$91:I$94))&lt;=0.25,ISNUMBER(I92)),I92,IF(AND(I92&lt;=(AVERAGE(I$91:I$94)+STDEV(I$91:I$94)),I92&gt;=(AVERAGE(I$91:I$94)-STDEV(I$91:I$94)),ISNUMBER(I92)),I92,""))</f>
        <v>0.9</v>
      </c>
      <c r="K92" s="157" t="s">
        <v>310</v>
      </c>
      <c r="L92" s="157">
        <f>IF(K92="Sim",J92,"")</f>
        <v>0.9</v>
      </c>
      <c r="M92" s="397"/>
      <c r="N92" s="398"/>
    </row>
    <row r="93" spans="1:243" ht="15" customHeight="1">
      <c r="A93" s="409"/>
      <c r="B93" s="410"/>
      <c r="C93" s="411"/>
      <c r="D93" s="168" t="s">
        <v>379</v>
      </c>
      <c r="E93" s="399" t="s">
        <v>396</v>
      </c>
      <c r="F93" s="399"/>
      <c r="G93" s="212" t="s">
        <v>410</v>
      </c>
      <c r="H93" s="209" t="s">
        <v>409</v>
      </c>
      <c r="I93" s="155">
        <v>1.29</v>
      </c>
      <c r="J93" s="156">
        <f>IF(AND((STDEV(I$91:I$94)/AVERAGE(I$91:I$94))&lt;=0.25,ISNUMBER(I93)),I93,IF(AND(I93&lt;=(AVERAGE(I$91:I$94)+STDEV(I$91:I$94)),I93&gt;=(AVERAGE(I$91:I$94)-STDEV(I$91:I$94)),ISNUMBER(I93)),I93,""))</f>
        <v>1.29</v>
      </c>
      <c r="K93" s="157" t="s">
        <v>310</v>
      </c>
      <c r="L93" s="157">
        <f>IF(K93="Sim",J93,"")</f>
        <v>1.29</v>
      </c>
      <c r="M93" s="397"/>
      <c r="N93" s="398"/>
    </row>
    <row r="94" spans="1:243">
      <c r="A94" s="409"/>
      <c r="B94" s="410"/>
      <c r="C94" s="411"/>
      <c r="D94" s="168" t="s">
        <v>379</v>
      </c>
      <c r="E94" s="399" t="s">
        <v>396</v>
      </c>
      <c r="F94" s="399"/>
      <c r="G94" s="67" t="s">
        <v>412</v>
      </c>
      <c r="H94" s="209" t="s">
        <v>411</v>
      </c>
      <c r="I94" s="155">
        <v>1.1000000000000001</v>
      </c>
      <c r="J94" s="156">
        <f>IF(AND((STDEV(I$91:I$94)/AVERAGE(I$91:I$94))&lt;=0.25,ISNUMBER(I94)),I94,IF(AND(I94&lt;=(AVERAGE(I$91:I$94)+STDEV(I$91:I$94)),I94&gt;=(AVERAGE(I$91:I$94)-STDEV(I$91:I$94)),ISNUMBER(I94)),I94,""))</f>
        <v>1.1000000000000001</v>
      </c>
      <c r="K94" s="157" t="s">
        <v>310</v>
      </c>
      <c r="L94" s="157">
        <f>IF(K94="Sim",J94,"")</f>
        <v>1.1000000000000001</v>
      </c>
      <c r="M94" s="397"/>
      <c r="N94" s="398"/>
    </row>
  </sheetData>
  <mergeCells count="161">
    <mergeCell ref="A4:E4"/>
    <mergeCell ref="F4:H4"/>
    <mergeCell ref="I4:L4"/>
    <mergeCell ref="M3:N4"/>
    <mergeCell ref="E1:H1"/>
    <mergeCell ref="I1:N1"/>
    <mergeCell ref="A3:E3"/>
    <mergeCell ref="F3:H3"/>
    <mergeCell ref="I3:L3"/>
    <mergeCell ref="I18:L18"/>
    <mergeCell ref="A19:E19"/>
    <mergeCell ref="F19:H19"/>
    <mergeCell ref="E5:F5"/>
    <mergeCell ref="A6:A16"/>
    <mergeCell ref="B6:B16"/>
    <mergeCell ref="C6:C16"/>
    <mergeCell ref="E6:F6"/>
    <mergeCell ref="M6:M16"/>
    <mergeCell ref="I19:L19"/>
    <mergeCell ref="M18:N19"/>
    <mergeCell ref="N6:N16"/>
    <mergeCell ref="E7:F7"/>
    <mergeCell ref="E8:F8"/>
    <mergeCell ref="E9:F9"/>
    <mergeCell ref="E16:F16"/>
    <mergeCell ref="E15:F15"/>
    <mergeCell ref="I31:L31"/>
    <mergeCell ref="E32:F32"/>
    <mergeCell ref="M30:N31"/>
    <mergeCell ref="N21:N28"/>
    <mergeCell ref="A30:E30"/>
    <mergeCell ref="F30:H30"/>
    <mergeCell ref="I30:L30"/>
    <mergeCell ref="E28:F28"/>
    <mergeCell ref="E27:F27"/>
    <mergeCell ref="A21:A28"/>
    <mergeCell ref="B21:B28"/>
    <mergeCell ref="C21:C28"/>
    <mergeCell ref="M21:M28"/>
    <mergeCell ref="M33:M37"/>
    <mergeCell ref="N33:N37"/>
    <mergeCell ref="E34:F34"/>
    <mergeCell ref="E35:F35"/>
    <mergeCell ref="M42:M47"/>
    <mergeCell ref="A39:E39"/>
    <mergeCell ref="F39:H39"/>
    <mergeCell ref="I39:L39"/>
    <mergeCell ref="A40:E40"/>
    <mergeCell ref="F40:H40"/>
    <mergeCell ref="I40:L40"/>
    <mergeCell ref="M39:N40"/>
    <mergeCell ref="E41:F41"/>
    <mergeCell ref="E47:F47"/>
    <mergeCell ref="A33:A37"/>
    <mergeCell ref="I50:L50"/>
    <mergeCell ref="E51:F51"/>
    <mergeCell ref="M49:N50"/>
    <mergeCell ref="N42:N47"/>
    <mergeCell ref="A49:E49"/>
    <mergeCell ref="F49:H49"/>
    <mergeCell ref="I49:L49"/>
    <mergeCell ref="A42:A47"/>
    <mergeCell ref="B42:B47"/>
    <mergeCell ref="C42:C47"/>
    <mergeCell ref="A50:E50"/>
    <mergeCell ref="F50:H50"/>
    <mergeCell ref="M52:M64"/>
    <mergeCell ref="N52:N64"/>
    <mergeCell ref="E53:F53"/>
    <mergeCell ref="E54:F54"/>
    <mergeCell ref="E55:F55"/>
    <mergeCell ref="E56:F56"/>
    <mergeCell ref="A52:A64"/>
    <mergeCell ref="B52:B64"/>
    <mergeCell ref="C52:C64"/>
    <mergeCell ref="E52:F52"/>
    <mergeCell ref="E62:F62"/>
    <mergeCell ref="E63:F63"/>
    <mergeCell ref="E64:F64"/>
    <mergeCell ref="E83:F83"/>
    <mergeCell ref="E84:F84"/>
    <mergeCell ref="E85:F85"/>
    <mergeCell ref="E10:F10"/>
    <mergeCell ref="E12:F12"/>
    <mergeCell ref="E11:F11"/>
    <mergeCell ref="E14:F14"/>
    <mergeCell ref="E13:F13"/>
    <mergeCell ref="E21:F21"/>
    <mergeCell ref="E22:F22"/>
    <mergeCell ref="E23:F23"/>
    <mergeCell ref="E24:F24"/>
    <mergeCell ref="E25:F25"/>
    <mergeCell ref="E26:F26"/>
    <mergeCell ref="A67:E67"/>
    <mergeCell ref="F67:H67"/>
    <mergeCell ref="B33:B37"/>
    <mergeCell ref="C33:C37"/>
    <mergeCell ref="E33:F33"/>
    <mergeCell ref="A31:E31"/>
    <mergeCell ref="F31:H31"/>
    <mergeCell ref="E20:F20"/>
    <mergeCell ref="A18:E18"/>
    <mergeCell ref="F18:H18"/>
    <mergeCell ref="E68:F68"/>
    <mergeCell ref="E59:F59"/>
    <mergeCell ref="E60:F60"/>
    <mergeCell ref="A66:E66"/>
    <mergeCell ref="F66:H66"/>
    <mergeCell ref="I66:L66"/>
    <mergeCell ref="E61:F61"/>
    <mergeCell ref="A69:A74"/>
    <mergeCell ref="B69:B74"/>
    <mergeCell ref="C69:C74"/>
    <mergeCell ref="E94:F94"/>
    <mergeCell ref="E90:F90"/>
    <mergeCell ref="E86:F86"/>
    <mergeCell ref="E81:F81"/>
    <mergeCell ref="E80:F80"/>
    <mergeCell ref="A77:E77"/>
    <mergeCell ref="M69:M74"/>
    <mergeCell ref="N69:N74"/>
    <mergeCell ref="E70:F70"/>
    <mergeCell ref="A91:A94"/>
    <mergeCell ref="B91:B94"/>
    <mergeCell ref="C91:C94"/>
    <mergeCell ref="E91:F91"/>
    <mergeCell ref="M91:M94"/>
    <mergeCell ref="N91:N94"/>
    <mergeCell ref="E92:F92"/>
    <mergeCell ref="E93:F93"/>
    <mergeCell ref="A88:E88"/>
    <mergeCell ref="F88:H88"/>
    <mergeCell ref="I88:L88"/>
    <mergeCell ref="A89:E89"/>
    <mergeCell ref="F89:H89"/>
    <mergeCell ref="I89:L89"/>
    <mergeCell ref="M88:N89"/>
    <mergeCell ref="M66:N67"/>
    <mergeCell ref="E82:F82"/>
    <mergeCell ref="E57:F57"/>
    <mergeCell ref="E36:F36"/>
    <mergeCell ref="E58:F58"/>
    <mergeCell ref="E37:F37"/>
    <mergeCell ref="E74:F74"/>
    <mergeCell ref="E73:F73"/>
    <mergeCell ref="E72:F72"/>
    <mergeCell ref="E71:F71"/>
    <mergeCell ref="M79:M86"/>
    <mergeCell ref="N79:N86"/>
    <mergeCell ref="F77:H77"/>
    <mergeCell ref="A76:E76"/>
    <mergeCell ref="F76:H76"/>
    <mergeCell ref="I76:L76"/>
    <mergeCell ref="M76:N77"/>
    <mergeCell ref="I77:L77"/>
    <mergeCell ref="E78:F78"/>
    <mergeCell ref="A79:A86"/>
    <mergeCell ref="B79:B86"/>
    <mergeCell ref="C79:C86"/>
    <mergeCell ref="E79:F79"/>
    <mergeCell ref="I67:L67"/>
  </mergeCells>
  <hyperlinks>
    <hyperlink ref="G36" r:id="rId1" xr:uid="{00000000-0004-0000-0600-000000000000}"/>
    <hyperlink ref="G58" r:id="rId2" xr:uid="{00000000-0004-0000-0600-000001000000}"/>
    <hyperlink ref="G57" r:id="rId3" xr:uid="{00000000-0004-0000-0600-000002000000}"/>
    <hyperlink ref="G59" r:id="rId4" xr:uid="{00000000-0004-0000-0600-000003000000}"/>
    <hyperlink ref="G60" r:id="rId5" xr:uid="{00000000-0004-0000-0600-000004000000}"/>
    <hyperlink ref="G61" r:id="rId6" xr:uid="{00000000-0004-0000-0600-000005000000}"/>
    <hyperlink ref="G62" r:id="rId7" xr:uid="{00000000-0004-0000-0600-000006000000}"/>
    <hyperlink ref="G63" r:id="rId8" xr:uid="{00000000-0004-0000-0600-000007000000}"/>
    <hyperlink ref="G64" r:id="rId9" xr:uid="{00000000-0004-0000-0600-000008000000}"/>
    <hyperlink ref="G91" r:id="rId10" xr:uid="{00000000-0004-0000-0600-000009000000}"/>
    <hyperlink ref="G83" r:id="rId11" xr:uid="{00000000-0004-0000-0600-00000A000000}"/>
    <hyperlink ref="G84" r:id="rId12" xr:uid="{00000000-0004-0000-0600-00000B000000}"/>
    <hyperlink ref="G92" r:id="rId13" xr:uid="{00000000-0004-0000-0600-00000C000000}"/>
    <hyperlink ref="G93" r:id="rId14" xr:uid="{00000000-0004-0000-0600-00000D000000}"/>
    <hyperlink ref="G85" r:id="rId15" xr:uid="{00000000-0004-0000-0600-00000E000000}"/>
    <hyperlink ref="G86" r:id="rId16" xr:uid="{00000000-0004-0000-0600-00000F000000}"/>
    <hyperlink ref="G94" r:id="rId17" xr:uid="{00000000-0004-0000-0600-000010000000}"/>
    <hyperlink ref="G16" r:id="rId18" xr:uid="{00000000-0004-0000-0600-000011000000}"/>
    <hyperlink ref="G15" r:id="rId19" display="http://www.lojapramil.com.br" xr:uid="{00000000-0004-0000-0600-000012000000}"/>
    <hyperlink ref="G14" r:id="rId20" display="https://www.giloplastic.com.br" xr:uid="{00000000-0004-0000-0600-000013000000}"/>
    <hyperlink ref="G13" r:id="rId21" display="http://www.comandosartmil.com.br/A-Empresa" xr:uid="{00000000-0004-0000-0600-000014000000}"/>
    <hyperlink ref="G12" r:id="rId22" display="https://www.militarbrasil.com.br" xr:uid="{00000000-0004-0000-0600-000015000000}"/>
    <hyperlink ref="G11" r:id="rId23" display="http://www.vigilanteshop.com.br" xr:uid="{00000000-0004-0000-0600-000016000000}"/>
    <hyperlink ref="G28" r:id="rId24" xr:uid="{00000000-0004-0000-0600-000017000000}"/>
    <hyperlink ref="G37" r:id="rId25" xr:uid="{00000000-0004-0000-0600-000018000000}"/>
    <hyperlink ref="G45" r:id="rId26" xr:uid="{00000000-0004-0000-0600-000019000000}"/>
    <hyperlink ref="G46" r:id="rId27" display="https://www.citerol.com.br" xr:uid="{00000000-0004-0000-0600-00001A000000}"/>
    <hyperlink ref="G72" r:id="rId28" display="https://www.cayanarmas.com.br/" xr:uid="{00000000-0004-0000-0600-00001B000000}"/>
  </hyperlinks>
  <printOptions horizontalCentered="1"/>
  <pageMargins left="0.51181102362204722" right="0.51181102362204722" top="0.78740157480314965" bottom="0.78740157480314965" header="0.31496062992125984" footer="0.31496062992125984"/>
  <pageSetup paperSize="9" scale="81" fitToHeight="0" orientation="landscape" r:id="rId29"/>
  <drawing r:id="rId3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1"/>
  <sheetViews>
    <sheetView showGridLines="0" workbookViewId="0">
      <selection activeCell="R19" sqref="R19"/>
    </sheetView>
  </sheetViews>
  <sheetFormatPr defaultColWidth="9.1796875" defaultRowHeight="14.5"/>
  <cols>
    <col min="1" max="1" width="4" customWidth="1"/>
    <col min="2" max="2" width="4.26953125" customWidth="1"/>
    <col min="3" max="3" width="4.453125" customWidth="1"/>
    <col min="7" max="7" width="42.453125" bestFit="1" customWidth="1"/>
    <col min="8" max="8" width="57.26953125" bestFit="1" customWidth="1"/>
    <col min="9" max="9" width="8.54296875" customWidth="1"/>
    <col min="10" max="10" width="9.1796875" hidden="1" customWidth="1"/>
    <col min="11" max="11" width="5.81640625" customWidth="1"/>
    <col min="12" max="12" width="9.1796875" hidden="1" customWidth="1"/>
    <col min="13" max="13" width="6.453125" customWidth="1"/>
    <col min="14" max="14" width="10.453125" customWidth="1"/>
  </cols>
  <sheetData>
    <row r="1" spans="1:14" ht="35.25" customHeight="1">
      <c r="A1" s="470"/>
      <c r="B1" s="471"/>
      <c r="C1" s="471"/>
      <c r="D1" s="471"/>
      <c r="E1" s="472"/>
      <c r="F1" s="452" t="s">
        <v>319</v>
      </c>
      <c r="G1" s="453"/>
      <c r="H1" s="453"/>
      <c r="I1" s="454" t="s">
        <v>19</v>
      </c>
      <c r="J1" s="455"/>
      <c r="K1" s="455"/>
      <c r="L1" s="455"/>
      <c r="M1" s="455"/>
      <c r="N1" s="456"/>
    </row>
    <row r="2" spans="1:14">
      <c r="A2" s="445" t="s">
        <v>7</v>
      </c>
      <c r="B2" s="395"/>
      <c r="C2" s="395"/>
      <c r="D2" s="395"/>
      <c r="E2" s="396"/>
      <c r="F2" s="394" t="s">
        <v>8</v>
      </c>
      <c r="G2" s="395"/>
      <c r="H2" s="395"/>
      <c r="I2" s="394" t="s">
        <v>11</v>
      </c>
      <c r="J2" s="395"/>
      <c r="K2" s="395"/>
      <c r="L2" s="396"/>
      <c r="M2" s="441" t="s">
        <v>307</v>
      </c>
      <c r="N2" s="442"/>
    </row>
    <row r="3" spans="1:14" ht="15.75" customHeight="1">
      <c r="A3" s="446"/>
      <c r="B3" s="417"/>
      <c r="C3" s="417"/>
      <c r="D3" s="417"/>
      <c r="E3" s="418"/>
      <c r="F3" s="447" t="s">
        <v>362</v>
      </c>
      <c r="G3" s="448"/>
      <c r="H3" s="449"/>
      <c r="I3" s="450" t="s">
        <v>148</v>
      </c>
      <c r="J3" s="451"/>
      <c r="K3" s="451"/>
      <c r="L3" s="153"/>
      <c r="M3" s="443"/>
      <c r="N3" s="444"/>
    </row>
    <row r="4" spans="1:14" ht="21">
      <c r="A4" s="193" t="s">
        <v>10</v>
      </c>
      <c r="B4" s="131" t="s">
        <v>15</v>
      </c>
      <c r="C4" s="131" t="s">
        <v>6</v>
      </c>
      <c r="D4" s="132" t="s">
        <v>4</v>
      </c>
      <c r="E4" s="388" t="s">
        <v>9</v>
      </c>
      <c r="F4" s="389"/>
      <c r="G4" s="133" t="s">
        <v>5</v>
      </c>
      <c r="H4" s="133" t="s">
        <v>1</v>
      </c>
      <c r="I4" s="134" t="s">
        <v>12</v>
      </c>
      <c r="J4" s="135" t="s">
        <v>13</v>
      </c>
      <c r="K4" s="136"/>
      <c r="L4" s="152" t="s">
        <v>14</v>
      </c>
      <c r="M4" s="137" t="s">
        <v>0</v>
      </c>
      <c r="N4" s="194" t="s">
        <v>3</v>
      </c>
    </row>
    <row r="5" spans="1:14">
      <c r="A5" s="460"/>
      <c r="B5" s="426"/>
      <c r="C5" s="464">
        <v>1</v>
      </c>
      <c r="D5" s="467"/>
      <c r="E5" s="468"/>
      <c r="F5" s="468"/>
      <c r="G5" s="468"/>
      <c r="H5" s="468"/>
      <c r="I5" s="468"/>
      <c r="J5" s="468"/>
      <c r="K5" s="469"/>
      <c r="L5" s="154"/>
      <c r="M5" s="479">
        <f>ROUND(IF(COUNT(I6:I13)=1,I6,IF((COUNT(L6:L13)&lt;3),MIN(L6:L13),AVERAGE(L6:L13))),2)</f>
        <v>6.09</v>
      </c>
      <c r="N5" s="482">
        <f>C5*M5</f>
        <v>6.09</v>
      </c>
    </row>
    <row r="6" spans="1:14">
      <c r="A6" s="461"/>
      <c r="B6" s="427"/>
      <c r="C6" s="465"/>
      <c r="D6" s="184" t="s">
        <v>315</v>
      </c>
      <c r="E6" s="412" t="s">
        <v>317</v>
      </c>
      <c r="F6" s="412"/>
      <c r="G6" s="209" t="s">
        <v>318</v>
      </c>
      <c r="H6" s="209" t="s">
        <v>316</v>
      </c>
      <c r="I6" s="155">
        <v>23.29</v>
      </c>
      <c r="J6" s="156" t="str">
        <f t="shared" ref="J6:J13" si="0">IF(AND((STDEV(I$6:I$13)/AVERAGE(I$6:I$13))&lt;=0.25,ISNUMBER(I6)),I6,IF(AND(I6&lt;=(AVERAGE(I$6:I$13)+STDEV(I$6:I$13)),I6&gt;=(AVERAGE(I$6:I$13)-STDEV(I$6:I$13)),ISNUMBER(I6)),I6,""))</f>
        <v/>
      </c>
      <c r="K6" s="157" t="str">
        <f t="shared" ref="K6:K13" si="1">IF(I6="","",IF(AND(COUNT(I$6:I$13)=1,ISNUMBER(I6)),"Sim",IF(AND((STDEV(J$6:J$13)/AVERAGE(J$6:J$13))&lt;0.25,ISNUMBER(J6)),"Sim",IF(AND(J6&lt;=(AVERAGE(J$6:J$13)+STDEV(J$6:J$13)),J6&gt;=(AVERAGE(J$6:J$13)-STDEV(J$6:J$13)),ISNUMBER(J6)),"Sim","Não"))))</f>
        <v>Não</v>
      </c>
      <c r="L6" s="157" t="str">
        <f t="shared" ref="L6:L12" si="2">IF(K6="Sim",J6,"")</f>
        <v/>
      </c>
      <c r="M6" s="480"/>
      <c r="N6" s="483"/>
    </row>
    <row r="7" spans="1:14">
      <c r="A7" s="461"/>
      <c r="B7" s="427"/>
      <c r="C7" s="465"/>
      <c r="D7" s="184" t="s">
        <v>364</v>
      </c>
      <c r="E7" s="412" t="s">
        <v>366</v>
      </c>
      <c r="F7" s="412"/>
      <c r="G7" s="209" t="s">
        <v>363</v>
      </c>
      <c r="H7" s="209" t="s">
        <v>365</v>
      </c>
      <c r="I7" s="155">
        <v>4.8</v>
      </c>
      <c r="J7" s="156">
        <f t="shared" si="0"/>
        <v>4.8</v>
      </c>
      <c r="K7" s="157" t="str">
        <f t="shared" si="1"/>
        <v>Sim</v>
      </c>
      <c r="L7" s="157">
        <f t="shared" si="2"/>
        <v>4.8</v>
      </c>
      <c r="M7" s="480"/>
      <c r="N7" s="483"/>
    </row>
    <row r="8" spans="1:14">
      <c r="A8" s="461"/>
      <c r="B8" s="427"/>
      <c r="C8" s="465"/>
      <c r="D8" s="184" t="s">
        <v>368</v>
      </c>
      <c r="E8" s="412" t="s">
        <v>370</v>
      </c>
      <c r="F8" s="412"/>
      <c r="G8" s="209" t="s">
        <v>367</v>
      </c>
      <c r="H8" s="209" t="s">
        <v>369</v>
      </c>
      <c r="I8" s="162">
        <v>5.0999999999999996</v>
      </c>
      <c r="J8" s="156">
        <f t="shared" si="0"/>
        <v>5.0999999999999996</v>
      </c>
      <c r="K8" s="157" t="str">
        <f t="shared" si="1"/>
        <v>Sim</v>
      </c>
      <c r="L8" s="157">
        <f t="shared" si="2"/>
        <v>5.0999999999999996</v>
      </c>
      <c r="M8" s="480"/>
      <c r="N8" s="483"/>
    </row>
    <row r="9" spans="1:14">
      <c r="A9" s="461"/>
      <c r="B9" s="427"/>
      <c r="C9" s="465"/>
      <c r="D9" s="184" t="s">
        <v>309</v>
      </c>
      <c r="E9" s="412" t="s">
        <v>373</v>
      </c>
      <c r="F9" s="412"/>
      <c r="G9" s="209" t="s">
        <v>371</v>
      </c>
      <c r="H9" s="209" t="s">
        <v>372</v>
      </c>
      <c r="I9" s="155">
        <v>10.63</v>
      </c>
      <c r="J9" s="156">
        <f t="shared" si="0"/>
        <v>10.63</v>
      </c>
      <c r="K9" s="157" t="str">
        <f t="shared" si="1"/>
        <v>Não</v>
      </c>
      <c r="L9" s="157" t="str">
        <f t="shared" si="2"/>
        <v/>
      </c>
      <c r="M9" s="480"/>
      <c r="N9" s="483"/>
    </row>
    <row r="10" spans="1:14">
      <c r="A10" s="461"/>
      <c r="B10" s="427"/>
      <c r="C10" s="465"/>
      <c r="D10" s="184" t="s">
        <v>324</v>
      </c>
      <c r="E10" s="424" t="s">
        <v>325</v>
      </c>
      <c r="F10" s="425"/>
      <c r="G10" s="209" t="s">
        <v>326</v>
      </c>
      <c r="H10" s="209" t="s">
        <v>388</v>
      </c>
      <c r="I10" s="155">
        <v>7.43</v>
      </c>
      <c r="J10" s="156">
        <f t="shared" si="0"/>
        <v>7.43</v>
      </c>
      <c r="K10" s="157" t="str">
        <f t="shared" si="1"/>
        <v>Sim</v>
      </c>
      <c r="L10" s="157">
        <f t="shared" si="2"/>
        <v>7.43</v>
      </c>
      <c r="M10" s="480"/>
      <c r="N10" s="483"/>
    </row>
    <row r="11" spans="1:14">
      <c r="A11" s="461"/>
      <c r="B11" s="427"/>
      <c r="C11" s="465"/>
      <c r="D11" s="184" t="s">
        <v>390</v>
      </c>
      <c r="E11" s="424" t="s">
        <v>389</v>
      </c>
      <c r="F11" s="425"/>
      <c r="G11" s="209" t="s">
        <v>326</v>
      </c>
      <c r="H11" s="209" t="s">
        <v>376</v>
      </c>
      <c r="I11" s="155">
        <v>6</v>
      </c>
      <c r="J11" s="156">
        <f t="shared" si="0"/>
        <v>6</v>
      </c>
      <c r="K11" s="157" t="str">
        <f t="shared" si="1"/>
        <v>Sim</v>
      </c>
      <c r="L11" s="157">
        <f t="shared" si="2"/>
        <v>6</v>
      </c>
      <c r="M11" s="480"/>
      <c r="N11" s="483"/>
    </row>
    <row r="12" spans="1:14">
      <c r="A12" s="461"/>
      <c r="B12" s="427"/>
      <c r="C12" s="465"/>
      <c r="D12" s="168" t="s">
        <v>320</v>
      </c>
      <c r="E12" s="399" t="s">
        <v>321</v>
      </c>
      <c r="F12" s="399"/>
      <c r="G12" s="209" t="s">
        <v>322</v>
      </c>
      <c r="H12" s="209" t="s">
        <v>323</v>
      </c>
      <c r="I12" s="155">
        <v>8.11</v>
      </c>
      <c r="J12" s="156">
        <f t="shared" si="0"/>
        <v>8.11</v>
      </c>
      <c r="K12" s="157" t="str">
        <f t="shared" si="1"/>
        <v>Sim</v>
      </c>
      <c r="L12" s="157">
        <f t="shared" si="2"/>
        <v>8.11</v>
      </c>
      <c r="M12" s="480"/>
      <c r="N12" s="483"/>
    </row>
    <row r="13" spans="1:14" ht="15" thickBot="1">
      <c r="A13" s="462"/>
      <c r="B13" s="463"/>
      <c r="C13" s="466"/>
      <c r="D13" s="195" t="s">
        <v>311</v>
      </c>
      <c r="E13" s="457" t="s">
        <v>375</v>
      </c>
      <c r="F13" s="457"/>
      <c r="G13" s="210" t="s">
        <v>312</v>
      </c>
      <c r="H13" s="210" t="s">
        <v>376</v>
      </c>
      <c r="I13" s="196">
        <v>5.07</v>
      </c>
      <c r="J13" s="197">
        <f t="shared" si="0"/>
        <v>5.07</v>
      </c>
      <c r="K13" s="198" t="str">
        <f t="shared" si="1"/>
        <v>Sim</v>
      </c>
      <c r="L13" s="198">
        <f>IF(K13="Sim",J13,"")</f>
        <v>5.07</v>
      </c>
      <c r="M13" s="481"/>
      <c r="N13" s="484"/>
    </row>
    <row r="14" spans="1:14" ht="15" thickBot="1">
      <c r="A14" s="141"/>
      <c r="B14" s="141"/>
      <c r="C14" s="142"/>
      <c r="D14" s="143"/>
      <c r="E14" s="143"/>
      <c r="F14" s="143"/>
      <c r="G14" s="144"/>
      <c r="H14" s="144"/>
      <c r="I14" s="145"/>
      <c r="J14" s="146"/>
      <c r="K14" s="147"/>
      <c r="L14" s="147"/>
    </row>
    <row r="15" spans="1:14" ht="15" thickBot="1">
      <c r="A15" s="473" t="s">
        <v>327</v>
      </c>
      <c r="B15" s="474"/>
      <c r="C15" s="474"/>
      <c r="D15" s="474"/>
      <c r="E15" s="474"/>
      <c r="F15" s="474"/>
      <c r="G15" s="474"/>
      <c r="H15" s="474"/>
      <c r="I15" s="474"/>
      <c r="J15" s="474"/>
      <c r="K15" s="474"/>
      <c r="L15" s="203"/>
      <c r="M15" s="458">
        <f>N5*4</f>
        <v>24.36</v>
      </c>
      <c r="N15" s="459"/>
    </row>
    <row r="16" spans="1:14" ht="15" thickBot="1">
      <c r="A16" s="475" t="s">
        <v>328</v>
      </c>
      <c r="B16" s="476"/>
      <c r="C16" s="476"/>
      <c r="D16" s="476"/>
      <c r="E16" s="476"/>
      <c r="F16" s="476"/>
      <c r="G16" s="476"/>
      <c r="H16" s="476"/>
      <c r="I16" s="476"/>
      <c r="J16" s="476"/>
      <c r="K16" s="476"/>
      <c r="L16" s="203"/>
      <c r="M16" s="477">
        <f>M15*12</f>
        <v>292.32</v>
      </c>
      <c r="N16" s="478"/>
    </row>
    <row r="18" spans="1:14" ht="15" thickBot="1"/>
    <row r="19" spans="1:14" ht="36.75" customHeight="1">
      <c r="A19" s="470"/>
      <c r="B19" s="471"/>
      <c r="C19" s="471"/>
      <c r="D19" s="471"/>
      <c r="E19" s="472"/>
      <c r="F19" s="452" t="s">
        <v>445</v>
      </c>
      <c r="G19" s="453"/>
      <c r="H19" s="453"/>
      <c r="I19" s="454" t="s">
        <v>19</v>
      </c>
      <c r="J19" s="455"/>
      <c r="K19" s="455"/>
      <c r="L19" s="455"/>
      <c r="M19" s="455"/>
      <c r="N19" s="456"/>
    </row>
    <row r="20" spans="1:14">
      <c r="A20" s="445" t="s">
        <v>7</v>
      </c>
      <c r="B20" s="395"/>
      <c r="C20" s="395"/>
      <c r="D20" s="395"/>
      <c r="E20" s="396"/>
      <c r="F20" s="394" t="s">
        <v>8</v>
      </c>
      <c r="G20" s="395"/>
      <c r="H20" s="395"/>
      <c r="I20" s="394" t="s">
        <v>11</v>
      </c>
      <c r="J20" s="395"/>
      <c r="K20" s="395"/>
      <c r="L20" s="396"/>
      <c r="M20" s="441" t="s">
        <v>307</v>
      </c>
      <c r="N20" s="442"/>
    </row>
    <row r="21" spans="1:14" ht="15.75" customHeight="1">
      <c r="A21" s="446"/>
      <c r="B21" s="417"/>
      <c r="C21" s="417"/>
      <c r="D21" s="417"/>
      <c r="E21" s="418"/>
      <c r="F21" s="447" t="s">
        <v>374</v>
      </c>
      <c r="G21" s="448"/>
      <c r="H21" s="449"/>
      <c r="I21" s="450" t="s">
        <v>148</v>
      </c>
      <c r="J21" s="451"/>
      <c r="K21" s="451"/>
      <c r="L21" s="153"/>
      <c r="M21" s="443"/>
      <c r="N21" s="444"/>
    </row>
    <row r="22" spans="1:14" ht="21">
      <c r="A22" s="193" t="s">
        <v>10</v>
      </c>
      <c r="B22" s="131" t="s">
        <v>15</v>
      </c>
      <c r="C22" s="131" t="s">
        <v>6</v>
      </c>
      <c r="D22" s="132" t="s">
        <v>4</v>
      </c>
      <c r="E22" s="388" t="s">
        <v>9</v>
      </c>
      <c r="F22" s="389"/>
      <c r="G22" s="133" t="s">
        <v>5</v>
      </c>
      <c r="H22" s="133" t="s">
        <v>1</v>
      </c>
      <c r="I22" s="134" t="s">
        <v>12</v>
      </c>
      <c r="J22" s="135" t="s">
        <v>13</v>
      </c>
      <c r="K22" s="136"/>
      <c r="L22" s="152" t="s">
        <v>14</v>
      </c>
      <c r="M22" s="137" t="s">
        <v>0</v>
      </c>
      <c r="N22" s="194" t="s">
        <v>3</v>
      </c>
    </row>
    <row r="23" spans="1:14">
      <c r="A23" s="460"/>
      <c r="B23" s="426"/>
      <c r="C23" s="464">
        <v>1</v>
      </c>
      <c r="D23" s="467"/>
      <c r="E23" s="468"/>
      <c r="F23" s="468"/>
      <c r="G23" s="468"/>
      <c r="H23" s="468"/>
      <c r="I23" s="468"/>
      <c r="J23" s="468"/>
      <c r="K23" s="469"/>
      <c r="L23" s="154"/>
      <c r="M23" s="479">
        <f>ROUND(IF(COUNT(I24:I28)=1,I24,IF((COUNT(L24:L28)&lt;3),MIN(L24:L28),AVERAGE(L24:L28))),2)</f>
        <v>110</v>
      </c>
      <c r="N23" s="482">
        <f>C23*M23</f>
        <v>110</v>
      </c>
    </row>
    <row r="24" spans="1:14">
      <c r="A24" s="461"/>
      <c r="B24" s="427"/>
      <c r="C24" s="465"/>
      <c r="D24" s="184" t="s">
        <v>368</v>
      </c>
      <c r="E24" s="412" t="s">
        <v>370</v>
      </c>
      <c r="F24" s="412"/>
      <c r="G24" s="209" t="s">
        <v>367</v>
      </c>
      <c r="H24" s="209" t="s">
        <v>369</v>
      </c>
      <c r="I24" s="155">
        <v>49.14</v>
      </c>
      <c r="J24" s="156" t="str">
        <f>IF(AND((STDEV(I$24:I$28)/AVERAGE(I$24:I$28))&lt;=0.25,ISNUMBER(I24)),I24,IF(AND(I24&lt;=(AVERAGE(I$24:I$28)+STDEV(I$24:I$28)),I24&gt;=(AVERAGE(I$24:I$28)-STDEV(I$24:I$28)),ISNUMBER(I24)),I24,""))</f>
        <v/>
      </c>
      <c r="K24" s="157" t="str">
        <f>IF(I24="","",IF(AND(COUNT(I$24:I$28)=1,ISNUMBER(I24)),"Sim",IF(AND((STDEV(J$24:J$28)/AVERAGE(J$24:J$28))&lt;0.25,ISNUMBER(J24)),"Sim",IF(AND(J24&lt;=(AVERAGE(J$24:J$28)+STDEV(J$24:J$28)),J24&gt;=(AVERAGE(J$24:J$28)-STDEV(J$24:J$28)),ISNUMBER(J24)),"Sim","Não"))))</f>
        <v>Não</v>
      </c>
      <c r="L24" s="157" t="str">
        <f>IF(K24="Sim",J24,"")</f>
        <v/>
      </c>
      <c r="M24" s="480"/>
      <c r="N24" s="483"/>
    </row>
    <row r="25" spans="1:14">
      <c r="A25" s="461"/>
      <c r="B25" s="427"/>
      <c r="C25" s="465"/>
      <c r="D25" s="184" t="s">
        <v>309</v>
      </c>
      <c r="E25" s="412" t="s">
        <v>373</v>
      </c>
      <c r="F25" s="412"/>
      <c r="G25" s="209" t="s">
        <v>371</v>
      </c>
      <c r="H25" s="209" t="s">
        <v>372</v>
      </c>
      <c r="I25" s="155">
        <v>129.68</v>
      </c>
      <c r="J25" s="156">
        <f>IF(AND((STDEV(I$24:I$28)/AVERAGE(I$24:I$28))&lt;=0.25,ISNUMBER(I25)),I25,IF(AND(I25&lt;=(AVERAGE(I$24:I$28)+STDEV(I$24:I$28)),I25&gt;=(AVERAGE(I$24:I$28)-STDEV(I$24:I$28)),ISNUMBER(I25)),I25,""))</f>
        <v>129.68</v>
      </c>
      <c r="K25" s="157" t="str">
        <f>IF(I25="","",IF(AND(COUNT(I$24:I$28)=1,ISNUMBER(I25)),"Sim",IF(AND((STDEV(J$24:J$28)/AVERAGE(J$24:J$28))&lt;0.25,ISNUMBER(J25)),"Sim",IF(AND(J25&lt;=(AVERAGE(J$24:J$28)+STDEV(J$24:J$28)),J25&gt;=(AVERAGE(J$24:J$28)-STDEV(J$24:J$28)),ISNUMBER(J25)),"Sim","Não"))))</f>
        <v>Sim</v>
      </c>
      <c r="L25" s="157">
        <f>IF(K25="Sim",J25,"")</f>
        <v>129.68</v>
      </c>
      <c r="M25" s="480"/>
      <c r="N25" s="483"/>
    </row>
    <row r="26" spans="1:14">
      <c r="A26" s="461"/>
      <c r="B26" s="427"/>
      <c r="C26" s="465"/>
      <c r="D26" s="168" t="s">
        <v>320</v>
      </c>
      <c r="E26" s="399" t="s">
        <v>321</v>
      </c>
      <c r="F26" s="399"/>
      <c r="G26" s="209" t="s">
        <v>322</v>
      </c>
      <c r="H26" s="209" t="s">
        <v>323</v>
      </c>
      <c r="I26" s="162">
        <v>142.13999999999999</v>
      </c>
      <c r="J26" s="156" t="str">
        <f>IF(AND((STDEV(I$24:I$28)/AVERAGE(I$24:I$28))&lt;=0.25,ISNUMBER(I26)),I26,IF(AND(I26&lt;=(AVERAGE(I$24:I$28)+STDEV(I$24:I$28)),I26&gt;=(AVERAGE(I$24:I$28)-STDEV(I$24:I$28)),ISNUMBER(I26)),I26,""))</f>
        <v/>
      </c>
      <c r="K26" s="157" t="str">
        <f>IF(I26="","",IF(AND(COUNT(I$24:I$28)=1,ISNUMBER(I26)),"Sim",IF(AND((STDEV(J$24:J$28)/AVERAGE(J$24:J$28))&lt;0.25,ISNUMBER(J26)),"Sim",IF(AND(J26&lt;=(AVERAGE(J$24:J$28)+STDEV(J$24:J$28)),J26&gt;=(AVERAGE(J$24:J$28)-STDEV(J$24:J$28)),ISNUMBER(J26)),"Sim","Não"))))</f>
        <v>Não</v>
      </c>
      <c r="L26" s="157" t="str">
        <f>IF(K26="Sim",J26,"")</f>
        <v/>
      </c>
      <c r="M26" s="480"/>
      <c r="N26" s="483"/>
    </row>
    <row r="27" spans="1:14">
      <c r="A27" s="461"/>
      <c r="B27" s="427"/>
      <c r="C27" s="465"/>
      <c r="D27" s="168" t="s">
        <v>311</v>
      </c>
      <c r="E27" s="399" t="s">
        <v>375</v>
      </c>
      <c r="F27" s="399"/>
      <c r="G27" s="209" t="s">
        <v>312</v>
      </c>
      <c r="H27" s="209" t="s">
        <v>376</v>
      </c>
      <c r="I27" s="155">
        <v>62.27</v>
      </c>
      <c r="J27" s="156">
        <f>IF(AND((STDEV(I$24:I$28)/AVERAGE(I$24:I$28))&lt;=0.25,ISNUMBER(I27)),I27,IF(AND(I27&lt;=(AVERAGE(I$24:I$28)+STDEV(I$24:I$28)),I27&gt;=(AVERAGE(I$24:I$28)-STDEV(I$24:I$28)),ISNUMBER(I27)),I27,""))</f>
        <v>62.27</v>
      </c>
      <c r="K27" s="157" t="str">
        <f>IF(I27="","",IF(AND(COUNT(I$24:I$28)=1,ISNUMBER(I27)),"Sim",IF(AND((STDEV(J$24:J$28)/AVERAGE(J$24:J$28))&lt;0.25,ISNUMBER(J27)),"Sim",IF(AND(J27&lt;=(AVERAGE(J$24:J$28)+STDEV(J$24:J$28)),J27&gt;=(AVERAGE(J$24:J$28)-STDEV(J$24:J$28)),ISNUMBER(J27)),"Sim","Não"))))</f>
        <v>Não</v>
      </c>
      <c r="L27" s="157" t="str">
        <f>IF(K27="Sim",J27,"")</f>
        <v/>
      </c>
      <c r="M27" s="480"/>
      <c r="N27" s="483"/>
    </row>
    <row r="28" spans="1:14" ht="15" thickBot="1">
      <c r="A28" s="462"/>
      <c r="B28" s="463"/>
      <c r="C28" s="466"/>
      <c r="D28" s="251" t="s">
        <v>390</v>
      </c>
      <c r="E28" s="485" t="s">
        <v>389</v>
      </c>
      <c r="F28" s="486"/>
      <c r="G28" s="210" t="s">
        <v>326</v>
      </c>
      <c r="H28" s="210" t="s">
        <v>376</v>
      </c>
      <c r="I28" s="196">
        <v>110</v>
      </c>
      <c r="J28" s="197">
        <f>IF(AND((STDEV(I$24:I$28)/AVERAGE(I$24:I$28))&lt;=0.25,ISNUMBER(I28)),I28,IF(AND(I28&lt;=(AVERAGE(I$24:I$28)+STDEV(I$24:I$28)),I28&gt;=(AVERAGE(I$24:I$28)-STDEV(I$24:I$28)),ISNUMBER(I28)),I28,""))</f>
        <v>110</v>
      </c>
      <c r="K28" s="198" t="str">
        <f>IF(I28="","",IF(AND(COUNT(I$24:I$28)=1,ISNUMBER(I28)),"Sim",IF(AND((STDEV(J$24:J$28)/AVERAGE(J$24:J$28))&lt;0.25,ISNUMBER(J28)),"Sim",IF(AND(J28&lt;=(AVERAGE(J$24:J$28)+STDEV(J$24:J$28)),J28&gt;=(AVERAGE(J$24:J$28)-STDEV(J$24:J$28)),ISNUMBER(J28)),"Sim","Não"))))</f>
        <v>Sim</v>
      </c>
      <c r="L28" s="198">
        <f>IF(K28="Sim",J28,"")</f>
        <v>110</v>
      </c>
      <c r="M28" s="481"/>
      <c r="N28" s="484"/>
    </row>
    <row r="29" spans="1:14" ht="15" thickBot="1">
      <c r="A29" s="141"/>
      <c r="B29" s="141"/>
      <c r="C29" s="142"/>
      <c r="D29" s="143"/>
      <c r="E29" s="143"/>
      <c r="F29" s="143"/>
      <c r="G29" s="144"/>
      <c r="H29" s="144"/>
      <c r="I29" s="145"/>
      <c r="J29" s="146"/>
      <c r="K29" s="147"/>
      <c r="L29" s="147"/>
    </row>
    <row r="30" spans="1:14" ht="15" thickBot="1">
      <c r="A30" s="473" t="s">
        <v>327</v>
      </c>
      <c r="B30" s="474"/>
      <c r="C30" s="474"/>
      <c r="D30" s="474"/>
      <c r="E30" s="474"/>
      <c r="F30" s="474"/>
      <c r="G30" s="474"/>
      <c r="H30" s="474"/>
      <c r="I30" s="474"/>
      <c r="J30" s="474"/>
      <c r="K30" s="474"/>
      <c r="L30" s="203"/>
      <c r="M30" s="458">
        <f>N23*4</f>
        <v>440</v>
      </c>
      <c r="N30" s="459"/>
    </row>
    <row r="31" spans="1:14" ht="15" thickBot="1">
      <c r="A31" s="475" t="s">
        <v>328</v>
      </c>
      <c r="B31" s="476"/>
      <c r="C31" s="476"/>
      <c r="D31" s="476"/>
      <c r="E31" s="476"/>
      <c r="F31" s="476"/>
      <c r="G31" s="476"/>
      <c r="H31" s="476"/>
      <c r="I31" s="476"/>
      <c r="J31" s="476"/>
      <c r="K31" s="476"/>
      <c r="L31" s="203"/>
      <c r="M31" s="477">
        <f>M30*12</f>
        <v>5280</v>
      </c>
      <c r="N31" s="478"/>
    </row>
  </sheetData>
  <mergeCells count="55">
    <mergeCell ref="A15:K15"/>
    <mergeCell ref="A19:E19"/>
    <mergeCell ref="E7:F7"/>
    <mergeCell ref="M5:M13"/>
    <mergeCell ref="N5:N13"/>
    <mergeCell ref="E9:F9"/>
    <mergeCell ref="E12:F12"/>
    <mergeCell ref="A30:K30"/>
    <mergeCell ref="M30:N30"/>
    <mergeCell ref="A31:K31"/>
    <mergeCell ref="M31:N31"/>
    <mergeCell ref="M16:N16"/>
    <mergeCell ref="M23:M28"/>
    <mergeCell ref="N23:N28"/>
    <mergeCell ref="E24:F24"/>
    <mergeCell ref="E25:F25"/>
    <mergeCell ref="E26:F26"/>
    <mergeCell ref="E27:F27"/>
    <mergeCell ref="E28:F28"/>
    <mergeCell ref="F21:H21"/>
    <mergeCell ref="I21:K21"/>
    <mergeCell ref="E22:F22"/>
    <mergeCell ref="A16:K16"/>
    <mergeCell ref="A23:A28"/>
    <mergeCell ref="B23:B28"/>
    <mergeCell ref="C23:C28"/>
    <mergeCell ref="D23:K23"/>
    <mergeCell ref="A1:E1"/>
    <mergeCell ref="F1:H1"/>
    <mergeCell ref="I1:N1"/>
    <mergeCell ref="A2:E2"/>
    <mergeCell ref="F2:H2"/>
    <mergeCell ref="I2:L2"/>
    <mergeCell ref="A5:A13"/>
    <mergeCell ref="B5:B13"/>
    <mergeCell ref="C5:C13"/>
    <mergeCell ref="D5:K5"/>
    <mergeCell ref="E10:F10"/>
    <mergeCell ref="E11:F11"/>
    <mergeCell ref="M2:N3"/>
    <mergeCell ref="A20:E20"/>
    <mergeCell ref="F20:H20"/>
    <mergeCell ref="I20:L20"/>
    <mergeCell ref="M20:N21"/>
    <mergeCell ref="A21:E21"/>
    <mergeCell ref="A3:E3"/>
    <mergeCell ref="F3:H3"/>
    <mergeCell ref="I3:K3"/>
    <mergeCell ref="E4:F4"/>
    <mergeCell ref="F19:H19"/>
    <mergeCell ref="I19:N19"/>
    <mergeCell ref="E8:F8"/>
    <mergeCell ref="E13:F13"/>
    <mergeCell ref="E6:F6"/>
    <mergeCell ref="M15:N15"/>
  </mergeCells>
  <conditionalFormatting sqref="R6:R13">
    <cfRule type="expression" dxfId="3" priority="17" stopIfTrue="1">
      <formula>"p7&gt;m7"</formula>
    </cfRule>
    <cfRule type="expression" dxfId="2" priority="18" stopIfTrue="1">
      <formula>"p7&lt;=M7"</formula>
    </cfRule>
  </conditionalFormatting>
  <conditionalFormatting sqref="R24:R28">
    <cfRule type="expression" dxfId="1" priority="1" stopIfTrue="1">
      <formula>"p7&gt;m7"</formula>
    </cfRule>
    <cfRule type="expression" dxfId="0" priority="2" stopIfTrue="1">
      <formula>"p7&lt;=M7"</formula>
    </cfRule>
  </conditionalFormatting>
  <pageMargins left="0.511811024" right="0.511811024" top="0.78740157499999996" bottom="0.78740157499999996" header="0.31496062000000002" footer="0.31496062000000002"/>
  <pageSetup paperSize="9" scale="7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20"/>
  <sheetViews>
    <sheetView showGridLines="0" workbookViewId="0">
      <selection activeCell="I34" sqref="I34"/>
    </sheetView>
  </sheetViews>
  <sheetFormatPr defaultColWidth="5.453125" defaultRowHeight="14.5"/>
  <cols>
    <col min="1" max="1" width="3.54296875" style="150" customWidth="1"/>
    <col min="2" max="2" width="5.7265625" style="150" customWidth="1"/>
    <col min="3" max="3" width="5.453125" customWidth="1"/>
    <col min="4" max="4" width="9.81640625" style="151" customWidth="1"/>
    <col min="5" max="5" width="4.81640625" style="151" customWidth="1"/>
    <col min="6" max="6" width="4.54296875" style="151" customWidth="1"/>
    <col min="7" max="7" width="46.7265625" style="1" customWidth="1"/>
    <col min="8" max="8" width="57.7265625" bestFit="1" customWidth="1"/>
    <col min="9" max="9" width="9.7265625" customWidth="1"/>
    <col min="10" max="10" width="8.1796875" hidden="1" customWidth="1"/>
    <col min="11" max="11" width="4.26953125" customWidth="1"/>
    <col min="12" max="12" width="8.7265625" hidden="1" customWidth="1"/>
    <col min="13" max="13" width="7.81640625" bestFit="1" customWidth="1"/>
    <col min="14" max="14" width="11.81640625" customWidth="1"/>
    <col min="15" max="253" width="9.1796875" customWidth="1"/>
    <col min="254" max="254" width="3.54296875" customWidth="1"/>
    <col min="255" max="255" width="5.7265625" customWidth="1"/>
  </cols>
  <sheetData>
    <row r="1" spans="1:16" ht="21" customHeight="1">
      <c r="A1" s="470"/>
      <c r="B1" s="471"/>
      <c r="C1" s="471"/>
      <c r="D1" s="471"/>
      <c r="E1" s="472"/>
      <c r="F1" s="452" t="s">
        <v>314</v>
      </c>
      <c r="G1" s="453"/>
      <c r="H1" s="453"/>
      <c r="I1" s="454" t="s">
        <v>19</v>
      </c>
      <c r="J1" s="455"/>
      <c r="K1" s="455"/>
      <c r="L1" s="455"/>
      <c r="M1" s="455"/>
      <c r="N1" s="456"/>
    </row>
    <row r="2" spans="1:16">
      <c r="A2" s="445" t="s">
        <v>7</v>
      </c>
      <c r="B2" s="395"/>
      <c r="C2" s="395"/>
      <c r="D2" s="395"/>
      <c r="E2" s="396"/>
      <c r="F2" s="394" t="s">
        <v>8</v>
      </c>
      <c r="G2" s="395"/>
      <c r="H2" s="395"/>
      <c r="I2" s="394" t="s">
        <v>11</v>
      </c>
      <c r="J2" s="395"/>
      <c r="K2" s="395"/>
      <c r="L2" s="396"/>
      <c r="M2" s="441" t="s">
        <v>307</v>
      </c>
      <c r="N2" s="442"/>
    </row>
    <row r="3" spans="1:16" ht="15.75" customHeight="1">
      <c r="A3" s="446"/>
      <c r="B3" s="417"/>
      <c r="C3" s="417"/>
      <c r="D3" s="417"/>
      <c r="E3" s="418"/>
      <c r="F3" s="491" t="s">
        <v>306</v>
      </c>
      <c r="G3" s="492"/>
      <c r="H3" s="493"/>
      <c r="I3" s="450" t="s">
        <v>148</v>
      </c>
      <c r="J3" s="451"/>
      <c r="K3" s="451"/>
      <c r="L3" s="153"/>
      <c r="M3" s="443"/>
      <c r="N3" s="444"/>
    </row>
    <row r="4" spans="1:16" ht="22.5" customHeight="1">
      <c r="A4" s="193" t="s">
        <v>10</v>
      </c>
      <c r="B4" s="131" t="s">
        <v>15</v>
      </c>
      <c r="C4" s="131" t="s">
        <v>6</v>
      </c>
      <c r="D4" s="132" t="s">
        <v>4</v>
      </c>
      <c r="E4" s="388" t="s">
        <v>9</v>
      </c>
      <c r="F4" s="389"/>
      <c r="G4" s="133" t="s">
        <v>5</v>
      </c>
      <c r="H4" s="133" t="s">
        <v>1</v>
      </c>
      <c r="I4" s="134" t="s">
        <v>12</v>
      </c>
      <c r="J4" s="135" t="s">
        <v>13</v>
      </c>
      <c r="K4" s="136"/>
      <c r="L4" s="152" t="s">
        <v>14</v>
      </c>
      <c r="M4" s="137" t="s">
        <v>0</v>
      </c>
      <c r="N4" s="194" t="s">
        <v>3</v>
      </c>
    </row>
    <row r="5" spans="1:16" ht="15" customHeight="1">
      <c r="A5" s="460">
        <v>1</v>
      </c>
      <c r="B5" s="426">
        <v>1</v>
      </c>
      <c r="C5" s="464">
        <v>1</v>
      </c>
      <c r="D5" s="467" t="s">
        <v>308</v>
      </c>
      <c r="E5" s="468"/>
      <c r="F5" s="468"/>
      <c r="G5" s="468"/>
      <c r="H5" s="468"/>
      <c r="I5" s="468"/>
      <c r="J5" s="468"/>
      <c r="K5" s="469"/>
      <c r="L5" s="154"/>
      <c r="M5" s="479">
        <f>ROUND(IF(COUNT(I6:I10)=1,I6,IF((COUNT(L6:L10)&lt;3),MIN(L6:L10),AVERAGE(L6:L10))),2)</f>
        <v>8694.39</v>
      </c>
      <c r="N5" s="482">
        <f>C5*M5</f>
        <v>8694.39</v>
      </c>
    </row>
    <row r="6" spans="1:16">
      <c r="A6" s="461"/>
      <c r="B6" s="427"/>
      <c r="C6" s="465"/>
      <c r="D6" s="184" t="s">
        <v>315</v>
      </c>
      <c r="E6" s="412" t="s">
        <v>317</v>
      </c>
      <c r="F6" s="412"/>
      <c r="G6" s="209" t="s">
        <v>318</v>
      </c>
      <c r="H6" s="209" t="s">
        <v>316</v>
      </c>
      <c r="I6" s="162">
        <v>8528.91</v>
      </c>
      <c r="J6" s="156">
        <f>IF(AND((STDEV(I$6:I$10)/AVERAGE(I$6:I$10))&lt;=0.25,ISNUMBER(I6)),I6,IF(AND(I6&lt;=(AVERAGE(I$6:I$10)+STDEV(I$6:I$10)),I6&gt;=(AVERAGE(I$6:I$10)-STDEV(I$6:I$10)),ISNUMBER(I6)),I6,""))</f>
        <v>8528.91</v>
      </c>
      <c r="K6" s="157" t="str">
        <f>IF(I6="","",IF(AND(COUNT(I$6:I$10)=1,ISNUMBER(I6)),"Sim",IF(AND((STDEV(J$6:J$10)/AVERAGE(J$6:J$10))&lt;0.25,ISNUMBER(J6)),"Sim",IF(AND(J6&lt;=(AVERAGE(J$6:J$10)+STDEV(J$6:J$10)),J6&gt;=(AVERAGE(J$6:J$10)-STDEV(J$6:J$10)),ISNUMBER(J6)),"Sim","Não"))))</f>
        <v>Sim</v>
      </c>
      <c r="L6" s="138">
        <f>IF(K6="Sim",J6,"")</f>
        <v>8528.91</v>
      </c>
      <c r="M6" s="480"/>
      <c r="N6" s="483"/>
      <c r="P6" s="139"/>
    </row>
    <row r="7" spans="1:16">
      <c r="A7" s="461"/>
      <c r="B7" s="427"/>
      <c r="C7" s="465"/>
      <c r="D7" s="184" t="s">
        <v>364</v>
      </c>
      <c r="E7" s="412" t="s">
        <v>366</v>
      </c>
      <c r="F7" s="412"/>
      <c r="G7" s="209" t="s">
        <v>363</v>
      </c>
      <c r="H7" s="209" t="s">
        <v>365</v>
      </c>
      <c r="I7" s="155">
        <v>8340.14</v>
      </c>
      <c r="J7" s="156">
        <f>IF(AND((STDEV(I$6:I$10)/AVERAGE(I$6:I$10))&lt;=0.25,ISNUMBER(I7)),I7,IF(AND(I7&lt;=(AVERAGE(I$6:I$10)+STDEV(I$6:I$10)),I7&gt;=(AVERAGE(I$6:I$10)-STDEV(I$6:I$10)),ISNUMBER(I7)),I7,""))</f>
        <v>8340.14</v>
      </c>
      <c r="K7" s="157" t="str">
        <f>IF(I7="","",IF(AND(COUNT(I$6:I$10)=1,ISNUMBER(I7)),"Sim",IF(AND((STDEV(J$6:J$10)/AVERAGE(J$6:J$10))&lt;0.25,ISNUMBER(J7)),"Sim",IF(AND(J7&lt;=(AVERAGE(J$6:J$10)+STDEV(J$6:J$10)),J7&gt;=(AVERAGE(J$6:J$10)-STDEV(J$6:J$10)),ISNUMBER(J7)),"Sim","Não"))))</f>
        <v>Sim</v>
      </c>
      <c r="L7" s="140">
        <f>IF(K7="Sim",J7,"")</f>
        <v>8340.14</v>
      </c>
      <c r="M7" s="480"/>
      <c r="N7" s="483"/>
    </row>
    <row r="8" spans="1:16">
      <c r="A8" s="461"/>
      <c r="B8" s="427"/>
      <c r="C8" s="465"/>
      <c r="D8" s="184" t="s">
        <v>368</v>
      </c>
      <c r="E8" s="412" t="s">
        <v>370</v>
      </c>
      <c r="F8" s="412"/>
      <c r="G8" s="209" t="s">
        <v>367</v>
      </c>
      <c r="H8" s="209" t="s">
        <v>369</v>
      </c>
      <c r="I8" s="155">
        <v>8509.58</v>
      </c>
      <c r="J8" s="156">
        <f>IF(AND((STDEV(I$6:I$10)/AVERAGE(I$6:I$10))&lt;=0.25,ISNUMBER(I8)),I8,IF(AND(I8&lt;=(AVERAGE(I$6:I$10)+STDEV(I$6:I$10)),I8&gt;=(AVERAGE(I$6:I$10)-STDEV(I$6:I$10)),ISNUMBER(I8)),I8,""))</f>
        <v>8509.58</v>
      </c>
      <c r="K8" s="157" t="str">
        <f>IF(I8="","",IF(AND(COUNT(I$6:I$10)=1,ISNUMBER(I8)),"Sim",IF(AND((STDEV(J$6:J$10)/AVERAGE(J$6:J$10))&lt;0.25,ISNUMBER(J8)),"Sim",IF(AND(J8&lt;=(AVERAGE(J$6:J$10)+STDEV(J$6:J$10)),J8&gt;=(AVERAGE(J$6:J$10)-STDEV(J$6:J$10)),ISNUMBER(J8)),"Sim","Não"))))</f>
        <v>Sim</v>
      </c>
      <c r="L8" s="140">
        <f>IF(K8="Sim",J8,"")</f>
        <v>8509.58</v>
      </c>
      <c r="M8" s="480"/>
      <c r="N8" s="483"/>
    </row>
    <row r="9" spans="1:16">
      <c r="A9" s="461"/>
      <c r="B9" s="427"/>
      <c r="C9" s="465"/>
      <c r="D9" s="184" t="s">
        <v>309</v>
      </c>
      <c r="E9" s="412" t="s">
        <v>373</v>
      </c>
      <c r="F9" s="412"/>
      <c r="G9" s="209" t="s">
        <v>371</v>
      </c>
      <c r="H9" s="209" t="s">
        <v>372</v>
      </c>
      <c r="I9" s="155">
        <v>8733.33</v>
      </c>
      <c r="J9" s="156">
        <f>IF(AND((STDEV(I$6:I$10)/AVERAGE(I$6:I$10))&lt;=0.25,ISNUMBER(I9)),I9,IF(AND(I9&lt;=(AVERAGE(I$6:I$10)+STDEV(I$6:I$10)),I9&gt;=(AVERAGE(I$6:I$10)-STDEV(I$6:I$10)),ISNUMBER(I9)),I9,""))</f>
        <v>8733.33</v>
      </c>
      <c r="K9" s="157" t="str">
        <f>IF(I9="","",IF(AND(COUNT(I$6:I$10)=1,ISNUMBER(I9)),"Sim",IF(AND((STDEV(J$6:J$10)/AVERAGE(J$6:J$10))&lt;0.25,ISNUMBER(J9)),"Sim",IF(AND(J9&lt;=(AVERAGE(J$6:J$10)+STDEV(J$6:J$10)),J9&gt;=(AVERAGE(J$6:J$10)-STDEV(J$6:J$10)),ISNUMBER(J9)),"Sim","Não"))))</f>
        <v>Sim</v>
      </c>
      <c r="L9" s="140">
        <f>IF(K9="Sim",J9,"")</f>
        <v>8733.33</v>
      </c>
      <c r="M9" s="480"/>
      <c r="N9" s="483"/>
    </row>
    <row r="10" spans="1:16" ht="15" thickBot="1">
      <c r="A10" s="462"/>
      <c r="B10" s="463"/>
      <c r="C10" s="466"/>
      <c r="D10" s="195" t="s">
        <v>311</v>
      </c>
      <c r="E10" s="457" t="s">
        <v>375</v>
      </c>
      <c r="F10" s="457"/>
      <c r="G10" s="210" t="s">
        <v>312</v>
      </c>
      <c r="H10" s="210" t="s">
        <v>376</v>
      </c>
      <c r="I10" s="196">
        <v>9360</v>
      </c>
      <c r="J10" s="197">
        <f>IF(AND((STDEV(I$6:I$10)/AVERAGE(I$6:I$10))&lt;=0.25,ISNUMBER(I10)),I10,IF(AND(I10&lt;=(AVERAGE(I$6:I$10)+STDEV(I$6:I$10)),I10&gt;=(AVERAGE(I$6:I$10)-STDEV(I$6:I$10)),ISNUMBER(I10)),I10,""))</f>
        <v>9360</v>
      </c>
      <c r="K10" s="198" t="str">
        <f>IF(I10="","",IF(AND(COUNT(I$6:I$10)=1,ISNUMBER(I10)),"Sim",IF(AND((STDEV(J$6:J$10)/AVERAGE(J$6:J$10))&lt;0.25,ISNUMBER(J10)),"Sim",IF(AND(J10&lt;=(AVERAGE(J$6:J$10)+STDEV(J$6:J$10)),J10&gt;=(AVERAGE(J$6:J$10)-STDEV(J$6:J$10)),ISNUMBER(J10)),"Sim","Não"))))</f>
        <v>Sim</v>
      </c>
      <c r="L10" s="199">
        <f>IF(K10="Sim",J10,"")</f>
        <v>9360</v>
      </c>
      <c r="M10" s="481"/>
      <c r="N10" s="484"/>
    </row>
    <row r="11" spans="1:16" ht="15" thickBot="1">
      <c r="A11" s="141"/>
      <c r="B11" s="141"/>
      <c r="C11" s="142"/>
      <c r="D11" s="143"/>
      <c r="E11" s="143"/>
      <c r="F11" s="143"/>
      <c r="G11" s="144"/>
      <c r="H11" s="144"/>
      <c r="I11" s="145"/>
      <c r="J11" s="146"/>
      <c r="K11" s="147"/>
      <c r="L11" s="147"/>
    </row>
    <row r="12" spans="1:16">
      <c r="A12" s="490" t="s">
        <v>7</v>
      </c>
      <c r="B12" s="488"/>
      <c r="C12" s="488"/>
      <c r="D12" s="488"/>
      <c r="E12" s="489"/>
      <c r="F12" s="487" t="s">
        <v>8</v>
      </c>
      <c r="G12" s="488"/>
      <c r="H12" s="488"/>
      <c r="I12" s="487" t="s">
        <v>11</v>
      </c>
      <c r="J12" s="488"/>
      <c r="K12" s="488"/>
      <c r="L12" s="489"/>
      <c r="M12" s="441" t="s">
        <v>307</v>
      </c>
      <c r="N12" s="442"/>
    </row>
    <row r="13" spans="1:16" ht="15.75" customHeight="1">
      <c r="A13" s="446"/>
      <c r="B13" s="417"/>
      <c r="C13" s="417"/>
      <c r="D13" s="417"/>
      <c r="E13" s="418"/>
      <c r="F13" s="491" t="s">
        <v>313</v>
      </c>
      <c r="G13" s="492"/>
      <c r="H13" s="493"/>
      <c r="I13" s="450" t="s">
        <v>148</v>
      </c>
      <c r="J13" s="451"/>
      <c r="K13" s="451"/>
      <c r="L13" s="153"/>
      <c r="M13" s="443"/>
      <c r="N13" s="444"/>
    </row>
    <row r="14" spans="1:16" ht="22.5" customHeight="1">
      <c r="A14" s="193" t="s">
        <v>10</v>
      </c>
      <c r="B14" s="131" t="s">
        <v>15</v>
      </c>
      <c r="C14" s="131" t="s">
        <v>6</v>
      </c>
      <c r="D14" s="132" t="s">
        <v>4</v>
      </c>
      <c r="E14" s="388" t="s">
        <v>9</v>
      </c>
      <c r="F14" s="389"/>
      <c r="G14" s="133" t="s">
        <v>5</v>
      </c>
      <c r="H14" s="133" t="s">
        <v>1</v>
      </c>
      <c r="I14" s="134" t="s">
        <v>12</v>
      </c>
      <c r="J14" s="135" t="s">
        <v>13</v>
      </c>
      <c r="K14" s="136"/>
      <c r="L14" s="152" t="s">
        <v>14</v>
      </c>
      <c r="M14" s="137" t="s">
        <v>0</v>
      </c>
      <c r="N14" s="194" t="s">
        <v>3</v>
      </c>
    </row>
    <row r="15" spans="1:16" ht="15" customHeight="1">
      <c r="A15" s="460">
        <v>1</v>
      </c>
      <c r="B15" s="426">
        <v>2</v>
      </c>
      <c r="C15" s="464">
        <v>1</v>
      </c>
      <c r="D15" s="467" t="s">
        <v>308</v>
      </c>
      <c r="E15" s="468"/>
      <c r="F15" s="468"/>
      <c r="G15" s="468"/>
      <c r="H15" s="468"/>
      <c r="I15" s="468"/>
      <c r="J15" s="468"/>
      <c r="K15" s="469"/>
      <c r="L15" s="154"/>
      <c r="M15" s="479">
        <f>ROUND(IF(COUNT(I16:I20)=1,I16,IF((COUNT(L16:L20)&lt;3),MIN(L16:L20),AVERAGE(L16:L20))),2)</f>
        <v>10066.27</v>
      </c>
      <c r="N15" s="482">
        <f>C15*M15</f>
        <v>10066.27</v>
      </c>
    </row>
    <row r="16" spans="1:16">
      <c r="A16" s="461"/>
      <c r="B16" s="427"/>
      <c r="C16" s="465"/>
      <c r="D16" s="184" t="s">
        <v>315</v>
      </c>
      <c r="E16" s="412" t="s">
        <v>317</v>
      </c>
      <c r="F16" s="412"/>
      <c r="G16" s="209" t="s">
        <v>318</v>
      </c>
      <c r="H16" s="209" t="s">
        <v>316</v>
      </c>
      <c r="I16" s="162">
        <v>9460.34</v>
      </c>
      <c r="J16" s="160">
        <f>IF(AND((STDEV(I$16:I$20)/AVERAGE(I$16:I$20))&lt;=0.25,ISNUMBER(I16)),I16,IF(AND(I16&lt;=(AVERAGE(I$16:I$20)+STDEV(I$16:I$20)),I16&gt;=(AVERAGE(I$16:I$20)-STDEV(I$16:I$20)),ISNUMBER(I16)),I16,""))</f>
        <v>9460.34</v>
      </c>
      <c r="K16" s="161" t="str">
        <f>IF(I16="","",IF(AND(COUNT(I$16:I$20)=1,ISNUMBER(I16)),"Sim",IF(AND((STDEV(J$16:J$20)/AVERAGE(J$16:J$20))&lt;0.25,ISNUMBER(J16)),"Sim",IF(AND(J16&lt;=(AVERAGE(J$16:J$20)+STDEV(J$16:J$20)),J16&gt;=(AVERAGE(J$16:J$20)-STDEV(J$16:J$20)),ISNUMBER(J16)),"Sim","Não"))))</f>
        <v>Sim</v>
      </c>
      <c r="L16" s="148">
        <f>IF(K16="Sim",J16,"")</f>
        <v>9460.34</v>
      </c>
      <c r="M16" s="480"/>
      <c r="N16" s="483"/>
      <c r="P16" s="139"/>
    </row>
    <row r="17" spans="1:14">
      <c r="A17" s="461"/>
      <c r="B17" s="427"/>
      <c r="C17" s="465"/>
      <c r="D17" s="184" t="s">
        <v>364</v>
      </c>
      <c r="E17" s="412" t="s">
        <v>366</v>
      </c>
      <c r="F17" s="412"/>
      <c r="G17" s="209" t="s">
        <v>363</v>
      </c>
      <c r="H17" s="209" t="s">
        <v>365</v>
      </c>
      <c r="I17" s="204">
        <v>9811.7800000000007</v>
      </c>
      <c r="J17" s="160">
        <f>IF(AND((STDEV(I$16:I$20)/AVERAGE(I$16:I$20))&lt;=0.25,ISNUMBER(I17)),I17,IF(AND(I17&lt;=(AVERAGE(I$16:I$20)+STDEV(I$16:I$20)),I17&gt;=(AVERAGE(I$16:I$20)-STDEV(I$16:I$20)),ISNUMBER(I17)),I17,""))</f>
        <v>9811.7800000000007</v>
      </c>
      <c r="K17" s="161" t="str">
        <f>IF(I17="","",IF(AND(COUNT(I$16:I$20)=1,ISNUMBER(I17)),"Sim",IF(AND((STDEV(J$16:J$20)/AVERAGE(J$16:J$20))&lt;0.25,ISNUMBER(J17)),"Sim",IF(AND(J17&lt;=(AVERAGE(J$16:J$20)+STDEV(J$16:J$20)),J17&gt;=(AVERAGE(J$16:J$20)-STDEV(J$16:J$20)),ISNUMBER(J17)),"Sim","Não"))))</f>
        <v>Sim</v>
      </c>
      <c r="L17" s="149">
        <f>IF(K17="Sim",J17,"")</f>
        <v>9811.7800000000007</v>
      </c>
      <c r="M17" s="480"/>
      <c r="N17" s="483"/>
    </row>
    <row r="18" spans="1:14">
      <c r="A18" s="461"/>
      <c r="B18" s="427"/>
      <c r="C18" s="465"/>
      <c r="D18" s="184" t="s">
        <v>368</v>
      </c>
      <c r="E18" s="412" t="s">
        <v>370</v>
      </c>
      <c r="F18" s="412"/>
      <c r="G18" s="209" t="s">
        <v>367</v>
      </c>
      <c r="H18" s="209" t="s">
        <v>369</v>
      </c>
      <c r="I18" s="204">
        <v>10065.459999999999</v>
      </c>
      <c r="J18" s="160">
        <f>IF(AND((STDEV(I$16:I$20)/AVERAGE(I$16:I$20))&lt;=0.25,ISNUMBER(I18)),I18,IF(AND(I18&lt;=(AVERAGE(I$16:I$20)+STDEV(I$16:I$20)),I18&gt;=(AVERAGE(I$16:I$20)-STDEV(I$16:I$20)),ISNUMBER(I18)),I18,""))</f>
        <v>10065.459999999999</v>
      </c>
      <c r="K18" s="161" t="str">
        <f>IF(I18="","",IF(AND(COUNT(I$16:I$20)=1,ISNUMBER(I18)),"Sim",IF(AND((STDEV(J$16:J$20)/AVERAGE(J$16:J$20))&lt;0.25,ISNUMBER(J18)),"Sim",IF(AND(J18&lt;=(AVERAGE(J$16:J$20)+STDEV(J$16:J$20)),J18&gt;=(AVERAGE(J$16:J$20)-STDEV(J$16:J$20)),ISNUMBER(J18)),"Sim","Não"))))</f>
        <v>Sim</v>
      </c>
      <c r="L18" s="149">
        <f>IF(K18="Sim",J18,"")</f>
        <v>10065.459999999999</v>
      </c>
      <c r="M18" s="480"/>
      <c r="N18" s="483"/>
    </row>
    <row r="19" spans="1:14">
      <c r="A19" s="461"/>
      <c r="B19" s="427"/>
      <c r="C19" s="465"/>
      <c r="D19" s="184" t="s">
        <v>309</v>
      </c>
      <c r="E19" s="412" t="s">
        <v>373</v>
      </c>
      <c r="F19" s="412"/>
      <c r="G19" s="209" t="s">
        <v>371</v>
      </c>
      <c r="H19" s="209" t="s">
        <v>372</v>
      </c>
      <c r="I19" s="204">
        <v>10243.75</v>
      </c>
      <c r="J19" s="160">
        <f>IF(AND((STDEV(I$16:I$20)/AVERAGE(I$16:I$20))&lt;=0.25,ISNUMBER(I19)),I19,IF(AND(I19&lt;=(AVERAGE(I$16:I$20)+STDEV(I$16:I$20)),I19&gt;=(AVERAGE(I$16:I$20)-STDEV(I$16:I$20)),ISNUMBER(I19)),I19,""))</f>
        <v>10243.75</v>
      </c>
      <c r="K19" s="161" t="str">
        <f>IF(I19="","",IF(AND(COUNT(I$16:I$20)=1,ISNUMBER(I19)),"Sim",IF(AND((STDEV(J$16:J$20)/AVERAGE(J$16:J$20))&lt;0.25,ISNUMBER(J19)),"Sim",IF(AND(J19&lt;=(AVERAGE(J$16:J$20)+STDEV(J$16:J$20)),J19&gt;=(AVERAGE(J$16:J$20)-STDEV(J$16:J$20)),ISNUMBER(J19)),"Sim","Não"))))</f>
        <v>Sim</v>
      </c>
      <c r="L19" s="149">
        <f>IF(K19="Sim",J19,"")</f>
        <v>10243.75</v>
      </c>
      <c r="M19" s="480"/>
      <c r="N19" s="483"/>
    </row>
    <row r="20" spans="1:14" ht="15" thickBot="1">
      <c r="A20" s="462"/>
      <c r="B20" s="463"/>
      <c r="C20" s="466"/>
      <c r="D20" s="195" t="s">
        <v>311</v>
      </c>
      <c r="E20" s="457" t="s">
        <v>375</v>
      </c>
      <c r="F20" s="457"/>
      <c r="G20" s="210" t="s">
        <v>312</v>
      </c>
      <c r="H20" s="210" t="s">
        <v>376</v>
      </c>
      <c r="I20" s="205">
        <v>10750</v>
      </c>
      <c r="J20" s="200">
        <f>IF(AND((STDEV(I$16:I$20)/AVERAGE(I$16:I$20))&lt;=0.25,ISNUMBER(I20)),I20,IF(AND(I20&lt;=(AVERAGE(I$16:I$20)+STDEV(I$16:I$20)),I20&gt;=(AVERAGE(I$16:I$20)-STDEV(I$16:I$20)),ISNUMBER(I20)),I20,""))</f>
        <v>10750</v>
      </c>
      <c r="K20" s="201" t="str">
        <f>IF(I20="","",IF(AND(COUNT(I$16:I$20)=1,ISNUMBER(I20)),"Sim",IF(AND((STDEV(J$16:J$20)/AVERAGE(J$16:J$20))&lt;0.25,ISNUMBER(J20)),"Sim",IF(AND(J20&lt;=(AVERAGE(J$16:J$20)+STDEV(J$16:J$20)),J20&gt;=(AVERAGE(J$16:J$20)-STDEV(J$16:J$20)),ISNUMBER(J20)),"Sim","Não"))))</f>
        <v>Sim</v>
      </c>
      <c r="L20" s="202">
        <f>IF(K20="Sim",J20,"")</f>
        <v>10750</v>
      </c>
      <c r="M20" s="481"/>
      <c r="N20" s="484"/>
    </row>
  </sheetData>
  <mergeCells count="41">
    <mergeCell ref="M12:N13"/>
    <mergeCell ref="N15:N20"/>
    <mergeCell ref="M15:M20"/>
    <mergeCell ref="B5:B10"/>
    <mergeCell ref="N5:N10"/>
    <mergeCell ref="E19:F19"/>
    <mergeCell ref="E7:F7"/>
    <mergeCell ref="E8:F8"/>
    <mergeCell ref="E9:F9"/>
    <mergeCell ref="A1:E1"/>
    <mergeCell ref="F1:H1"/>
    <mergeCell ref="I1:N1"/>
    <mergeCell ref="A2:E2"/>
    <mergeCell ref="F2:H2"/>
    <mergeCell ref="I2:L2"/>
    <mergeCell ref="A3:E3"/>
    <mergeCell ref="F3:H3"/>
    <mergeCell ref="I3:K3"/>
    <mergeCell ref="E10:F10"/>
    <mergeCell ref="M2:N3"/>
    <mergeCell ref="M5:M10"/>
    <mergeCell ref="C5:C10"/>
    <mergeCell ref="D5:K5"/>
    <mergeCell ref="E6:F6"/>
    <mergeCell ref="E4:F4"/>
    <mergeCell ref="A5:A10"/>
    <mergeCell ref="A15:A20"/>
    <mergeCell ref="B15:B20"/>
    <mergeCell ref="C15:C20"/>
    <mergeCell ref="I12:L12"/>
    <mergeCell ref="A13:E13"/>
    <mergeCell ref="A12:E12"/>
    <mergeCell ref="F12:H12"/>
    <mergeCell ref="F13:H13"/>
    <mergeCell ref="I13:K13"/>
    <mergeCell ref="E20:F20"/>
    <mergeCell ref="E14:F14"/>
    <mergeCell ref="D15:K15"/>
    <mergeCell ref="E17:F17"/>
    <mergeCell ref="E18:F18"/>
    <mergeCell ref="E16:F16"/>
  </mergeCells>
  <pageMargins left="0.51181102362204722" right="0.51181102362204722" top="0.78740157480314965" bottom="0.78740157480314965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7</vt:i4>
      </vt:variant>
    </vt:vector>
  </HeadingPairs>
  <TitlesOfParts>
    <vt:vector size="17" baseType="lpstr">
      <vt:lpstr>PCFP Diurno</vt:lpstr>
      <vt:lpstr>PCFP Noturno</vt:lpstr>
      <vt:lpstr>PCFP Geral</vt:lpstr>
      <vt:lpstr>Resumo Unif.Equip</vt:lpstr>
      <vt:lpstr>Pesq. Uniforme</vt:lpstr>
      <vt:lpstr>Pesq Equip</vt:lpstr>
      <vt:lpstr>Pesq MatApoio</vt:lpstr>
      <vt:lpstr>Pesq SegVida</vt:lpstr>
      <vt:lpstr>Pesquisa Postos</vt:lpstr>
      <vt:lpstr>Custo Posto Trab</vt:lpstr>
      <vt:lpstr>'PCFP Diurno'!Area_de_impressao</vt:lpstr>
      <vt:lpstr>'PCFP Geral'!Area_de_impressao</vt:lpstr>
      <vt:lpstr>'PCFP Noturno'!Area_de_impressao</vt:lpstr>
      <vt:lpstr>'Pesq Equip'!Area_de_impressao</vt:lpstr>
      <vt:lpstr>'Pesq MatApoio'!Area_de_impressao</vt:lpstr>
      <vt:lpstr>'Pesq. Uniforme'!Area_de_impressao</vt:lpstr>
      <vt:lpstr>'Resumo Unif.Equip'!Area_de_impressao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marco.amaral</dc:creator>
  <cp:lastModifiedBy>Darlesson Alves do Carmo</cp:lastModifiedBy>
  <cp:lastPrinted>2023-12-11T13:20:56Z</cp:lastPrinted>
  <dcterms:created xsi:type="dcterms:W3CDTF">2013-05-08T14:34:10Z</dcterms:created>
  <dcterms:modified xsi:type="dcterms:W3CDTF">2024-02-22T14:26:52Z</dcterms:modified>
</cp:coreProperties>
</file>