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bruno.fiorillo\Desktop\Limpeza BSB\"/>
    </mc:Choice>
  </mc:AlternateContent>
  <xr:revisionPtr revIDLastSave="0" documentId="8_{87398177-8EF4-42B2-BE81-38E132449583}" xr6:coauthVersionLast="41" xr6:coauthVersionMax="41" xr10:uidLastSave="{00000000-0000-0000-0000-000000000000}"/>
  <bookViews>
    <workbookView xWindow="-110" yWindow="-110" windowWidth="19420" windowHeight="10420" tabRatio="890" firstSheet="5" xr2:uid="{00000000-000D-0000-FFFF-FFFF00000000}"/>
  </bookViews>
  <sheets>
    <sheet name="Anexo II A - REMUNER SERVIÇO" sheetId="39" r:id="rId1"/>
    <sheet name="Anexo II A.2 - PRODUTIVIDADE" sheetId="16" r:id="rId2"/>
    <sheet name="Anexo II B - SERVENTE" sheetId="23" r:id="rId3"/>
    <sheet name="Anexo II C - ENCARREGADO" sheetId="20" r:id="rId4"/>
    <sheet name="Anexo II D - CARREGADOR" sheetId="27" r:id="rId5"/>
    <sheet name="Anexo II E - MATERIAL DE LIMPEZ" sheetId="1" r:id="rId6"/>
    <sheet name="Anexo II F - EQUIPAMENTOS" sheetId="28" r:id="rId7"/>
    <sheet name="Anexo II G - UNIFORME" sheetId="3" r:id="rId8"/>
    <sheet name="Anexo II H - DISPENSER" sheetId="30" r:id="rId9"/>
    <sheet name="Anexo II I -MAT HIGIENE PESSOAL" sheetId="29" r:id="rId10"/>
    <sheet name="REMUNERAÇÃO SERVIÇO ANAC 1ªREP " sheetId="37" state="hidden" r:id="rId11"/>
    <sheet name="REMUNERA SERVIÇO CONTRA 1ªREP" sheetId="36" state="hidden" r:id="rId12"/>
    <sheet name="RESUMO CONCESSÃO 1ª REPACTUÇÃO" sheetId="38" state="hidden" r:id="rId13"/>
    <sheet name="RESUMO PRORROGAÇÃO" sheetId="40" state="hidden" r:id="rId14"/>
    <sheet name="RESUMO M²" sheetId="26" state="hidden" r:id="rId15"/>
    <sheet name="RELOGIO DE PONTO" sheetId="31" state="hidden" r:id="rId16"/>
    <sheet name="VT" sheetId="33" state="hidden" r:id="rId17"/>
    <sheet name="VA" sheetId="34" state="hidden" r:id="rId18"/>
  </sheets>
  <definedNames>
    <definedName name="_xlnm.Print_Area" localSheetId="0">'Anexo II A - REMUNER SERVIÇO'!$A$1:$F$47</definedName>
    <definedName name="_xlnm.Print_Area" localSheetId="1">'Anexo II A.2 - PRODUTIVIDADE'!$A$1:$F$28</definedName>
    <definedName name="_xlnm.Print_Area" localSheetId="2">'Anexo II B - SERVENTE'!$A$1:$E$128</definedName>
    <definedName name="_xlnm.Print_Area" localSheetId="4">'Anexo II D - CARREGADOR'!$A$1:$E$129</definedName>
    <definedName name="_xlnm.Print_Area" localSheetId="5">'Anexo II E - MATERIAL DE LIMPEZ'!$A$1:$H$44</definedName>
    <definedName name="_xlnm.Print_Area" localSheetId="6">'Anexo II F - EQUIPAMENTOS'!$A$1:$G$35</definedName>
    <definedName name="_xlnm.Print_Area" localSheetId="7">'Anexo II G - UNIFORME'!$A$1:$D$29</definedName>
    <definedName name="_xlnm.Print_Area" localSheetId="8">'Anexo II H - DISPENSER'!$A$1:$H$16</definedName>
    <definedName name="_xlnm.Print_Area" localSheetId="9">'Anexo II I -MAT HIGIENE PESSOAL'!$A$1:$H$23</definedName>
    <definedName name="_xlnm.Print_Area" localSheetId="15">'RELOGIO DE PONTO'!$A$1:$G$28</definedName>
    <definedName name="_xlnm.Print_Area" localSheetId="11">'REMUNERA SERVIÇO CONTRA 1ªREP'!$A$1:$F$54</definedName>
    <definedName name="_xlnm.Print_Area" localSheetId="10">'REMUNERAÇÃO SERVIÇO ANAC 1ªREP '!$A$1:$F$49</definedName>
    <definedName name="_xlnm.Print_Area" localSheetId="14">'RESUMO M²'!$A$1:$F$47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30" l="1"/>
  <c r="D13" i="30"/>
  <c r="E50" i="27" l="1"/>
  <c r="E50" i="20"/>
  <c r="E49" i="20"/>
  <c r="E50" i="23"/>
  <c r="D66" i="27" l="1"/>
  <c r="D66" i="20"/>
  <c r="E21" i="29" l="1"/>
  <c r="H21" i="29" s="1"/>
  <c r="G21" i="29" s="1"/>
  <c r="E20" i="29"/>
  <c r="H20" i="29" s="1"/>
  <c r="G20" i="29" s="1"/>
  <c r="E19" i="29"/>
  <c r="H19" i="29" s="1"/>
  <c r="G19" i="29" s="1"/>
  <c r="E18" i="29"/>
  <c r="H18" i="29" s="1"/>
  <c r="G18" i="29" s="1"/>
  <c r="E17" i="29"/>
  <c r="H17" i="29" s="1"/>
  <c r="G17" i="29" s="1"/>
  <c r="E16" i="29"/>
  <c r="H16" i="29" s="1"/>
  <c r="G16" i="29" s="1"/>
  <c r="E9" i="29"/>
  <c r="E8" i="29"/>
  <c r="E7" i="29"/>
  <c r="E5" i="29"/>
  <c r="E4" i="29"/>
  <c r="E6" i="29"/>
  <c r="H12" i="30"/>
  <c r="D12" i="30"/>
  <c r="G12" i="30" s="1"/>
  <c r="D5" i="30"/>
  <c r="G5" i="30" s="1"/>
  <c r="D6" i="30"/>
  <c r="G6" i="30" s="1"/>
  <c r="D4" i="30"/>
  <c r="G4" i="30" s="1"/>
  <c r="G13" i="30"/>
  <c r="H13" i="30"/>
  <c r="H14" i="30"/>
  <c r="G14" i="30"/>
  <c r="H5" i="30"/>
  <c r="H6" i="30"/>
  <c r="H4" i="30"/>
  <c r="F34" i="1" l="1"/>
  <c r="G34" i="1" s="1"/>
  <c r="F30" i="1"/>
  <c r="G30" i="1" s="1"/>
  <c r="F26" i="1"/>
  <c r="G26" i="1" s="1"/>
  <c r="F22" i="1"/>
  <c r="G22" i="1" s="1"/>
  <c r="F18" i="1"/>
  <c r="G18" i="1" s="1"/>
  <c r="F14" i="1"/>
  <c r="G14" i="1" s="1"/>
  <c r="F5" i="1"/>
  <c r="G5" i="1" s="1"/>
  <c r="F3" i="1"/>
  <c r="G3" i="1" s="1"/>
  <c r="G42" i="1" s="1"/>
  <c r="F4" i="1"/>
  <c r="G4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5" i="1"/>
  <c r="G15" i="1" s="1"/>
  <c r="F16" i="1"/>
  <c r="G16" i="1" s="1"/>
  <c r="F17" i="1"/>
  <c r="G17" i="1" s="1"/>
  <c r="F19" i="1"/>
  <c r="G19" i="1" s="1"/>
  <c r="F20" i="1"/>
  <c r="G20" i="1" s="1"/>
  <c r="F21" i="1"/>
  <c r="G21" i="1" s="1"/>
  <c r="F23" i="1"/>
  <c r="G23" i="1" s="1"/>
  <c r="F24" i="1"/>
  <c r="G24" i="1" s="1"/>
  <c r="F25" i="1"/>
  <c r="G25" i="1" s="1"/>
  <c r="F27" i="1"/>
  <c r="G27" i="1" s="1"/>
  <c r="F28" i="1"/>
  <c r="G28" i="1" s="1"/>
  <c r="F29" i="1"/>
  <c r="G29" i="1" s="1"/>
  <c r="F31" i="1"/>
  <c r="G31" i="1" s="1"/>
  <c r="F32" i="1"/>
  <c r="G32" i="1" s="1"/>
  <c r="F33" i="1"/>
  <c r="G33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D4" i="3" l="1"/>
  <c r="D5" i="3"/>
  <c r="D6" i="3"/>
  <c r="D7" i="3"/>
  <c r="E17" i="20"/>
  <c r="B10" i="40" l="1"/>
  <c r="B10" i="38" l="1"/>
  <c r="E17" i="27" l="1"/>
  <c r="G45" i="26" l="1"/>
  <c r="D80" i="20" l="1"/>
  <c r="F9" i="16" l="1"/>
  <c r="F20" i="16"/>
  <c r="F31" i="28" l="1"/>
  <c r="G31" i="28" s="1"/>
  <c r="F29" i="28"/>
  <c r="G29" i="28" s="1"/>
  <c r="F28" i="28"/>
  <c r="G28" i="28" s="1"/>
  <c r="F27" i="28"/>
  <c r="G27" i="28" s="1"/>
  <c r="F26" i="28"/>
  <c r="G26" i="28" s="1"/>
  <c r="F25" i="28"/>
  <c r="G25" i="28" s="1"/>
  <c r="F24" i="28"/>
  <c r="G24" i="28" s="1"/>
  <c r="F23" i="28"/>
  <c r="G23" i="28" s="1"/>
  <c r="F22" i="28"/>
  <c r="G22" i="28" s="1"/>
  <c r="F21" i="28"/>
  <c r="G21" i="28" s="1"/>
  <c r="F20" i="28"/>
  <c r="G20" i="28" s="1"/>
  <c r="F19" i="28"/>
  <c r="G19" i="28" s="1"/>
  <c r="F18" i="28"/>
  <c r="G18" i="28" s="1"/>
  <c r="F17" i="28"/>
  <c r="G17" i="28" s="1"/>
  <c r="F16" i="28"/>
  <c r="G16" i="28" s="1"/>
  <c r="F15" i="28"/>
  <c r="G15" i="28" s="1"/>
  <c r="F14" i="28"/>
  <c r="G14" i="28" s="1"/>
  <c r="F13" i="28"/>
  <c r="G13" i="28" s="1"/>
  <c r="F12" i="28"/>
  <c r="G12" i="28" s="1"/>
  <c r="F11" i="28"/>
  <c r="G11" i="28" s="1"/>
  <c r="F10" i="28"/>
  <c r="G10" i="28" s="1"/>
  <c r="F9" i="28"/>
  <c r="G9" i="28" s="1"/>
  <c r="F8" i="28"/>
  <c r="G8" i="28" s="1"/>
  <c r="F7" i="28"/>
  <c r="G7" i="28" s="1"/>
  <c r="F6" i="28"/>
  <c r="G6" i="28" s="1"/>
  <c r="F5" i="28"/>
  <c r="G5" i="28" s="1"/>
  <c r="F4" i="28"/>
  <c r="G4" i="28" s="1"/>
  <c r="F3" i="28"/>
  <c r="G3" i="28" s="1"/>
  <c r="H9" i="29"/>
  <c r="G9" i="29" s="1"/>
  <c r="H8" i="29"/>
  <c r="G8" i="29" s="1"/>
  <c r="H7" i="29"/>
  <c r="G7" i="29" s="1"/>
  <c r="H6" i="29"/>
  <c r="G6" i="29" s="1"/>
  <c r="H5" i="29"/>
  <c r="G5" i="29" s="1"/>
  <c r="H4" i="29"/>
  <c r="G4" i="29" s="1"/>
  <c r="D11" i="33"/>
  <c r="D10" i="33"/>
  <c r="D5" i="34"/>
  <c r="D9" i="33"/>
  <c r="D5" i="33"/>
  <c r="D4" i="33"/>
  <c r="H22" i="29" l="1"/>
  <c r="H15" i="30"/>
  <c r="H16" i="30" s="1"/>
  <c r="H7" i="30"/>
  <c r="H8" i="30" s="1"/>
  <c r="D6" i="33"/>
  <c r="C9" i="33" s="1"/>
  <c r="E9" i="33" s="1"/>
  <c r="G43" i="1"/>
  <c r="H10" i="29"/>
  <c r="G33" i="28"/>
  <c r="G34" i="28" s="1"/>
  <c r="E42" i="39" l="1"/>
  <c r="F42" i="39" s="1"/>
  <c r="E43" i="39"/>
  <c r="F43" i="39" s="1"/>
  <c r="E20" i="40"/>
  <c r="F20" i="40" s="1"/>
  <c r="E20" i="38"/>
  <c r="F20" i="38" s="1"/>
  <c r="E43" i="37"/>
  <c r="F43" i="37" s="1"/>
  <c r="E40" i="26"/>
  <c r="F40" i="26" s="1"/>
  <c r="E43" i="36"/>
  <c r="F43" i="36" s="1"/>
  <c r="E21" i="40"/>
  <c r="F21" i="40" s="1"/>
  <c r="E21" i="38"/>
  <c r="F21" i="38" s="1"/>
  <c r="E44" i="37"/>
  <c r="F44" i="37" s="1"/>
  <c r="E44" i="36"/>
  <c r="F44" i="36" s="1"/>
  <c r="E41" i="26"/>
  <c r="F41" i="26" s="1"/>
  <c r="C11" i="33"/>
  <c r="E11" i="33" s="1"/>
  <c r="C10" i="33"/>
  <c r="E10" i="33" s="1"/>
  <c r="H11" i="29"/>
  <c r="H23" i="29"/>
  <c r="D4" i="31"/>
  <c r="D5" i="31" s="1"/>
  <c r="D6" i="31" s="1"/>
  <c r="E36" i="39" l="1"/>
  <c r="E37" i="39"/>
  <c r="F37" i="39" s="1"/>
  <c r="E35" i="26"/>
  <c r="F35" i="26" s="1"/>
  <c r="E16" i="40"/>
  <c r="F16" i="40" s="1"/>
  <c r="E38" i="37"/>
  <c r="F38" i="37" s="1"/>
  <c r="E16" i="38"/>
  <c r="F16" i="38" s="1"/>
  <c r="E38" i="36"/>
  <c r="F38" i="36" s="1"/>
  <c r="E15" i="40"/>
  <c r="E34" i="26"/>
  <c r="F34" i="26" s="1"/>
  <c r="E15" i="38"/>
  <c r="E37" i="37"/>
  <c r="F37" i="37" s="1"/>
  <c r="E37" i="36"/>
  <c r="F37" i="36" s="1"/>
  <c r="B128" i="27"/>
  <c r="B126" i="27"/>
  <c r="B125" i="27"/>
  <c r="B124" i="27"/>
  <c r="B123" i="27"/>
  <c r="B122" i="27"/>
  <c r="D111" i="27"/>
  <c r="D108" i="27"/>
  <c r="D84" i="27"/>
  <c r="D80" i="27"/>
  <c r="D46" i="27"/>
  <c r="D68" i="27" s="1"/>
  <c r="D35" i="27"/>
  <c r="E22" i="27"/>
  <c r="E49" i="27" s="1"/>
  <c r="D26" i="3"/>
  <c r="D27" i="3"/>
  <c r="D25" i="3"/>
  <c r="D24" i="3"/>
  <c r="D23" i="3"/>
  <c r="D22" i="3"/>
  <c r="D16" i="3"/>
  <c r="D15" i="3"/>
  <c r="D14" i="3"/>
  <c r="D13" i="3"/>
  <c r="F36" i="39" l="1"/>
  <c r="B27" i="40"/>
  <c r="F15" i="40"/>
  <c r="F15" i="38"/>
  <c r="B27" i="38"/>
  <c r="E33" i="27"/>
  <c r="E54" i="27"/>
  <c r="E60" i="27" s="1"/>
  <c r="D9" i="3"/>
  <c r="D8" i="3" s="1"/>
  <c r="D29" i="3"/>
  <c r="D28" i="3" s="1"/>
  <c r="D18" i="3"/>
  <c r="D17" i="3" s="1"/>
  <c r="D70" i="27"/>
  <c r="E24" i="27"/>
  <c r="E29" i="27" s="1"/>
  <c r="E79" i="27" l="1"/>
  <c r="E65" i="27"/>
  <c r="E67" i="27"/>
  <c r="E78" i="27"/>
  <c r="E69" i="27"/>
  <c r="E77" i="27"/>
  <c r="E74" i="27"/>
  <c r="E76" i="27"/>
  <c r="E75" i="27"/>
  <c r="E94" i="23"/>
  <c r="E94" i="27"/>
  <c r="D27" i="38"/>
  <c r="F27" i="38"/>
  <c r="E94" i="20"/>
  <c r="D27" i="40"/>
  <c r="F27" i="40"/>
  <c r="E68" i="27"/>
  <c r="E66" i="27"/>
  <c r="E122" i="27"/>
  <c r="E83" i="27"/>
  <c r="E84" i="27" s="1"/>
  <c r="E89" i="27" s="1"/>
  <c r="E34" i="27"/>
  <c r="E35" i="27" s="1"/>
  <c r="E58" i="27" s="1"/>
  <c r="H27" i="40" l="1"/>
  <c r="E40" i="27"/>
  <c r="E43" i="27"/>
  <c r="E39" i="27"/>
  <c r="E44" i="27"/>
  <c r="E41" i="27"/>
  <c r="E38" i="27"/>
  <c r="E45" i="27"/>
  <c r="E42" i="27"/>
  <c r="D16" i="36" l="1"/>
  <c r="E16" i="36" s="1"/>
  <c r="F16" i="36" s="1"/>
  <c r="E46" i="27"/>
  <c r="B127" i="23"/>
  <c r="B125" i="23"/>
  <c r="B124" i="23"/>
  <c r="B123" i="23"/>
  <c r="B122" i="23"/>
  <c r="B121" i="23"/>
  <c r="D110" i="23"/>
  <c r="D108" i="23"/>
  <c r="D84" i="23"/>
  <c r="D80" i="23"/>
  <c r="D66" i="23"/>
  <c r="D46" i="23"/>
  <c r="D68" i="23" s="1"/>
  <c r="D35" i="23"/>
  <c r="E22" i="23"/>
  <c r="E49" i="23" s="1"/>
  <c r="E17" i="23"/>
  <c r="D23" i="36" l="1"/>
  <c r="E23" i="36" s="1"/>
  <c r="F23" i="36" s="1"/>
  <c r="D8" i="36"/>
  <c r="E8" i="36" s="1"/>
  <c r="F8" i="36" s="1"/>
  <c r="E7" i="38"/>
  <c r="F7" i="38" s="1"/>
  <c r="D11" i="36"/>
  <c r="E11" i="36" s="1"/>
  <c r="F11" i="36" s="1"/>
  <c r="E7" i="40"/>
  <c r="F7" i="40" s="1"/>
  <c r="D20" i="36"/>
  <c r="E20" i="36" s="1"/>
  <c r="F20" i="36" s="1"/>
  <c r="E59" i="27"/>
  <c r="E61" i="27" s="1"/>
  <c r="E123" i="27" s="1"/>
  <c r="E70" i="27"/>
  <c r="E124" i="27" s="1"/>
  <c r="E33" i="23"/>
  <c r="E54" i="23"/>
  <c r="E60" i="23" s="1"/>
  <c r="E24" i="23"/>
  <c r="E29" i="23" s="1"/>
  <c r="D70" i="23"/>
  <c r="D109" i="20"/>
  <c r="B128" i="20"/>
  <c r="B126" i="20"/>
  <c r="B125" i="20"/>
  <c r="B124" i="20"/>
  <c r="B123" i="20"/>
  <c r="B122" i="20"/>
  <c r="D111" i="20"/>
  <c r="D84" i="20"/>
  <c r="D46" i="20"/>
  <c r="D68" i="20" s="1"/>
  <c r="D35" i="20"/>
  <c r="E33" i="20"/>
  <c r="E54" i="20"/>
  <c r="E69" i="23" l="1"/>
  <c r="E76" i="23"/>
  <c r="E65" i="23"/>
  <c r="E77" i="23"/>
  <c r="E75" i="23"/>
  <c r="E79" i="23"/>
  <c r="E74" i="23"/>
  <c r="E78" i="23"/>
  <c r="E67" i="23"/>
  <c r="D70" i="20"/>
  <c r="E68" i="23"/>
  <c r="E66" i="23"/>
  <c r="E24" i="20"/>
  <c r="E29" i="20" s="1"/>
  <c r="E121" i="23"/>
  <c r="E83" i="23"/>
  <c r="E84" i="23" s="1"/>
  <c r="E89" i="23" s="1"/>
  <c r="E34" i="23"/>
  <c r="E35" i="23" s="1"/>
  <c r="E58" i="23" s="1"/>
  <c r="E60" i="20"/>
  <c r="E79" i="20" l="1"/>
  <c r="E74" i="20"/>
  <c r="E78" i="20"/>
  <c r="E75" i="20"/>
  <c r="E77" i="20"/>
  <c r="E69" i="20"/>
  <c r="E76" i="20"/>
  <c r="E67" i="20"/>
  <c r="E65" i="20"/>
  <c r="E80" i="27"/>
  <c r="E88" i="27" s="1"/>
  <c r="E90" i="27" s="1"/>
  <c r="E125" i="27" s="1"/>
  <c r="E122" i="20"/>
  <c r="E83" i="20"/>
  <c r="E84" i="20" s="1"/>
  <c r="E89" i="20" s="1"/>
  <c r="E34" i="20"/>
  <c r="E35" i="20" s="1"/>
  <c r="E58" i="20" s="1"/>
  <c r="E66" i="20"/>
  <c r="E68" i="20"/>
  <c r="E43" i="23"/>
  <c r="E40" i="23"/>
  <c r="E45" i="23"/>
  <c r="E44" i="23"/>
  <c r="E38" i="23"/>
  <c r="E42" i="23"/>
  <c r="E39" i="23"/>
  <c r="E41" i="23"/>
  <c r="I7" i="40" l="1"/>
  <c r="J7" i="40" s="1"/>
  <c r="D16" i="37"/>
  <c r="E16" i="37" s="1"/>
  <c r="F16" i="37" s="1"/>
  <c r="D23" i="37"/>
  <c r="E23" i="37" s="1"/>
  <c r="F23" i="37" s="1"/>
  <c r="G7" i="38"/>
  <c r="H7" i="38" s="1"/>
  <c r="G7" i="40"/>
  <c r="H7" i="40" s="1"/>
  <c r="D20" i="37"/>
  <c r="E20" i="37" s="1"/>
  <c r="F20" i="37" s="1"/>
  <c r="D8" i="37"/>
  <c r="E8" i="37" s="1"/>
  <c r="F8" i="37" s="1"/>
  <c r="D11" i="37"/>
  <c r="E11" i="37" s="1"/>
  <c r="F11" i="37" s="1"/>
  <c r="E39" i="20"/>
  <c r="E44" i="20"/>
  <c r="E42" i="20"/>
  <c r="E41" i="20"/>
  <c r="E40" i="20"/>
  <c r="E45" i="20"/>
  <c r="E43" i="20"/>
  <c r="E38" i="20"/>
  <c r="E46" i="23"/>
  <c r="E59" i="23" l="1"/>
  <c r="E61" i="23" s="1"/>
  <c r="E70" i="23"/>
  <c r="E123" i="23" s="1"/>
  <c r="E46" i="20"/>
  <c r="E59" i="20" l="1"/>
  <c r="E61" i="20" s="1"/>
  <c r="E123" i="20" s="1"/>
  <c r="E70" i="20"/>
  <c r="E124" i="20" s="1"/>
  <c r="E122" i="23"/>
  <c r="E80" i="23" l="1"/>
  <c r="E88" i="23" s="1"/>
  <c r="E90" i="23" s="1"/>
  <c r="E124" i="23" s="1"/>
  <c r="F17" i="16"/>
  <c r="F18" i="16" s="1"/>
  <c r="F14" i="16"/>
  <c r="C18" i="16"/>
  <c r="F6" i="16"/>
  <c r="E80" i="20" l="1"/>
  <c r="E88" i="20" s="1"/>
  <c r="E90" i="20" s="1"/>
  <c r="E125" i="20" s="1"/>
  <c r="F15" i="16"/>
  <c r="C15" i="16"/>
  <c r="F21" i="16" l="1"/>
  <c r="F22" i="16" s="1"/>
  <c r="F7" i="16"/>
  <c r="C7" i="16"/>
  <c r="C21" i="16"/>
  <c r="F10" i="16" l="1"/>
  <c r="F11" i="16" s="1"/>
  <c r="C10" i="16"/>
  <c r="G35" i="28" l="1"/>
  <c r="G44" i="1"/>
  <c r="D11" i="23"/>
  <c r="F27" i="16"/>
  <c r="D7" i="31" l="1"/>
  <c r="E95" i="23" l="1"/>
  <c r="E99" i="20"/>
  <c r="E126" i="20" s="1"/>
  <c r="E127" i="20" s="1"/>
  <c r="E96" i="27" l="1"/>
  <c r="E96" i="23"/>
  <c r="E103" i="20"/>
  <c r="E98" i="27" l="1"/>
  <c r="E126" i="27" s="1"/>
  <c r="E127" i="27" s="1"/>
  <c r="E102" i="27" s="1"/>
  <c r="E103" i="27" s="1"/>
  <c r="E114" i="27" s="1"/>
  <c r="E116" i="27" s="1"/>
  <c r="E106" i="27" s="1"/>
  <c r="E98" i="23"/>
  <c r="E125" i="23" s="1"/>
  <c r="E126" i="23" s="1"/>
  <c r="E102" i="23" s="1"/>
  <c r="E103" i="23" s="1"/>
  <c r="E113" i="23" s="1"/>
  <c r="E115" i="23" s="1"/>
  <c r="E104" i="20"/>
  <c r="E114" i="20" s="1"/>
  <c r="E116" i="20" s="1"/>
  <c r="E107" i="27" l="1"/>
  <c r="E105" i="27"/>
  <c r="E118" i="27"/>
  <c r="E107" i="23"/>
  <c r="E106" i="23"/>
  <c r="E105" i="23"/>
  <c r="E117" i="23"/>
  <c r="E108" i="20"/>
  <c r="E107" i="20"/>
  <c r="E118" i="20"/>
  <c r="E106" i="20"/>
  <c r="E108" i="27" l="1"/>
  <c r="E128" i="27" s="1"/>
  <c r="E129" i="27" s="1"/>
  <c r="D17" i="36"/>
  <c r="E17" i="36" s="1"/>
  <c r="F17" i="36" s="1"/>
  <c r="E9" i="40"/>
  <c r="F9" i="40" s="1"/>
  <c r="D12" i="37"/>
  <c r="E12" i="37" s="1"/>
  <c r="F12" i="37" s="1"/>
  <c r="G9" i="40"/>
  <c r="H9" i="40" s="1"/>
  <c r="E109" i="20"/>
  <c r="E128" i="20" s="1"/>
  <c r="E129" i="20" s="1"/>
  <c r="E108" i="23"/>
  <c r="E127" i="23" s="1"/>
  <c r="E128" i="23" s="1"/>
  <c r="C7" i="40" l="1"/>
  <c r="D7" i="40" s="1"/>
  <c r="D23" i="39"/>
  <c r="D8" i="39"/>
  <c r="E8" i="39" s="1"/>
  <c r="D20" i="39"/>
  <c r="D16" i="39"/>
  <c r="D11" i="39"/>
  <c r="C9" i="40"/>
  <c r="D9" i="40" s="1"/>
  <c r="D31" i="39"/>
  <c r="D12" i="39"/>
  <c r="D9" i="39"/>
  <c r="E9" i="39" s="1"/>
  <c r="D17" i="39"/>
  <c r="D24" i="39"/>
  <c r="D21" i="39"/>
  <c r="E21" i="39" s="1"/>
  <c r="F21" i="39" s="1"/>
  <c r="C9" i="38"/>
  <c r="D9" i="38" s="1"/>
  <c r="D28" i="26"/>
  <c r="E28" i="26" s="1"/>
  <c r="B26" i="40" s="1"/>
  <c r="E8" i="38"/>
  <c r="F8" i="38" s="1"/>
  <c r="D12" i="36"/>
  <c r="E12" i="36" s="1"/>
  <c r="F12" i="36" s="1"/>
  <c r="D9" i="36"/>
  <c r="E9" i="36" s="1"/>
  <c r="F9" i="36" s="1"/>
  <c r="D24" i="36"/>
  <c r="E24" i="36" s="1"/>
  <c r="F24" i="36" s="1"/>
  <c r="D21" i="36"/>
  <c r="E21" i="36" s="1"/>
  <c r="F21" i="36" s="1"/>
  <c r="E8" i="40"/>
  <c r="F8" i="40" s="1"/>
  <c r="E10" i="40" s="1"/>
  <c r="E11" i="40" s="1"/>
  <c r="E9" i="38"/>
  <c r="F9" i="38" s="1"/>
  <c r="D31" i="36"/>
  <c r="E31" i="36" s="1"/>
  <c r="F31" i="36" s="1"/>
  <c r="F32" i="36" s="1"/>
  <c r="D9" i="37"/>
  <c r="E9" i="37" s="1"/>
  <c r="F9" i="37" s="1"/>
  <c r="D21" i="37"/>
  <c r="E21" i="37" s="1"/>
  <c r="F21" i="37" s="1"/>
  <c r="G8" i="38"/>
  <c r="H8" i="38" s="1"/>
  <c r="G8" i="40"/>
  <c r="H8" i="40" s="1"/>
  <c r="G10" i="40" s="1"/>
  <c r="G11" i="40" s="1"/>
  <c r="C8" i="38"/>
  <c r="D8" i="38" s="1"/>
  <c r="C8" i="40"/>
  <c r="D8" i="40" s="1"/>
  <c r="D17" i="37"/>
  <c r="E17" i="37" s="1"/>
  <c r="F17" i="37" s="1"/>
  <c r="D24" i="37"/>
  <c r="E24" i="37" s="1"/>
  <c r="F24" i="37" s="1"/>
  <c r="D31" i="37"/>
  <c r="E31" i="37" s="1"/>
  <c r="F26" i="40" s="1"/>
  <c r="G9" i="38"/>
  <c r="H9" i="38" s="1"/>
  <c r="D8" i="26"/>
  <c r="E8" i="26" s="1"/>
  <c r="C7" i="38"/>
  <c r="D7" i="38" s="1"/>
  <c r="D21" i="26"/>
  <c r="E21" i="26" s="1"/>
  <c r="F21" i="26" s="1"/>
  <c r="H21" i="26" s="1"/>
  <c r="D14" i="26"/>
  <c r="E14" i="26" s="1"/>
  <c r="F14" i="26" s="1"/>
  <c r="H14" i="26" s="1"/>
  <c r="D9" i="26"/>
  <c r="E9" i="26" s="1"/>
  <c r="F9" i="26" s="1"/>
  <c r="H9" i="26" s="1"/>
  <c r="D13" i="26"/>
  <c r="E13" i="26" s="1"/>
  <c r="D18" i="26"/>
  <c r="E18" i="26" s="1"/>
  <c r="D6" i="26"/>
  <c r="E6" i="26" s="1"/>
  <c r="D20" i="26"/>
  <c r="E20" i="26" s="1"/>
  <c r="D5" i="26"/>
  <c r="E5" i="26" s="1"/>
  <c r="D17" i="26"/>
  <c r="E17" i="26" s="1"/>
  <c r="E16" i="39" l="1"/>
  <c r="F16" i="39" s="1"/>
  <c r="E20" i="39"/>
  <c r="F20" i="39" s="1"/>
  <c r="E11" i="39"/>
  <c r="F11" i="39" s="1"/>
  <c r="E23" i="39"/>
  <c r="F23" i="39" s="1"/>
  <c r="C10" i="40"/>
  <c r="C11" i="40" s="1"/>
  <c r="F8" i="39"/>
  <c r="E24" i="39"/>
  <c r="F24" i="39" s="1"/>
  <c r="E12" i="39"/>
  <c r="F12" i="39" s="1"/>
  <c r="E17" i="39"/>
  <c r="F17" i="39" s="1"/>
  <c r="F28" i="26"/>
  <c r="F29" i="26" s="1"/>
  <c r="B26" i="38"/>
  <c r="E10" i="38"/>
  <c r="E11" i="38" s="1"/>
  <c r="D26" i="40"/>
  <c r="F25" i="36"/>
  <c r="F26" i="36" s="1"/>
  <c r="F48" i="36" s="1"/>
  <c r="D26" i="38"/>
  <c r="G10" i="38"/>
  <c r="G11" i="38" s="1"/>
  <c r="I8" i="40"/>
  <c r="J8" i="40" s="1"/>
  <c r="F25" i="37"/>
  <c r="F25" i="40" s="1"/>
  <c r="F28" i="40" s="1"/>
  <c r="F29" i="40" s="1"/>
  <c r="C10" i="38"/>
  <c r="C11" i="38" s="1"/>
  <c r="I9" i="40"/>
  <c r="J9" i="40" s="1"/>
  <c r="F31" i="37"/>
  <c r="F32" i="37" s="1"/>
  <c r="F26" i="38"/>
  <c r="F17" i="26"/>
  <c r="H17" i="26" s="1"/>
  <c r="F13" i="26"/>
  <c r="H13" i="26" s="1"/>
  <c r="F5" i="26"/>
  <c r="F6" i="26"/>
  <c r="H6" i="26" s="1"/>
  <c r="F20" i="26"/>
  <c r="H20" i="26" s="1"/>
  <c r="F18" i="26"/>
  <c r="H18" i="26" s="1"/>
  <c r="F8" i="26"/>
  <c r="H8" i="26" s="1"/>
  <c r="F9" i="39" l="1"/>
  <c r="F25" i="39" s="1"/>
  <c r="D25" i="38"/>
  <c r="D28" i="38" s="1"/>
  <c r="D29" i="38" s="1"/>
  <c r="D25" i="40"/>
  <c r="D28" i="40" s="1"/>
  <c r="D29" i="40" s="1"/>
  <c r="E31" i="39"/>
  <c r="I10" i="40"/>
  <c r="I11" i="40" s="1"/>
  <c r="H26" i="40"/>
  <c r="F26" i="37"/>
  <c r="F48" i="37" s="1"/>
  <c r="F25" i="38"/>
  <c r="F28" i="38" s="1"/>
  <c r="D33" i="38" s="1"/>
  <c r="H5" i="26"/>
  <c r="F22" i="26"/>
  <c r="F23" i="26" s="1"/>
  <c r="F45" i="26" s="1"/>
  <c r="F26" i="39" l="1"/>
  <c r="F31" i="39"/>
  <c r="F32" i="39" s="1"/>
  <c r="H25" i="40"/>
  <c r="H28" i="40" s="1"/>
  <c r="H29" i="40" s="1"/>
  <c r="D40" i="38"/>
  <c r="D34" i="38"/>
  <c r="D38" i="38"/>
  <c r="D37" i="38"/>
  <c r="D46" i="38"/>
  <c r="D45" i="38"/>
  <c r="D41" i="38"/>
  <c r="D36" i="38"/>
  <c r="D43" i="38"/>
  <c r="F29" i="38"/>
  <c r="D42" i="38"/>
  <c r="D44" i="38"/>
  <c r="D39" i="38"/>
  <c r="B25" i="38"/>
  <c r="B28" i="38" s="1"/>
  <c r="C33" i="38" s="1"/>
  <c r="B25" i="40"/>
  <c r="B28" i="40" s="1"/>
  <c r="B29" i="40" s="1"/>
  <c r="I27" i="26"/>
  <c r="F47" i="39" l="1"/>
  <c r="B29" i="38"/>
  <c r="C43" i="38"/>
  <c r="E43" i="38" s="1"/>
  <c r="C46" i="38"/>
  <c r="E46" i="38" s="1"/>
  <c r="C40" i="38"/>
  <c r="E40" i="38" s="1"/>
  <c r="C39" i="38"/>
  <c r="E39" i="38" s="1"/>
  <c r="C41" i="38"/>
  <c r="E41" i="38" s="1"/>
  <c r="C45" i="38"/>
  <c r="E45" i="38" s="1"/>
  <c r="C38" i="38"/>
  <c r="E38" i="38" s="1"/>
  <c r="C37" i="38"/>
  <c r="E37" i="38" s="1"/>
  <c r="C36" i="38"/>
  <c r="E36" i="38" s="1"/>
  <c r="C34" i="38"/>
  <c r="E34" i="38" s="1"/>
  <c r="C42" i="38"/>
  <c r="E42" i="38" s="1"/>
  <c r="C44" i="38"/>
  <c r="E44" i="38" s="1"/>
  <c r="E33" i="38"/>
  <c r="J30" i="26"/>
  <c r="E35" i="38" l="1"/>
  <c r="E47" i="38"/>
  <c r="E49" i="38"/>
  <c r="E48" i="38" l="1"/>
  <c r="E50" i="38" s="1"/>
</calcChain>
</file>

<file path=xl/sharedStrings.xml><?xml version="1.0" encoding="utf-8"?>
<sst xmlns="http://schemas.openxmlformats.org/spreadsheetml/2006/main" count="1229" uniqueCount="435">
  <si>
    <t>ITENS</t>
  </si>
  <si>
    <t>Descrição</t>
  </si>
  <si>
    <t>UNIDADE</t>
  </si>
  <si>
    <t>UNIFORME SERVENTE DE LIMPEZA UNISSEX</t>
  </si>
  <si>
    <t>V. Unitário (B)</t>
  </si>
  <si>
    <t>TOTAL</t>
  </si>
  <si>
    <t xml:space="preserve">TOTAL </t>
  </si>
  <si>
    <t>TRIBUTOS</t>
  </si>
  <si>
    <t>ENCARREGADO</t>
  </si>
  <si>
    <t>ÁREA (m²)</t>
  </si>
  <si>
    <t>PROD.
DE REF. (m²)</t>
  </si>
  <si>
    <t>EFETIVO
PREV.</t>
  </si>
  <si>
    <t>ÁREA INTERNA</t>
  </si>
  <si>
    <t>-</t>
  </si>
  <si>
    <t>PROD.
DE REF.</t>
  </si>
  <si>
    <t>TOTAL GERAL (SERVENTES + ENCARREGADO)</t>
  </si>
  <si>
    <t>SERVENTE</t>
  </si>
  <si>
    <t>VALOR UNITÁRIO</t>
  </si>
  <si>
    <t>VALOR ANUAL</t>
  </si>
  <si>
    <t>Quantidade Anual</t>
  </si>
  <si>
    <t>Valor Anual</t>
  </si>
  <si>
    <t>Frequência (Jornada)</t>
  </si>
  <si>
    <t>Tipo de Área</t>
  </si>
  <si>
    <t>Local</t>
  </si>
  <si>
    <t xml:space="preserve">TOTAL DE ENCARREGADO </t>
  </si>
  <si>
    <t>TOTAL GERAL</t>
  </si>
  <si>
    <t>VALOR TOTAL ANUAL</t>
  </si>
  <si>
    <t>VALOR TOTAL MENSAL</t>
  </si>
  <si>
    <t>ESPECIFICAÇÕES MATERIAIS DE CONSUMO</t>
  </si>
  <si>
    <t>Discriminação dos Serviços</t>
  </si>
  <si>
    <t>A</t>
  </si>
  <si>
    <t>Data de apresentação da proposta</t>
  </si>
  <si>
    <t>B</t>
  </si>
  <si>
    <t>Município</t>
  </si>
  <si>
    <t>C</t>
  </si>
  <si>
    <t>Ano do Acordo, Convenção ou Dissídio Coletivo</t>
  </si>
  <si>
    <t>D</t>
  </si>
  <si>
    <t>Nº de meses de execução contratual</t>
  </si>
  <si>
    <t>Identificação do Serviço</t>
  </si>
  <si>
    <t>Tipo de Serviço</t>
  </si>
  <si>
    <t>Unidade de Medida</t>
  </si>
  <si>
    <t> Quantidade total a contratar (em função da unidade de medida)</t>
  </si>
  <si>
    <t>m²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</si>
  <si>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</si>
  <si>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</si>
  <si>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</si>
  <si>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Salário Nominativo da Categoria Profissional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</si>
  <si>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</si>
  <si>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</si>
  <si>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</si>
  <si>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</si>
  <si>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</si>
  <si>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</si>
  <si>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</si>
  <si>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 xml:space="preserve">Adicional Periculosidade </t>
  </si>
  <si>
    <t>Adicional Insalubridade</t>
  </si>
  <si>
    <t>Adicional Noturno</t>
  </si>
  <si>
    <t>E</t>
  </si>
  <si>
    <t>Adicional de Hora Noturna Reduzida</t>
  </si>
  <si>
    <t>F</t>
  </si>
  <si>
    <t>Adicional de Hora Extra no Feriado Trabalhado</t>
  </si>
  <si>
    <t>G</t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</si>
  <si>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</si>
  <si>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</si>
  <si>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</si>
  <si>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</si>
  <si>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r>
      <t>13 (Décimo-terceiro) salário</t>
    </r>
    <r>
      <rPr>
        <sz val="10"/>
        <color indexed="10"/>
        <rFont val="Calibri"/>
        <family val="2"/>
        <scheme val="minor"/>
      </rPr>
      <t xml:space="preserve"> </t>
    </r>
  </si>
  <si>
    <t>Férias e Adicional de Férias</t>
  </si>
  <si>
    <t>TOTAL SUBMÓDULO 2.1</t>
  </si>
  <si>
    <t>Submódulo 2.2 - GPS, FGTS e Outras Contribuições</t>
  </si>
  <si>
    <t xml:space="preserve">INSS </t>
  </si>
  <si>
    <t xml:space="preserve">Salário Educação </t>
  </si>
  <si>
    <t>SAT (Seguro Acidente de Trabalho)</t>
  </si>
  <si>
    <t>SESC ou SESI</t>
  </si>
  <si>
    <t xml:space="preserve">SENAI - SENAC </t>
  </si>
  <si>
    <t xml:space="preserve">SEBRAE 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</si>
  <si>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</si>
  <si>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</si>
  <si>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</si>
  <si>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</si>
  <si>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</si>
  <si>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 xml:space="preserve">Transporte </t>
  </si>
  <si>
    <t xml:space="preserve">Auxílio-Refeição/Alimentação 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</si>
  <si>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</si>
  <si>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</si>
  <si>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</si>
  <si>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</si>
  <si>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</si>
  <si>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</si>
  <si>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</si>
  <si>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</si>
  <si>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</si>
  <si>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</si>
  <si>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</si>
  <si>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</si>
  <si>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</si>
  <si>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</si>
  <si>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 xml:space="preserve">Aviso Prévio Trabalhado </t>
  </si>
  <si>
    <t>Incidência dos encargos do submódulo 2.2 sobre Aviso Prévio Trabalhado</t>
  </si>
  <si>
    <t>TOTAL DO MÓDULO 3</t>
  </si>
  <si>
    <t>MÓDULO 4 – CUSTO DE REPOSIÇÃO DO PROFISSIONAL AUSENTE</t>
  </si>
  <si>
    <t xml:space="preserve">Férias </t>
  </si>
  <si>
    <t>Ausências Legais</t>
  </si>
  <si>
    <t>Licença Paternidade</t>
  </si>
  <si>
    <r>
      <t>Ausência por Acidente de Trabalho</t>
    </r>
    <r>
      <rPr>
        <sz val="10"/>
        <color indexed="10"/>
        <rFont val="Calibri"/>
        <family val="2"/>
        <scheme val="minor"/>
      </rPr>
      <t xml:space="preserve"> </t>
    </r>
  </si>
  <si>
    <t>Afastamento Maternidade</t>
  </si>
  <si>
    <t>TOTAL SUBMÓDULO 4.1</t>
  </si>
  <si>
    <t>Submódulo 4.2 - Intrajornada</t>
  </si>
  <si>
    <t>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</si>
  <si>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</si>
  <si>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</si>
  <si>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</si>
  <si>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</si>
  <si>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4.2</t>
  </si>
  <si>
    <t>Intrajornada</t>
  </si>
  <si>
    <t>TOTAL DO MÓDULO 4</t>
  </si>
  <si>
    <t>MÓDULO 5 – INSUMOS DIVERSOS</t>
  </si>
  <si>
    <t>INSUMOS DIVERSOS</t>
  </si>
  <si>
    <t xml:space="preserve">Uniformes </t>
  </si>
  <si>
    <t>Materiais</t>
  </si>
  <si>
    <t>Equipamentos</t>
  </si>
  <si>
    <t xml:space="preserve">Outros (Relógio de Ponto) 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</si>
  <si>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</si>
  <si>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</si>
  <si>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</si>
  <si>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</si>
  <si>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</si>
  <si>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C.1. PIS</t>
  </si>
  <si>
    <t>C.2. COFINS</t>
  </si>
  <si>
    <t>C.3. 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</si>
  <si>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</si>
  <si>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</si>
  <si>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</si>
  <si>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</si>
  <si>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</si>
  <si>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</si>
  <si>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</si>
  <si>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</si>
  <si>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2. QUADRO RESUMO DO CUSTO POR EMPREGADO</t>
  </si>
  <si>
    <t>Mão-de-Obra vinculada à execução contratual (valor por empregado)</t>
  </si>
  <si>
    <t>Subtotal (A + B + C + D + E)</t>
  </si>
  <si>
    <t>PREÇO TOTAL POR EMPREGADO</t>
  </si>
  <si>
    <t>BRASÍLIA/DF</t>
  </si>
  <si>
    <t>Auxilio funeral</t>
  </si>
  <si>
    <t xml:space="preserve">Assistência Odontológica </t>
  </si>
  <si>
    <t>Plano de Saúde</t>
  </si>
  <si>
    <t>EPI</t>
  </si>
  <si>
    <t>Camisa em malha fria com gola esporte, em gabardine, com emblema da empresa prestadora de serviços.</t>
  </si>
  <si>
    <t>Calça comprida com elástico e cordão em gabardine</t>
  </si>
  <si>
    <t>Meias em 100% algodão tipo soquete.</t>
  </si>
  <si>
    <t>Par de sapatos, na cor preta, com solado baixo em borracha ou material sintético</t>
  </si>
  <si>
    <t>Total Mensal</t>
  </si>
  <si>
    <t>Total Anual</t>
  </si>
  <si>
    <t>UNIFORME CARREGADOR/ESTIVISTA MASCULINO</t>
  </si>
  <si>
    <t>UNIFORME ENCARREGADO UNISSEX</t>
  </si>
  <si>
    <t>Paletó com dois bolsos inferiores e emblema da empresa no canto superior esquerdo, em tecido Oxford, na core preta ou usual da empresa</t>
  </si>
  <si>
    <t>Calça comprida, do tipo social, com presilhas para cinto, em tecido Oxford, na cor preta ou usual da empresa.</t>
  </si>
  <si>
    <t>Camisa manga curta ou longa, do tipos social, na cor branca ou usual da empresa.</t>
  </si>
  <si>
    <t>Gravata ou Lenço feminino</t>
  </si>
  <si>
    <t>Pares de meias tipo social</t>
  </si>
  <si>
    <t>Pares de sapatos, do tipo social, na cor preta, material couro</t>
  </si>
  <si>
    <t>MARCA/SIMILAR</t>
  </si>
  <si>
    <t>(A) VALOR R$</t>
  </si>
  <si>
    <t>(B) QUANTIDADE MENSAL ESTIMADA</t>
  </si>
  <si>
    <t>(C.)=(A)X(B) TOTAL MENSAL</t>
  </si>
  <si>
    <t>(D)=(C.)X12 TOTAL ANUAL R$</t>
  </si>
  <si>
    <t>ÁGUA SANITÁRIA DE 1º QUALIDADE</t>
  </si>
  <si>
    <t>ÁLCOOL 92% DE 1º QUALIDADE</t>
  </si>
  <si>
    <t>AROMATIZANTE</t>
  </si>
  <si>
    <t>BALDE PARA ÁGUA COM CAPACIDADE 10 LITROS</t>
  </si>
  <si>
    <t>BALDE PARA ÁGUA COM CAPACIDADE 15 LITROS</t>
  </si>
  <si>
    <t>BRILHO INOX</t>
  </si>
  <si>
    <t>CERA LÍQUIDA PRETA</t>
  </si>
  <si>
    <t>DESENGRAXANTE PARA PISO</t>
  </si>
  <si>
    <t>DESENTUPIDOR DE VASO SANITÁRIODESINFETANTEBTENSOATIVO, COMAMONÍACO</t>
  </si>
  <si>
    <t>DESINFETANTE TENSOATIVO, COM AMONÍACO</t>
  </si>
  <si>
    <t>DESODORIZADOR DE AMBIENTE, FLAGRÂNCIA FLORA</t>
  </si>
  <si>
    <t>DETERGENTE ALCALINO, PARA LIMPEZA DE FORNO E FOGÃO</t>
  </si>
  <si>
    <t>ELIMINADOR DE ODORES</t>
  </si>
  <si>
    <t>ESCOVA DE MÃO</t>
  </si>
  <si>
    <t>ESFREGÃO RETANGULAR PLANO EM FIBRA SINTÉTICA</t>
  </si>
  <si>
    <t>ESPONJA DUPLA FACE</t>
  </si>
  <si>
    <t>FLANELA DE ALGODÃO BRANCA 50X50CM</t>
  </si>
  <si>
    <t>GLICERINA PARA USO NOS ELEVADORES</t>
  </si>
  <si>
    <t>LIMPA CARPETE</t>
  </si>
  <si>
    <t>LUSTRA MÓVEIS</t>
  </si>
  <si>
    <t>LUVA DE BORRACHA</t>
  </si>
  <si>
    <t>MULT LIMPADOR APROPRIADOR PARA COURO</t>
  </si>
  <si>
    <t>PÁ PEQUENA PARA LIXO</t>
  </si>
  <si>
    <t>PASTA SAPONÁCEA PARA LIMPEZA DE MÁRMORES</t>
  </si>
  <si>
    <t>PLACA PROLIM OU SIMILAR PARA MICTÓRIO</t>
  </si>
  <si>
    <t>PRODUTO ANTIEMBAÇANTE PARA LIMPEZA DE VIDROS</t>
  </si>
  <si>
    <t>PRODUTO DE LIMPEZA PARA EQUIPAMENTOS DE INFORMÁTICA</t>
  </si>
  <si>
    <t>RODO DUPLO 40 CM</t>
  </si>
  <si>
    <t>RODO DUPLO 60 CM</t>
  </si>
  <si>
    <t>SACO ALVEJADO DE PANO 45CM X 70CM</t>
  </si>
  <si>
    <t>SACO DE LIXO DE 100 LITROS COR CINZA</t>
  </si>
  <si>
    <t>SACO DE LIXO DE 200 LITROS COR AZUL</t>
  </si>
  <si>
    <t>SACO DE LIXO DE 20 LITROS COR CINZA</t>
  </si>
  <si>
    <t>SACO DE LIXO DE ASPIRADOR DE PÓ</t>
  </si>
  <si>
    <t>VASSOURA DE PELO TAMANHO PEQUENO</t>
  </si>
  <si>
    <t>VASSOURA DE PIAÇAVA TIPO GARI</t>
  </si>
  <si>
    <t>VASSOURA LIMPA TETO</t>
  </si>
  <si>
    <t>VASSOURA PARA LIMPEZA DE VASO</t>
  </si>
  <si>
    <t xml:space="preserve">Servente de limpeza </t>
  </si>
  <si>
    <t>POSTO</t>
  </si>
  <si>
    <t>CARREGADOR/ESTIVISTA</t>
  </si>
  <si>
    <t>ESPECIFICAÇÕES  - EQUIPAMENTOS E UTENSÍLIOS</t>
  </si>
  <si>
    <t>(A) QUANTIDADE</t>
  </si>
  <si>
    <t>(B) VALOR EQUIPAMENTO/UTENSÍLIOS (R$)</t>
  </si>
  <si>
    <t>(C.) VIDA ÚTIL EM MESES</t>
  </si>
  <si>
    <t>(D)=AxB/C CUSTO MENSAL (R$)</t>
  </si>
  <si>
    <t>(E)=(D)x12 CUSTO ANUAL (R$)</t>
  </si>
  <si>
    <t>ASPESOR</t>
  </si>
  <si>
    <t>ASPIRADOR DE PÓ E LIQUIDO GT PROFISSIONAL OU SIMILAR</t>
  </si>
  <si>
    <t>CARRINHO DE MÃO</t>
  </si>
  <si>
    <t>CARRINHO FUNCIONAL PARA LIMPEZA</t>
  </si>
  <si>
    <t>CARRINHO DE TRANSPORTE/MOVIMENTAÇÃO DE MÓVEIS</t>
  </si>
  <si>
    <t>ENCERRADEIRA INDUSTRIAL 450MM, ESCOVA DE 450MM, MOTOR ELÉTRICO HP 1,00, TENSÃO V 110/220, CAPACIDADE OPERACIONAL 2200M2H, PESO 35 KG, DIMENSÃO 0XH(MM) 510X1100 OU SIMILAR</t>
  </si>
  <si>
    <t>ENXADA</t>
  </si>
  <si>
    <t>ENXADÃO</t>
  </si>
  <si>
    <t>ESCADA DE 6 DEGRAUS COM PROTEÇÃO NOS PÉS</t>
  </si>
  <si>
    <t>ESCADA DUPLA ESTICÁVEL, ESPECIAL, CONFECCIONADA EM ALUMÍNIO, COM 4,5 METROS DE ALTURA QUANDO FECHADA E DE 7,5 METROS DE ALTURA QUANDO ESTICA</t>
  </si>
  <si>
    <t>ESGUINCHO TIPO PISTOLA</t>
  </si>
  <si>
    <t>FACÃO DE 600MM DE TAMANHO</t>
  </si>
  <si>
    <t>KIT LIMPEZA DE VIDRO</t>
  </si>
  <si>
    <t>LAVA JATO COM CAPACIDADE MÍNIMA DE PRESSÃO DE 2000 LIBRAS</t>
  </si>
  <si>
    <t>LIMPADOR A VAPOR DE AQUECIMENTO RAPIDO TIPO VAPORETO</t>
  </si>
  <si>
    <t>MANGUEIRA 3/4. 500</t>
  </si>
  <si>
    <t>MÁQUINA DE CORTAR GRAMA TIPO ROÇADEIRA 32CC</t>
  </si>
  <si>
    <t>MINI KIT PARA LIMPEZA DE VIDRO</t>
  </si>
  <si>
    <t>MOP ÁGUA COMPLETO CONJUNTO DUPLO</t>
  </si>
  <si>
    <t>PÁ PARA O JARDIM</t>
  </si>
  <si>
    <t>PLACA SINALIZADORA PARA PISO MOLHADO</t>
  </si>
  <si>
    <t>PULVERIZADOR COSTAL MANUAL, ACIONADOR POR ALAVANCA COM CAPACIDADE DE CARGA DE 20 LITROS</t>
  </si>
  <si>
    <t>RASTELO</t>
  </si>
  <si>
    <t>SERROTE DE NO MÍNIMO 600 MM DE TAMANHO</t>
  </si>
  <si>
    <t>TESOURA DE CORTAR GRAMA</t>
  </si>
  <si>
    <t>TESOURA PEQUENA PARA PODAR PLANTA</t>
  </si>
  <si>
    <t>TRANSCEPTORES PORTÁTEIS COM 5 WATTS PARA USO PROFISSIONAL OU CELULAR</t>
  </si>
  <si>
    <t>ENCERRADEIRA INDUSTRIAL 510MM, ESCOVA DE 510MM, MOTOR ELÉTRICO HP 1,00, TENSÃO V 110/220, CAPACIDADE OPERACIONAL 3200M2H, PESO 40 KG, DIMENSÃO 0XH(MM) 510X1100 OU SIMILAR</t>
  </si>
  <si>
    <t>UNIDADE DE FORNECIMENTO</t>
  </si>
  <si>
    <t>QUANTIDADE MENSAL ESTIMADA</t>
  </si>
  <si>
    <t>QUANTIDADE ANUAL ESTIMADA</t>
  </si>
  <si>
    <t xml:space="preserve">Papel higiênico branco, folha dupla de alta qualidade, texturizado, picotado e perfumado, rolo de 30 metros X
10 cm.
</t>
  </si>
  <si>
    <t>Guardanapo de luxo, macio, cor branca, 100% celulose, sem materiais estranhos ou sujiidades, com medidas aproximadas de 20 x 21 cm, pacote com 50 folhas. Marca Pluma ou similar.</t>
  </si>
  <si>
    <t>Toalha de papel interfolhada, duas dobras, macia, cor branca, com medidas aproximadas de 21 x 23 cm, com gramatura aproximada de 32 a 50 g/m²; pacote com 1000 folhas. Marca COLUMBUS (99.2105) ou similar.</t>
  </si>
  <si>
    <t>Papel protetor de assento sanitário descartável, para dispenser grande, cor branca, macio, resistente, tamanho universal; refil com 86 folhas. Marca COLUMBUS (99.2505) ou similar.</t>
  </si>
  <si>
    <t>Sabonete líquido em gel (antisséptico), refil de 800 ml do tipo “bag in Box”, fragância neutro. Marca COLUMBUS (99.2030) ou similar.</t>
  </si>
  <si>
    <t>Gel higienizante, a base de álcool 70%, refil de 800 ml do tipo “bag in Box”. Marca COLUMBUS (99.2029) ou similar.</t>
  </si>
  <si>
    <t>MATERIAL DE HIGIENE PESSOAL CENTRO DE TREINAMENTO</t>
  </si>
  <si>
    <t xml:space="preserve">Suporte (dispenser) para papel toalha interfolhada de duas dobras, de plástico, com frente branca, travas laterais acionadas por pressão, nas medidas aproximadas de 32 x 12 x 26 cm. Marca COLUMBUS (99.1011) ou
similar.
</t>
  </si>
  <si>
    <t xml:space="preserve">Suporte (dispenser) para papel protetor de assento sanitário (grande), de plástico, com frente branca, nas medidas aproximadas de 29 x
22 x 3 cm, com capacidade para refil de 86 folhas. Marca COLUMBUS (99.2503) ou similar.
</t>
  </si>
  <si>
    <t>Suporte (dispenser) para sabonete líquido ( ou álcool) em gel, para refil de 800 ml do tipo “bag in Box”, de plástico, com frente branca, travas laterais acionadas por pressão, nas medidas aproximadas de : altura 28 x largura 12 x profundidade 12 cm. Marca COLUMBUS (99.1002) ou similar.</t>
  </si>
  <si>
    <t>SUPORTE DE MATERIAS DE HIGIENE PESSOAL SEDE</t>
  </si>
  <si>
    <t>SUPORTE DE MATERIAS DE HIGIENE PESSOAL CENTRO DE TREINAMENTO</t>
  </si>
  <si>
    <t xml:space="preserve">ÁREA EXTERNA </t>
  </si>
  <si>
    <t>EDIFÍCIO SEDE ANAC</t>
  </si>
  <si>
    <t>CENTRO DE TREINAMENTO ANAC</t>
  </si>
  <si>
    <t>(D)=(A)x(C.) VALOR M² (R$)</t>
  </si>
  <si>
    <t>(C.) PREÇO          HOMEM-MÊS</t>
  </si>
  <si>
    <t>(B)           ÁREA (M²)</t>
  </si>
  <si>
    <t>(A)                ID/IK/EK</t>
  </si>
  <si>
    <t>TIPO DE ÁREA/                  FUNIONÁRIO</t>
  </si>
  <si>
    <t>(E)=(B)x(D)         VALOR MENSAL ÁREA (R$)</t>
  </si>
  <si>
    <t>ÁREA INTERNAS - PERIODICIDADE DIÁRIA</t>
  </si>
  <si>
    <t>EDIFÍCIO SEDE</t>
  </si>
  <si>
    <t>CENTRO DE TREINAMENTO</t>
  </si>
  <si>
    <t>1/1500</t>
  </si>
  <si>
    <t>ÁREAS EXTERNAS -  PERIODICIDADE DIÁRIA</t>
  </si>
  <si>
    <t>FACE INTERNA - EDIFÍCIO SEDE - SEM EXPOSIÇÃO À SITUAÇÃO DE RISCO</t>
  </si>
  <si>
    <t>FACE INTERNA E EXTERNA  - CENTRO DE TREINAMENTO - SEM EXPOSIÇÃO À SITUAÇÃO DE RISCO</t>
  </si>
  <si>
    <t>VALOR MENSAL DOS SERVIÇOS DE LIMPEZA (A1)</t>
  </si>
  <si>
    <t>VALOR ANUAL DOS SERVIÇOS DE LIMPEZA (A1)</t>
  </si>
  <si>
    <t>TIPO DE                   FUNIONÁRIO</t>
  </si>
  <si>
    <t>ESPECIFICAÇÃO</t>
  </si>
  <si>
    <t>QUANTIDADE</t>
  </si>
  <si>
    <t>PREÇO HOMEM MÊS</t>
  </si>
  <si>
    <t>VALOR MENSAL (R$)</t>
  </si>
  <si>
    <t>VALOR ANUAL (R$)</t>
  </si>
  <si>
    <t xml:space="preserve">CARREGADOR </t>
  </si>
  <si>
    <t>POSTO DE SERVIÇO DE 4 HORAS/SEMANA</t>
  </si>
  <si>
    <t>VALOR ANUAL DOS SERVIÇOS DE TRANSPORTE INTERNO DE CARGAS FRACIONADAS (A2)</t>
  </si>
  <si>
    <t>SERVIÇO DE TRASNPORTE INTERNO DE CARGAS FRACIONADAS (A2)</t>
  </si>
  <si>
    <t>RELÓGIO DE PONTO</t>
  </si>
  <si>
    <t>TRT 10° REGIÃO</t>
  </si>
  <si>
    <t>Quant.</t>
  </si>
  <si>
    <t>Valor Unitário</t>
  </si>
  <si>
    <t>Valor Total</t>
  </si>
  <si>
    <t>Relogio de Ponto</t>
  </si>
  <si>
    <t>DEPRECIAÇÃO</t>
  </si>
  <si>
    <t>Valor Mensal</t>
  </si>
  <si>
    <t>Vigência do contrato, (12) podendo ser prorrogado até o limite de 60 meses.</t>
  </si>
  <si>
    <t xml:space="preserve">Rateio Pela Quantidade de Postos </t>
  </si>
  <si>
    <t>ÁREA DE ESQUADRIA INTERNAS E EXTERNAS SEM EXPOSIÇÃO À SITUAÇÃO DE RISCO</t>
  </si>
  <si>
    <t>ÁREA DE ESQUADRIA INTERNAS SEM EXPOSIÇÃO À SITUAÇÃO DE RISCO</t>
  </si>
  <si>
    <t>Rélogio de Ponto</t>
  </si>
  <si>
    <t>MATERIAL DE HIGIENE PESSOAL EDIFÍCIO SEDE</t>
  </si>
  <si>
    <t>1/3000</t>
  </si>
  <si>
    <t>MEMÓRIA DE CÁLCULO DE VALE TRANSPORTE</t>
  </si>
  <si>
    <t>PERCURSO</t>
  </si>
  <si>
    <t>CUSTO UNITÁRIO DO V.T</t>
  </si>
  <si>
    <t>QUANTIDADE DE V.T</t>
  </si>
  <si>
    <t>CUSTO POR PERCURSO</t>
  </si>
  <si>
    <t>Residência/Órgão</t>
  </si>
  <si>
    <t>Órgão/Residência</t>
  </si>
  <si>
    <t>CUSTO TOTAL (R$)</t>
  </si>
  <si>
    <t>CATEGORIA</t>
  </si>
  <si>
    <t>SALÁRIO BASE</t>
  </si>
  <si>
    <t>CUSTO TOTAL DO V.T</t>
  </si>
  <si>
    <t>VALOR DO DESCONTO DO V.T</t>
  </si>
  <si>
    <t>CUSTO DO V.T INSERIDO NAS PLANILHAS DE CUSTOS</t>
  </si>
  <si>
    <t>SERVENTE DE LIMPEZA</t>
  </si>
  <si>
    <t>MEMÓRIA DE CÁLCULO DO AUXÍLIO ALIMENTAÇÃO</t>
  </si>
  <si>
    <t>DESCRIÇÃO</t>
  </si>
  <si>
    <t>CUSTO UNITÁRIO DO V.A S/ O DESCONTO (5%)</t>
  </si>
  <si>
    <t>QUANT. DE V.A</t>
  </si>
  <si>
    <t xml:space="preserve">CUSTO TOTAL DO AUXÍLIO ALIMENTAÇÃO INSERIDO NAS PLANILHAS DE CUSTOS </t>
  </si>
  <si>
    <t>AUXÍLIO ALIMENTAÇÃO</t>
  </si>
  <si>
    <t>CARREGADO/ESTIVA</t>
  </si>
  <si>
    <t>LUVA RASPA DE COURO</t>
  </si>
  <si>
    <t>LIMP TEK</t>
  </si>
  <si>
    <t>ELETROLUX</t>
  </si>
  <si>
    <t>MATERIAL RATEADO PELOS SERVENTES DE LIMPEZA</t>
  </si>
  <si>
    <t>MATERIAL RATEADO PELOS SERVENTES DE LIMPEZA E CARREGADOR/ESTIVA</t>
  </si>
  <si>
    <t>1/1350</t>
  </si>
  <si>
    <t xml:space="preserve">ENCARREGADO </t>
  </si>
  <si>
    <t>(1/*380)*8* (1/188,76)</t>
  </si>
  <si>
    <t>MATERIAL DE HIGIENE PESSOAL</t>
  </si>
  <si>
    <t>MATERIAL DE HIGIENE PESSOAL SEDE</t>
  </si>
  <si>
    <t>MENSAL</t>
  </si>
  <si>
    <t>ANUAL</t>
  </si>
  <si>
    <t>DISPENSER SEDE</t>
  </si>
  <si>
    <t>DISPENSER CENTRO DE TREINAMENTO</t>
  </si>
  <si>
    <t>TOTAL GERAL DA PROPOSTA</t>
  </si>
  <si>
    <t xml:space="preserve">AGÊNCIA NACIONAL DE AVIAÇÃO CIVIL </t>
  </si>
  <si>
    <t>ESQUADRIAS EXTERNAS - PERIODICIDADE MENSAL                                                                                                            HORA MÊS =8 JORNADA =1/188,76 PRODUTIVIDADE MÍNIMA = 1/380 M²</t>
  </si>
  <si>
    <t>1/(13*1350)</t>
  </si>
  <si>
    <t>1/(13*1500)</t>
  </si>
  <si>
    <t>1/(13*3000)</t>
  </si>
  <si>
    <t>(1/(13*380))*8* (1/188,76)</t>
  </si>
  <si>
    <t>MATERIAL DISPENSER</t>
  </si>
  <si>
    <t>TOTAL GERAL DA PROPOSTA - CCT 2018</t>
  </si>
  <si>
    <t>SERVIÇOS DE LIMPEZA - CCT 2017</t>
  </si>
  <si>
    <t>1ª REPACTUAÇÃO
PEDIDO DA CONTRATADA</t>
  </si>
  <si>
    <t>1ª REPACTUAÇÃO
CONCEDIDO PELA ANAC</t>
  </si>
  <si>
    <t>PROPOSTA ORIGINAL</t>
  </si>
  <si>
    <t>Quantidade
Contratada</t>
  </si>
  <si>
    <t>Encarregado Geral</t>
  </si>
  <si>
    <t>Servente</t>
  </si>
  <si>
    <t>Carregador</t>
  </si>
  <si>
    <t>Unitário / posto</t>
  </si>
  <si>
    <t xml:space="preserve">Valor Mensal do Posto </t>
  </si>
  <si>
    <t>Mensal Qtd.</t>
  </si>
  <si>
    <t>TOTAL MENSAL SERVIÇO</t>
  </si>
  <si>
    <t>TOTAL ANUAL SERVIÇO</t>
  </si>
  <si>
    <t>CUSTO MENSAL (MÃO DE OBRA)</t>
  </si>
  <si>
    <t>CUSTO ANUAL (MÃO DE OBRA)</t>
  </si>
  <si>
    <t>CUSTO MATERIAL DE HIGIENE PESSOAL</t>
  </si>
  <si>
    <t>CUSTO MATERIAL DISPENSER</t>
  </si>
  <si>
    <t>SERVIÇOS DE LIMPEZA</t>
  </si>
  <si>
    <t>MATERIAL HIGIENE PESSOAL E DISPENSER</t>
  </si>
  <si>
    <t>REMUNERAÇÃO PARA EXECUÇÃO DO SERVIÇO (TOTAL)</t>
  </si>
  <si>
    <t>CUSTO REFERÊNCIA COM MÃO DE OBRA</t>
  </si>
  <si>
    <t>Período Execução Contratual</t>
  </si>
  <si>
    <t>25/01/18 - 31/01/18 (7/31 - PRÓ-RATA)</t>
  </si>
  <si>
    <t>Valor Total devido para o período retroativo</t>
  </si>
  <si>
    <t>01/01/18 - 24/01/18 (24/31 - PRÓ-RATA)</t>
  </si>
  <si>
    <t>EFEITOS FINANCEIROS DA 1ª REPACTUAÇÃO</t>
  </si>
  <si>
    <t>Valores estimados após repactuação</t>
  </si>
  <si>
    <t>Valores estimados contratados</t>
  </si>
  <si>
    <t>Valor Total a ser Acrescido para o Período Ordinário (B)</t>
  </si>
  <si>
    <t>Valor Total do 1º Termo de Apostilamento (C = A+B)</t>
  </si>
  <si>
    <t>Valor ANUAL anterior ao Apostilamento (D)</t>
  </si>
  <si>
    <t>Valor GLOBAL do contrato
(período de vigência entre 25/01/18 a 24/01/2019)</t>
  </si>
  <si>
    <t>Diferença Financeira Estimada</t>
  </si>
  <si>
    <t>ANEXO IV - VALORES REMUNERAÇÃO DO SERVIÇO: CONCESSÃO ANAC 1ª REPACTUAÇÃO</t>
  </si>
  <si>
    <t>ANEXO V - VALORES REMUNERAÇÃO DO SERVIÇO: PEDIDO DA CONTRATADA 1ª REPACTUAÇÃO</t>
  </si>
  <si>
    <t>ANEXO VI - RESUMO VALORES CONCEDIDOS 1ª REPACTUAÇÃO E SEUS EFEITOS FINANCEIROS</t>
  </si>
  <si>
    <t>SERVIÇOS DE LIMPEZA - CCT 2018</t>
  </si>
  <si>
    <t>1ª PRORROGAÇÃO
REALIZADA</t>
  </si>
  <si>
    <t xml:space="preserve">SERVIÇOS DE LIMPEZA </t>
  </si>
  <si>
    <t/>
  </si>
  <si>
    <t>Calça comprida em jeans</t>
  </si>
  <si>
    <t>POSTO DE SERVIÇO DE 44 HORAS/SEMANA</t>
  </si>
  <si>
    <t>1/2500</t>
  </si>
  <si>
    <t>(1/*300)*8* (1/188,76)</t>
  </si>
  <si>
    <t>(1/(17*300))*8* (1/188,76)</t>
  </si>
  <si>
    <t>1/(17*2500)</t>
  </si>
  <si>
    <t>CCT 2022</t>
  </si>
  <si>
    <t>Q-Boa/Triex
Brilhante</t>
  </si>
  <si>
    <t>Aldeia/Zulu 
Minalcool</t>
  </si>
  <si>
    <t>Klimp</t>
  </si>
  <si>
    <t>Scoth Brite/3M</t>
  </si>
  <si>
    <t>Beker/ mariner</t>
  </si>
  <si>
    <t>Meu lar/ Isofet</t>
  </si>
  <si>
    <t>Johnson</t>
  </si>
  <si>
    <t>Fast/Limpa Forno</t>
  </si>
  <si>
    <t>Enzimac/ shout</t>
  </si>
  <si>
    <t>3M</t>
  </si>
  <si>
    <t>AutoClin</t>
  </si>
  <si>
    <t>Start</t>
  </si>
  <si>
    <t>Poliflor</t>
  </si>
  <si>
    <t>Renova/Amy</t>
  </si>
  <si>
    <t>Pasta Crista/LUFE</t>
  </si>
  <si>
    <t>Kimberly/Odim/Prolim</t>
  </si>
  <si>
    <t>Servengel</t>
  </si>
  <si>
    <t>Minas Plus</t>
  </si>
  <si>
    <t>Reciplan</t>
  </si>
  <si>
    <t xml:space="preserve">QUANTIDADE MENSAL </t>
  </si>
  <si>
    <t>QUANTIDADE ANUAL</t>
  </si>
  <si>
    <t>VALOR MENSAL</t>
  </si>
  <si>
    <t>EXTRATORA PARA LIMPEZA DE ESTOFADOS E CARPETES</t>
  </si>
  <si>
    <t>TOTAL GLOBAL - CCT 2022</t>
  </si>
  <si>
    <t>1/(17*985)</t>
  </si>
  <si>
    <t>1/985</t>
  </si>
  <si>
    <t>1/(17*1450)</t>
  </si>
  <si>
    <t>1/1450</t>
  </si>
  <si>
    <t>ANEXO II B - PLANILHA DE CUSTOS E FORMAÇÃO DE PREÇOS: POSTO DE SERVENTE</t>
  </si>
  <si>
    <t>ANEXO II D - PLANILHA DE CUSTOS E FORMAÇÃO DE PREÇOS: POSTO DE CARREGADOR/ESTIVA</t>
  </si>
  <si>
    <t>Anexo II A.2 - PRODUTIVIDADE</t>
  </si>
  <si>
    <t>ANEXO II I - MATERIAIS DE HIGIENE PESSOAL</t>
  </si>
  <si>
    <t>ANEXO II H - SUPORTE DE MATERIAIS DE HIGIENE PESSOAL</t>
  </si>
  <si>
    <t>ESQUADRIAS EXTERNAS - PERIODICIDADE MENSAL
 HORA MÊS =8           JORNADA =1/188,76               PRODUTIVIDADE MÍNIMA = 1/300 M²</t>
  </si>
  <si>
    <t>ANEXO II A - QUADRO RESUMO DO SERVIÇO</t>
  </si>
  <si>
    <t>ANEXO II C - PLANILHA DE CUSTOS E FORMAÇÃO DE PREÇOS: POSTO DE ENCARREGADO DE LIMPEZA</t>
  </si>
  <si>
    <t>ANEXO II F - EQUIPAMENTOS E UTENSÍLIOS - Custos incluídos nas planilhas dos profissionais</t>
  </si>
  <si>
    <t>ANEXO II E - MATERIAL DE LIMPEZA - Custos incluídos nas planilhas dos profissionais</t>
  </si>
  <si>
    <t>ANEXO II G - UNIFORMES - Custos incluídos nas planilhas dos profissionais</t>
  </si>
  <si>
    <t xml:space="preserve">Nota: De acordo com entendimento do TCU no Acórdão nº 1.186/2017 - Plenário, a Administração 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formluação do aditivo da prorrogação do contrato, conforme a Lei 12.506/2011".									</t>
  </si>
  <si>
    <t>Submódulo 4.1 - Substituto nas Ausências Legais</t>
  </si>
  <si>
    <t>Encarregado</t>
  </si>
  <si>
    <t>44 horas</t>
  </si>
  <si>
    <t>Multa sobre FGTS e contribuição social sobre o aviso prévio indenizado e sobre o aviso prévio trabalhado  (Alterado conforme Lei  nº  13.932/2019 )</t>
  </si>
  <si>
    <t>Planilha de Custos e Formação de Preços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</si>
</sst>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_(&quot;R$ &quot;* #,##0.00_);_(&quot;R$ &quot;* \(#,##0.00\);_(&quot;R$ &quot;* &quot;-&quot;??_);_(@_)"/>
    <numFmt numFmtId="167" formatCode="&quot;R$&quot;#,##0.00"/>
    <numFmt numFmtId="168" formatCode="&quot;R$ &quot;#,##0.00_);[Red]\(&quot;R$ &quot;#,##0.00\)"/>
    <numFmt numFmtId="169" formatCode="_-&quot;R$&quot;* #,##0.00000000_-;\-&quot;R$&quot;* #,##0.00000000_-;_-&quot;R$&quot;* &quot;-&quot;??_-;_-@_-"/>
    <numFmt numFmtId="170" formatCode="_-&quot;R$&quot;* #,##0.000000000_-;\-&quot;R$&quot;* #,##0.000000000_-;_-&quot;R$&quot;* &quot;-&quot;??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name val="Segoe UI"/>
      <family val="2"/>
    </font>
    <font>
      <sz val="10"/>
      <color rgb="FF000000"/>
      <name val="Segoe UI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Segoe UI"/>
      <family val="2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.5"/>
      <color theme="1"/>
      <name val="Times New Roman"/>
      <family val="1"/>
    </font>
    <font>
      <b/>
      <sz val="12"/>
      <name val="Segoe UI"/>
      <family val="2"/>
    </font>
    <font>
      <b/>
      <i/>
      <sz val="10"/>
      <name val="Segoe UI"/>
      <family val="2"/>
    </font>
    <font>
      <sz val="12"/>
      <name val="Segoe UI"/>
      <family val="2"/>
    </font>
    <font>
      <b/>
      <sz val="7"/>
      <name val="Segoe UI"/>
      <family val="2"/>
    </font>
    <font>
      <b/>
      <sz val="11"/>
      <color theme="1"/>
      <name val="Calibri"/>
      <family val="2"/>
      <scheme val="minor"/>
    </font>
    <font>
      <sz val="10"/>
      <color theme="0"/>
      <name val="Segoe UI"/>
      <family val="2"/>
    </font>
    <font>
      <b/>
      <sz val="10"/>
      <color rgb="FFFF0000"/>
      <name val="Segoe UI"/>
      <family val="2"/>
    </font>
    <font>
      <sz val="10"/>
      <color rgb="FFFF0000"/>
      <name val="Segoe UI"/>
      <family val="2"/>
    </font>
    <font>
      <sz val="10"/>
      <color rgb="FFFFFF00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9"/>
      <name val="Segoe UI"/>
      <family val="2"/>
    </font>
    <font>
      <sz val="9"/>
      <color theme="1"/>
      <name val="Arial"/>
      <family val="2"/>
    </font>
    <font>
      <sz val="9"/>
      <name val="Segoe UI"/>
      <family val="2"/>
    </font>
    <font>
      <sz val="9"/>
      <name val="Arial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name val="Segoe U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5F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2">
    <xf numFmtId="0" fontId="0" fillId="0" borderId="0" xfId="0"/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0" xfId="1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164" fontId="2" fillId="0" borderId="1" xfId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2" fontId="9" fillId="8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vertical="center"/>
    </xf>
    <xf numFmtId="164" fontId="3" fillId="2" borderId="1" xfId="1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2" fontId="4" fillId="0" borderId="0" xfId="0" applyNumberFormat="1" applyFont="1" applyAlignment="1">
      <alignment vertical="center"/>
    </xf>
    <xf numFmtId="2" fontId="9" fillId="8" borderId="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8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9" fontId="17" fillId="0" borderId="1" xfId="5" applyFont="1" applyBorder="1" applyAlignment="1">
      <alignment vertical="center"/>
    </xf>
    <xf numFmtId="164" fontId="17" fillId="0" borderId="1" xfId="1" applyFont="1" applyBorder="1" applyAlignment="1">
      <alignment vertical="center"/>
    </xf>
    <xf numFmtId="10" fontId="17" fillId="0" borderId="1" xfId="5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10" fontId="17" fillId="0" borderId="1" xfId="5" applyNumberFormat="1" applyFont="1" applyFill="1" applyBorder="1" applyAlignment="1">
      <alignment horizontal="center" vertical="center"/>
    </xf>
    <xf numFmtId="164" fontId="16" fillId="0" borderId="1" xfId="1" applyFont="1" applyBorder="1" applyAlignment="1">
      <alignment vertical="center"/>
    </xf>
    <xf numFmtId="10" fontId="17" fillId="0" borderId="1" xfId="0" applyNumberFormat="1" applyFont="1" applyBorder="1" applyAlignment="1">
      <alignment horizontal="center" vertical="center"/>
    </xf>
    <xf numFmtId="10" fontId="17" fillId="2" borderId="1" xfId="0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vertical="center"/>
    </xf>
    <xf numFmtId="2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Fill="1" applyBorder="1" applyAlignment="1">
      <alignment vertical="center"/>
    </xf>
    <xf numFmtId="2" fontId="16" fillId="0" borderId="1" xfId="0" applyNumberFormat="1" applyFont="1" applyFill="1" applyBorder="1" applyAlignment="1">
      <alignment vertical="center"/>
    </xf>
    <xf numFmtId="10" fontId="17" fillId="0" borderId="1" xfId="0" applyNumberFormat="1" applyFont="1" applyFill="1" applyBorder="1" applyAlignment="1">
      <alignment horizontal="center" vertical="center"/>
    </xf>
    <xf numFmtId="164" fontId="17" fillId="0" borderId="1" xfId="1" applyFont="1" applyFill="1" applyBorder="1" applyAlignment="1">
      <alignment vertical="center"/>
    </xf>
    <xf numFmtId="164" fontId="16" fillId="0" borderId="1" xfId="1" applyFont="1" applyFill="1" applyBorder="1" applyAlignment="1">
      <alignment vertical="center"/>
    </xf>
    <xf numFmtId="10" fontId="17" fillId="0" borderId="1" xfId="0" applyNumberFormat="1" applyFont="1" applyBorder="1" applyAlignment="1">
      <alignment vertical="center"/>
    </xf>
    <xf numFmtId="10" fontId="17" fillId="0" borderId="1" xfId="5" applyNumberFormat="1" applyFont="1" applyBorder="1" applyAlignment="1">
      <alignment vertical="center"/>
    </xf>
    <xf numFmtId="164" fontId="17" fillId="0" borderId="1" xfId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4" fontId="17" fillId="0" borderId="1" xfId="1" applyFont="1" applyFill="1" applyBorder="1" applyAlignment="1">
      <alignment horizontal="center" vertical="center"/>
    </xf>
    <xf numFmtId="164" fontId="16" fillId="0" borderId="1" xfId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21" fillId="0" borderId="0" xfId="0" applyFont="1" applyBorder="1" applyAlignment="1">
      <alignment horizontal="justify" vertical="center" wrapText="1"/>
    </xf>
    <xf numFmtId="164" fontId="12" fillId="2" borderId="1" xfId="1" applyFont="1" applyFill="1" applyBorder="1" applyAlignment="1">
      <alignment horizontal="center" vertical="center" wrapText="1"/>
    </xf>
    <xf numFmtId="164" fontId="12" fillId="2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vertical="top" wrapText="1"/>
    </xf>
    <xf numFmtId="0" fontId="11" fillId="1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25" fillId="0" borderId="0" xfId="0" applyFont="1"/>
    <xf numFmtId="167" fontId="8" fillId="0" borderId="1" xfId="0" applyNumberFormat="1" applyFont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2" fillId="2" borderId="1" xfId="1" applyFont="1" applyFill="1" applyBorder="1" applyAlignment="1">
      <alignment horizontal="right" vertical="center"/>
    </xf>
    <xf numFmtId="49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2" fontId="8" fillId="16" borderId="1" xfId="0" applyNumberFormat="1" applyFont="1" applyFill="1" applyBorder="1" applyAlignment="1">
      <alignment horizontal="center" vertical="center"/>
    </xf>
    <xf numFmtId="2" fontId="12" fillId="0" borderId="0" xfId="0" applyNumberFormat="1" applyFont="1"/>
    <xf numFmtId="0" fontId="2" fillId="0" borderId="0" xfId="0" applyFont="1"/>
    <xf numFmtId="0" fontId="11" fillId="0" borderId="22" xfId="0" applyFont="1" applyBorder="1" applyAlignment="1">
      <alignment horizontal="left" vertical="center" wrapText="1"/>
    </xf>
    <xf numFmtId="164" fontId="11" fillId="0" borderId="1" xfId="1" applyFont="1" applyBorder="1" applyAlignment="1">
      <alignment horizontal="left" vertical="center" wrapText="1" indent="2"/>
    </xf>
    <xf numFmtId="44" fontId="2" fillId="0" borderId="0" xfId="0" applyNumberFormat="1" applyFont="1"/>
    <xf numFmtId="43" fontId="2" fillId="0" borderId="0" xfId="6" applyFont="1"/>
    <xf numFmtId="43" fontId="2" fillId="0" borderId="0" xfId="0" applyNumberFormat="1" applyFont="1"/>
    <xf numFmtId="164" fontId="2" fillId="0" borderId="0" xfId="0" applyNumberFormat="1" applyFont="1"/>
    <xf numFmtId="0" fontId="11" fillId="0" borderId="32" xfId="0" applyFont="1" applyBorder="1" applyAlignment="1">
      <alignment horizontal="center" vertical="center" wrapText="1"/>
    </xf>
    <xf numFmtId="164" fontId="11" fillId="0" borderId="33" xfId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164" fontId="11" fillId="3" borderId="34" xfId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top" wrapText="1"/>
    </xf>
    <xf numFmtId="164" fontId="11" fillId="0" borderId="1" xfId="1" applyFont="1" applyBorder="1" applyAlignment="1">
      <alignment horizontal="center" vertical="center" wrapText="1"/>
    </xf>
    <xf numFmtId="164" fontId="11" fillId="0" borderId="7" xfId="1" applyFont="1" applyBorder="1" applyAlignment="1">
      <alignment horizontal="center" vertical="center" wrapText="1"/>
    </xf>
    <xf numFmtId="164" fontId="11" fillId="3" borderId="3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1" fillId="19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3" borderId="1" xfId="1" applyFont="1" applyFill="1" applyBorder="1" applyAlignment="1">
      <alignment horizontal="center" vertical="center" wrapText="1"/>
    </xf>
    <xf numFmtId="43" fontId="28" fillId="0" borderId="0" xfId="0" applyNumberFormat="1" applyFont="1"/>
    <xf numFmtId="0" fontId="1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164" fontId="11" fillId="2" borderId="1" xfId="1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/>
    <xf numFmtId="164" fontId="3" fillId="3" borderId="1" xfId="0" applyNumberFormat="1" applyFont="1" applyFill="1" applyBorder="1" applyAlignment="1">
      <alignment horizontal="center"/>
    </xf>
    <xf numFmtId="164" fontId="3" fillId="0" borderId="1" xfId="1" applyFont="1" applyBorder="1" applyAlignment="1">
      <alignment horizontal="left"/>
    </xf>
    <xf numFmtId="164" fontId="3" fillId="0" borderId="1" xfId="1" applyFont="1" applyBorder="1"/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vertical="center"/>
    </xf>
    <xf numFmtId="164" fontId="12" fillId="0" borderId="0" xfId="1" applyFont="1" applyAlignment="1">
      <alignment vertical="center"/>
    </xf>
    <xf numFmtId="164" fontId="29" fillId="0" borderId="0" xfId="1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169" fontId="12" fillId="0" borderId="0" xfId="0" applyNumberFormat="1" applyFont="1" applyAlignment="1">
      <alignment vertical="center"/>
    </xf>
    <xf numFmtId="170" fontId="12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164" fontId="31" fillId="2" borderId="0" xfId="0" applyNumberFormat="1" applyFont="1" applyFill="1" applyAlignment="1">
      <alignment vertical="center"/>
    </xf>
    <xf numFmtId="164" fontId="30" fillId="0" borderId="0" xfId="1" applyFont="1" applyAlignment="1">
      <alignment vertical="center"/>
    </xf>
    <xf numFmtId="164" fontId="17" fillId="0" borderId="1" xfId="1" applyFont="1" applyBorder="1" applyAlignment="1">
      <alignment horizontal="center" vertical="center" wrapText="1"/>
    </xf>
    <xf numFmtId="164" fontId="17" fillId="0" borderId="1" xfId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164" fontId="16" fillId="0" borderId="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6" fillId="13" borderId="1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0" fontId="12" fillId="0" borderId="0" xfId="7" applyNumberFormat="1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0" fillId="0" borderId="35" xfId="0" applyNumberFormat="1" applyBorder="1"/>
    <xf numFmtId="0" fontId="33" fillId="21" borderId="38" xfId="0" applyFont="1" applyFill="1" applyBorder="1" applyAlignment="1">
      <alignment horizontal="center"/>
    </xf>
    <xf numFmtId="0" fontId="0" fillId="0" borderId="32" xfId="0" applyBorder="1"/>
    <xf numFmtId="164" fontId="0" fillId="0" borderId="34" xfId="0" applyNumberFormat="1" applyBorder="1"/>
    <xf numFmtId="0" fontId="0" fillId="0" borderId="22" xfId="0" applyBorder="1"/>
    <xf numFmtId="0" fontId="27" fillId="0" borderId="41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164" fontId="0" fillId="0" borderId="42" xfId="0" applyNumberFormat="1" applyBorder="1"/>
    <xf numFmtId="164" fontId="0" fillId="0" borderId="2" xfId="0" applyNumberFormat="1" applyBorder="1"/>
    <xf numFmtId="0" fontId="0" fillId="3" borderId="40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164" fontId="0" fillId="0" borderId="32" xfId="0" applyNumberFormat="1" applyBorder="1"/>
    <xf numFmtId="164" fontId="0" fillId="0" borderId="22" xfId="0" applyNumberFormat="1" applyBorder="1"/>
    <xf numFmtId="0" fontId="33" fillId="21" borderId="28" xfId="0" applyFont="1" applyFill="1" applyBorder="1" applyAlignment="1">
      <alignment horizontal="center"/>
    </xf>
    <xf numFmtId="0" fontId="0" fillId="20" borderId="40" xfId="0" applyFill="1" applyBorder="1" applyAlignment="1">
      <alignment horizontal="center"/>
    </xf>
    <xf numFmtId="0" fontId="0" fillId="20" borderId="38" xfId="0" applyFill="1" applyBorder="1" applyAlignment="1">
      <alignment horizontal="center"/>
    </xf>
    <xf numFmtId="0" fontId="35" fillId="7" borderId="40" xfId="0" applyFont="1" applyFill="1" applyBorder="1"/>
    <xf numFmtId="0" fontId="27" fillId="7" borderId="29" xfId="0" applyFont="1" applyFill="1" applyBorder="1" applyAlignment="1">
      <alignment horizontal="center"/>
    </xf>
    <xf numFmtId="0" fontId="0" fillId="0" borderId="45" xfId="0" applyBorder="1"/>
    <xf numFmtId="0" fontId="0" fillId="0" borderId="37" xfId="0" applyBorder="1"/>
    <xf numFmtId="0" fontId="27" fillId="0" borderId="44" xfId="0" applyFont="1" applyBorder="1" applyAlignment="1">
      <alignment horizontal="center" vertical="center"/>
    </xf>
    <xf numFmtId="0" fontId="35" fillId="7" borderId="16" xfId="0" applyFont="1" applyFill="1" applyBorder="1" applyAlignment="1"/>
    <xf numFmtId="0" fontId="36" fillId="22" borderId="44" xfId="0" applyFont="1" applyFill="1" applyBorder="1" applyAlignment="1"/>
    <xf numFmtId="0" fontId="14" fillId="0" borderId="0" xfId="0" applyFont="1" applyBorder="1" applyAlignment="1"/>
    <xf numFmtId="164" fontId="1" fillId="0" borderId="11" xfId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17" fontId="27" fillId="0" borderId="11" xfId="0" applyNumberFormat="1" applyFont="1" applyBorder="1" applyAlignment="1">
      <alignment horizontal="center" vertical="center" wrapText="1"/>
    </xf>
    <xf numFmtId="164" fontId="38" fillId="0" borderId="11" xfId="1" applyFont="1" applyBorder="1" applyAlignment="1">
      <alignment horizontal="center" vertical="center" wrapText="1"/>
    </xf>
    <xf numFmtId="166" fontId="37" fillId="0" borderId="1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3" fillId="8" borderId="28" xfId="0" applyFont="1" applyFill="1" applyBorder="1" applyAlignment="1">
      <alignment horizontal="center"/>
    </xf>
    <xf numFmtId="0" fontId="33" fillId="8" borderId="3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center" vertical="center" wrapText="1"/>
    </xf>
    <xf numFmtId="164" fontId="41" fillId="2" borderId="1" xfId="1" applyFont="1" applyFill="1" applyBorder="1" applyAlignment="1">
      <alignment horizontal="center" vertical="center" wrapText="1"/>
    </xf>
    <xf numFmtId="0" fontId="41" fillId="2" borderId="1" xfId="1" applyNumberFormat="1" applyFont="1" applyFill="1" applyBorder="1" applyAlignment="1">
      <alignment horizontal="center" vertical="center" wrapText="1"/>
    </xf>
    <xf numFmtId="164" fontId="44" fillId="2" borderId="1" xfId="1" applyFont="1" applyFill="1" applyBorder="1" applyAlignment="1">
      <alignment horizontal="center" vertical="center" wrapText="1"/>
    </xf>
    <xf numFmtId="164" fontId="41" fillId="0" borderId="0" xfId="0" applyNumberFormat="1" applyFont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wrapText="1"/>
    </xf>
    <xf numFmtId="0" fontId="44" fillId="2" borderId="1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top" wrapText="1"/>
    </xf>
    <xf numFmtId="0" fontId="45" fillId="2" borderId="1" xfId="0" applyFont="1" applyFill="1" applyBorder="1" applyAlignment="1">
      <alignment vertical="top" wrapText="1"/>
    </xf>
    <xf numFmtId="0" fontId="42" fillId="2" borderId="1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vertical="top" wrapText="1"/>
    </xf>
    <xf numFmtId="0" fontId="43" fillId="2" borderId="1" xfId="0" applyFont="1" applyFill="1" applyBorder="1" applyAlignment="1">
      <alignment vertical="top" wrapText="1"/>
    </xf>
    <xf numFmtId="0" fontId="43" fillId="0" borderId="11" xfId="0" applyFont="1" applyBorder="1" applyAlignment="1">
      <alignment horizontal="left" vertical="center" wrapText="1"/>
    </xf>
    <xf numFmtId="0" fontId="41" fillId="2" borderId="1" xfId="1" applyNumberFormat="1" applyFont="1" applyFill="1" applyBorder="1" applyAlignment="1">
      <alignment horizontal="center" vertical="center"/>
    </xf>
    <xf numFmtId="0" fontId="44" fillId="2" borderId="1" xfId="1" applyNumberFormat="1" applyFont="1" applyFill="1" applyBorder="1" applyAlignment="1">
      <alignment horizontal="center" vertical="center"/>
    </xf>
    <xf numFmtId="164" fontId="40" fillId="2" borderId="1" xfId="1" applyFont="1" applyFill="1" applyBorder="1" applyAlignment="1">
      <alignment vertical="center"/>
    </xf>
    <xf numFmtId="164" fontId="40" fillId="0" borderId="1" xfId="1" applyFont="1" applyBorder="1" applyAlignment="1">
      <alignment vertical="center"/>
    </xf>
    <xf numFmtId="164" fontId="40" fillId="3" borderId="1" xfId="1" applyFont="1" applyFill="1" applyBorder="1" applyAlignment="1">
      <alignment vertical="center"/>
    </xf>
    <xf numFmtId="0" fontId="41" fillId="0" borderId="0" xfId="0" applyFont="1" applyAlignment="1">
      <alignment vertical="center" wrapText="1"/>
    </xf>
    <xf numFmtId="164" fontId="41" fillId="0" borderId="0" xfId="1" applyFont="1" applyAlignment="1">
      <alignment vertical="center"/>
    </xf>
    <xf numFmtId="0" fontId="40" fillId="0" borderId="7" xfId="0" applyFont="1" applyFill="1" applyBorder="1" applyAlignment="1">
      <alignment horizontal="center" vertical="center" wrapText="1"/>
    </xf>
    <xf numFmtId="164" fontId="40" fillId="0" borderId="7" xfId="1" applyFont="1" applyFill="1" applyBorder="1" applyAlignment="1">
      <alignment horizontal="center" vertical="center" wrapText="1"/>
    </xf>
    <xf numFmtId="0" fontId="46" fillId="0" borderId="1" xfId="0" applyFont="1" applyBorder="1" applyAlignment="1">
      <alignment vertical="center"/>
    </xf>
    <xf numFmtId="0" fontId="40" fillId="0" borderId="22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164" fontId="40" fillId="0" borderId="1" xfId="1" applyFont="1" applyFill="1" applyBorder="1" applyAlignment="1">
      <alignment horizontal="center" vertical="center" wrapText="1"/>
    </xf>
    <xf numFmtId="164" fontId="40" fillId="0" borderId="35" xfId="1" applyFont="1" applyFill="1" applyBorder="1" applyAlignment="1">
      <alignment horizontal="center" vertical="center" wrapText="1"/>
    </xf>
    <xf numFmtId="0" fontId="49" fillId="0" borderId="22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left" vertical="center" wrapText="1"/>
    </xf>
    <xf numFmtId="0" fontId="50" fillId="2" borderId="1" xfId="0" applyFont="1" applyFill="1" applyBorder="1" applyAlignment="1">
      <alignment horizontal="center" vertical="center" wrapText="1"/>
    </xf>
    <xf numFmtId="164" fontId="50" fillId="2" borderId="1" xfId="1" applyFont="1" applyFill="1" applyBorder="1" applyAlignment="1">
      <alignment horizontal="center" vertical="center" wrapText="1"/>
    </xf>
    <xf numFmtId="0" fontId="50" fillId="2" borderId="1" xfId="1" applyNumberFormat="1" applyFont="1" applyFill="1" applyBorder="1" applyAlignment="1">
      <alignment horizontal="center" vertical="center" wrapText="1"/>
    </xf>
    <xf numFmtId="164" fontId="13" fillId="2" borderId="1" xfId="1" applyFont="1" applyFill="1" applyBorder="1" applyAlignment="1">
      <alignment horizontal="center" vertical="center" wrapText="1"/>
    </xf>
    <xf numFmtId="164" fontId="50" fillId="2" borderId="35" xfId="1" applyFont="1" applyFill="1" applyBorder="1" applyAlignment="1">
      <alignment horizontal="center" vertical="center" wrapText="1"/>
    </xf>
    <xf numFmtId="164" fontId="50" fillId="0" borderId="0" xfId="0" applyNumberFormat="1" applyFont="1" applyAlignment="1">
      <alignment vertical="center"/>
    </xf>
    <xf numFmtId="0" fontId="49" fillId="0" borderId="2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49" fillId="2" borderId="22" xfId="0" applyFont="1" applyFill="1" applyBorder="1" applyAlignment="1">
      <alignment horizontal="center" vertical="center" wrapText="1"/>
    </xf>
    <xf numFmtId="0" fontId="50" fillId="2" borderId="0" xfId="0" applyFont="1" applyFill="1" applyBorder="1" applyAlignment="1">
      <alignment vertical="center" wrapText="1"/>
    </xf>
    <xf numFmtId="0" fontId="50" fillId="2" borderId="1" xfId="0" applyFont="1" applyFill="1" applyBorder="1" applyAlignment="1">
      <alignment vertical="center" wrapText="1"/>
    </xf>
    <xf numFmtId="0" fontId="50" fillId="0" borderId="11" xfId="0" applyFont="1" applyBorder="1" applyAlignment="1">
      <alignment horizontal="left" vertical="center" wrapText="1"/>
    </xf>
    <xf numFmtId="0" fontId="50" fillId="2" borderId="1" xfId="1" applyNumberFormat="1" applyFont="1" applyFill="1" applyBorder="1" applyAlignment="1">
      <alignment horizontal="center" vertical="center"/>
    </xf>
    <xf numFmtId="0" fontId="13" fillId="2" borderId="1" xfId="1" applyNumberFormat="1" applyFont="1" applyFill="1" applyBorder="1" applyAlignment="1">
      <alignment horizontal="center" vertical="center"/>
    </xf>
    <xf numFmtId="0" fontId="50" fillId="0" borderId="1" xfId="0" applyNumberFormat="1" applyFont="1" applyBorder="1" applyAlignment="1">
      <alignment horizontal="left" vertical="center" wrapText="1"/>
    </xf>
    <xf numFmtId="164" fontId="51" fillId="2" borderId="35" xfId="1" applyFont="1" applyFill="1" applyBorder="1" applyAlignment="1">
      <alignment vertical="center"/>
    </xf>
    <xf numFmtId="164" fontId="51" fillId="0" borderId="35" xfId="1" applyFont="1" applyBorder="1" applyAlignment="1">
      <alignment vertical="center"/>
    </xf>
    <xf numFmtId="0" fontId="50" fillId="0" borderId="0" xfId="0" applyFont="1" applyAlignment="1">
      <alignment vertical="center"/>
    </xf>
    <xf numFmtId="0" fontId="17" fillId="0" borderId="1" xfId="0" quotePrefix="1" applyFont="1" applyBorder="1" applyAlignment="1">
      <alignment horizontal="center" vertical="center" wrapText="1"/>
    </xf>
    <xf numFmtId="10" fontId="17" fillId="6" borderId="1" xfId="0" applyNumberFormat="1" applyFont="1" applyFill="1" applyBorder="1" applyAlignment="1">
      <alignment vertical="center"/>
    </xf>
    <xf numFmtId="10" fontId="17" fillId="24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6" fillId="14" borderId="1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0" fontId="37" fillId="0" borderId="14" xfId="0" applyFont="1" applyBorder="1" applyAlignment="1">
      <alignment vertical="center" wrapText="1"/>
    </xf>
    <xf numFmtId="0" fontId="37" fillId="0" borderId="8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0" fontId="18" fillId="0" borderId="1" xfId="5" applyNumberFormat="1" applyFont="1" applyBorder="1" applyAlignment="1">
      <alignment vertical="center"/>
    </xf>
    <xf numFmtId="2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164" fontId="51" fillId="3" borderId="38" xfId="1" applyFont="1" applyFill="1" applyBorder="1" applyAlignment="1" applyProtection="1">
      <alignment vertical="center"/>
      <protection locked="0"/>
    </xf>
    <xf numFmtId="164" fontId="2" fillId="0" borderId="1" xfId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2" fillId="3" borderId="0" xfId="0" applyFont="1" applyFill="1" applyAlignment="1">
      <alignment horizontal="center"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top"/>
    </xf>
    <xf numFmtId="0" fontId="16" fillId="7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6" fillId="12" borderId="1" xfId="0" applyFont="1" applyFill="1" applyBorder="1" applyAlignment="1">
      <alignment horizontal="center" vertical="center"/>
    </xf>
    <xf numFmtId="0" fontId="16" fillId="2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/>
    </xf>
    <xf numFmtId="0" fontId="14" fillId="0" borderId="53" xfId="0" applyFont="1" applyBorder="1" applyAlignment="1">
      <alignment horizontal="center" wrapText="1"/>
    </xf>
    <xf numFmtId="0" fontId="14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horizontal="center" wrapText="1"/>
    </xf>
    <xf numFmtId="0" fontId="51" fillId="0" borderId="9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1" fillId="0" borderId="26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6" fillId="2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9" fillId="22" borderId="48" xfId="0" applyFont="1" applyFill="1" applyBorder="1" applyAlignment="1">
      <alignment horizontal="center" vertical="center" wrapText="1"/>
    </xf>
    <xf numFmtId="0" fontId="39" fillId="22" borderId="49" xfId="0" applyFont="1" applyFill="1" applyBorder="1" applyAlignment="1">
      <alignment horizontal="center" vertical="center" wrapText="1"/>
    </xf>
    <xf numFmtId="0" fontId="39" fillId="22" borderId="50" xfId="0" applyFont="1" applyFill="1" applyBorder="1" applyAlignment="1">
      <alignment horizontal="center" vertical="center" wrapText="1"/>
    </xf>
    <xf numFmtId="0" fontId="35" fillId="0" borderId="43" xfId="0" applyFont="1" applyBorder="1" applyAlignment="1">
      <alignment horizontal="center"/>
    </xf>
    <xf numFmtId="0" fontId="16" fillId="20" borderId="32" xfId="0" applyFont="1" applyFill="1" applyBorder="1" applyAlignment="1">
      <alignment horizontal="center" vertical="center" wrapText="1"/>
    </xf>
    <xf numFmtId="0" fontId="16" fillId="20" borderId="34" xfId="0" applyFont="1" applyFill="1" applyBorder="1" applyAlignment="1">
      <alignment horizontal="center" vertical="center"/>
    </xf>
    <xf numFmtId="0" fontId="34" fillId="21" borderId="42" xfId="0" applyFont="1" applyFill="1" applyBorder="1" applyAlignment="1">
      <alignment horizontal="center" vertical="center" wrapText="1"/>
    </xf>
    <xf numFmtId="0" fontId="34" fillId="21" borderId="34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164" fontId="27" fillId="7" borderId="26" xfId="0" applyNumberFormat="1" applyFont="1" applyFill="1" applyBorder="1" applyAlignment="1">
      <alignment horizontal="center"/>
    </xf>
    <xf numFmtId="0" fontId="27" fillId="7" borderId="30" xfId="0" applyFont="1" applyFill="1" applyBorder="1" applyAlignment="1">
      <alignment horizontal="center"/>
    </xf>
    <xf numFmtId="164" fontId="32" fillId="22" borderId="26" xfId="0" applyNumberFormat="1" applyFont="1" applyFill="1" applyBorder="1" applyAlignment="1">
      <alignment horizontal="center"/>
    </xf>
    <xf numFmtId="0" fontId="32" fillId="22" borderId="30" xfId="0" applyFont="1" applyFill="1" applyBorder="1" applyAlignment="1">
      <alignment horizontal="center"/>
    </xf>
    <xf numFmtId="0" fontId="36" fillId="22" borderId="16" xfId="0" applyFont="1" applyFill="1" applyBorder="1" applyAlignment="1">
      <alignment horizontal="center"/>
    </xf>
    <xf numFmtId="0" fontId="36" fillId="22" borderId="18" xfId="0" applyFont="1" applyFill="1" applyBorder="1" applyAlignment="1">
      <alignment horizontal="center"/>
    </xf>
    <xf numFmtId="0" fontId="27" fillId="0" borderId="43" xfId="0" applyFont="1" applyBorder="1" applyAlignment="1">
      <alignment horizontal="center"/>
    </xf>
    <xf numFmtId="0" fontId="34" fillId="21" borderId="47" xfId="0" applyFont="1" applyFill="1" applyBorder="1" applyAlignment="1">
      <alignment horizontal="center" vertical="center" wrapText="1"/>
    </xf>
    <xf numFmtId="0" fontId="34" fillId="21" borderId="46" xfId="0" applyFont="1" applyFill="1" applyBorder="1" applyAlignment="1">
      <alignment horizontal="center" vertical="center"/>
    </xf>
    <xf numFmtId="164" fontId="27" fillId="7" borderId="47" xfId="0" applyNumberFormat="1" applyFont="1" applyFill="1" applyBorder="1" applyAlignment="1">
      <alignment horizontal="center"/>
    </xf>
    <xf numFmtId="0" fontId="27" fillId="7" borderId="47" xfId="0" applyFont="1" applyFill="1" applyBorder="1" applyAlignment="1">
      <alignment horizontal="center"/>
    </xf>
    <xf numFmtId="164" fontId="27" fillId="7" borderId="17" xfId="0" applyNumberFormat="1" applyFont="1" applyFill="1" applyBorder="1" applyAlignment="1">
      <alignment horizontal="center"/>
    </xf>
    <xf numFmtId="0" fontId="27" fillId="7" borderId="18" xfId="0" applyFont="1" applyFill="1" applyBorder="1" applyAlignment="1">
      <alignment horizontal="center"/>
    </xf>
    <xf numFmtId="164" fontId="27" fillId="7" borderId="16" xfId="0" applyNumberFormat="1" applyFont="1" applyFill="1" applyBorder="1" applyAlignment="1">
      <alignment horizontal="center"/>
    </xf>
    <xf numFmtId="164" fontId="32" fillId="22" borderId="47" xfId="0" applyNumberFormat="1" applyFont="1" applyFill="1" applyBorder="1" applyAlignment="1">
      <alignment horizontal="center"/>
    </xf>
    <xf numFmtId="0" fontId="32" fillId="22" borderId="47" xfId="0" applyFont="1" applyFill="1" applyBorder="1" applyAlignment="1">
      <alignment horizontal="center"/>
    </xf>
    <xf numFmtId="0" fontId="32" fillId="22" borderId="46" xfId="0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3" borderId="47" xfId="0" applyFont="1" applyFill="1" applyBorder="1" applyAlignment="1">
      <alignment horizontal="center" vertical="center"/>
    </xf>
    <xf numFmtId="0" fontId="16" fillId="20" borderId="47" xfId="0" applyFont="1" applyFill="1" applyBorder="1" applyAlignment="1">
      <alignment horizontal="center" vertical="center" wrapText="1"/>
    </xf>
    <xf numFmtId="0" fontId="16" fillId="20" borderId="47" xfId="0" applyFont="1" applyFill="1" applyBorder="1" applyAlignment="1">
      <alignment horizontal="center" vertical="center"/>
    </xf>
    <xf numFmtId="0" fontId="34" fillId="8" borderId="19" xfId="0" applyFont="1" applyFill="1" applyBorder="1" applyAlignment="1">
      <alignment horizontal="center" vertical="center" wrapText="1"/>
    </xf>
    <xf numFmtId="0" fontId="34" fillId="8" borderId="21" xfId="0" applyFont="1" applyFill="1" applyBorder="1" applyAlignment="1">
      <alignment horizontal="center" vertical="center" wrapText="1"/>
    </xf>
    <xf numFmtId="0" fontId="34" fillId="8" borderId="51" xfId="0" applyFont="1" applyFill="1" applyBorder="1" applyAlignment="1">
      <alignment horizontal="center" vertical="center" wrapText="1"/>
    </xf>
    <xf numFmtId="0" fontId="34" fillId="8" borderId="18" xfId="0" applyFont="1" applyFill="1" applyBorder="1" applyAlignment="1">
      <alignment horizontal="center" vertical="center" wrapText="1"/>
    </xf>
    <xf numFmtId="0" fontId="34" fillId="21" borderId="51" xfId="0" applyFont="1" applyFill="1" applyBorder="1" applyAlignment="1">
      <alignment horizontal="center" vertical="center" wrapText="1"/>
    </xf>
    <xf numFmtId="0" fontId="34" fillId="21" borderId="18" xfId="0" applyFont="1" applyFill="1" applyBorder="1" applyAlignment="1">
      <alignment horizontal="center" vertical="center" wrapText="1"/>
    </xf>
    <xf numFmtId="0" fontId="34" fillId="21" borderId="19" xfId="0" applyFont="1" applyFill="1" applyBorder="1" applyAlignment="1">
      <alignment horizontal="center" vertical="center" wrapText="1"/>
    </xf>
    <xf numFmtId="0" fontId="34" fillId="21" borderId="21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2" xfId="0" applyFont="1" applyBorder="1"/>
    <xf numFmtId="0" fontId="26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64" fontId="11" fillId="0" borderId="3" xfId="1" applyFont="1" applyBorder="1" applyAlignment="1">
      <alignment horizontal="center" vertical="center" wrapText="1"/>
    </xf>
    <xf numFmtId="164" fontId="11" fillId="0" borderId="25" xfId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164" fontId="11" fillId="3" borderId="29" xfId="1" applyFont="1" applyFill="1" applyBorder="1" applyAlignment="1">
      <alignment horizontal="center" vertical="center" wrapText="1"/>
    </xf>
    <xf numFmtId="164" fontId="11" fillId="3" borderId="30" xfId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8" fillId="17" borderId="19" xfId="0" applyFont="1" applyFill="1" applyBorder="1" applyAlignment="1">
      <alignment horizontal="center" vertical="center" wrapText="1"/>
    </xf>
    <xf numFmtId="0" fontId="8" fillId="17" borderId="20" xfId="0" applyFont="1" applyFill="1" applyBorder="1" applyAlignment="1">
      <alignment horizontal="center" vertical="center" wrapText="1"/>
    </xf>
    <xf numFmtId="0" fontId="8" fillId="17" borderId="21" xfId="0" applyFont="1" applyFill="1" applyBorder="1" applyAlignment="1">
      <alignment horizontal="center" vertical="center" wrapText="1"/>
    </xf>
    <xf numFmtId="0" fontId="11" fillId="17" borderId="22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3" xfId="0" applyFont="1" applyFill="1" applyBorder="1" applyAlignment="1">
      <alignment horizontal="center" vertical="center" wrapText="1"/>
    </xf>
    <xf numFmtId="0" fontId="11" fillId="17" borderId="12" xfId="0" applyFont="1" applyFill="1" applyBorder="1" applyAlignment="1">
      <alignment horizontal="center" vertical="center" wrapText="1"/>
    </xf>
    <xf numFmtId="0" fontId="11" fillId="17" borderId="2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18" borderId="3" xfId="0" applyFont="1" applyFill="1" applyBorder="1" applyAlignment="1">
      <alignment horizontal="center" vertical="center" wrapText="1"/>
    </xf>
    <xf numFmtId="0" fontId="11" fillId="18" borderId="4" xfId="0" applyFont="1" applyFill="1" applyBorder="1" applyAlignment="1">
      <alignment horizontal="center" vertical="center" wrapText="1"/>
    </xf>
    <xf numFmtId="0" fontId="11" fillId="18" borderId="2" xfId="0" applyFont="1" applyFill="1" applyBorder="1" applyAlignment="1">
      <alignment horizontal="center" vertical="center" wrapText="1"/>
    </xf>
    <xf numFmtId="0" fontId="11" fillId="19" borderId="6" xfId="0" applyFont="1" applyFill="1" applyBorder="1" applyAlignment="1">
      <alignment horizontal="center" vertical="center" wrapText="1"/>
    </xf>
    <xf numFmtId="0" fontId="11" fillId="19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</cellXfs>
  <cellStyles count="8">
    <cellStyle name="Moeda" xfId="1" builtinId="4"/>
    <cellStyle name="Moeda 2" xfId="2" xr:uid="{00000000-0005-0000-0000-000001000000}"/>
    <cellStyle name="Moeda 2 2" xfId="4" xr:uid="{00000000-0005-0000-0000-000002000000}"/>
    <cellStyle name="Normal" xfId="0" builtinId="0"/>
    <cellStyle name="Normal 2 2" xfId="3" xr:uid="{00000000-0005-0000-0000-000004000000}"/>
    <cellStyle name="Porcentagem" xfId="7" builtinId="5"/>
    <cellStyle name="Porcentagem 2 2" xfId="5" xr:uid="{00000000-0005-0000-0000-000006000000}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1304925</xdr:colOff>
      <xdr:row>18</xdr:row>
      <xdr:rowOff>19050</xdr:rowOff>
    </xdr:from>
    <xdr:to>
      <xdr:col>2</xdr:col>
      <xdr:colOff>703406</xdr:colOff>
      <xdr:row>24</xdr:row>
      <xdr:rowOff>1796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2057400"/>
          <a:ext cx="1389206" cy="1068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96"/>
  <sheetViews>
    <sheetView showGridLines="0" tabSelected="1" view="pageBreakPreview" zoomScale="75" zoomScaleNormal="100" zoomScaleSheetLayoutView="75" workbookViewId="0">
      <selection activeCell="J12" sqref="J12"/>
    </sheetView>
  </sheetViews>
  <sheetFormatPr defaultColWidth="9.1796875" defaultRowHeight="16" x14ac:dyDescent="0.35"/>
  <cols>
    <col min="1" max="1" width="17.453125" style="26" bestFit="1" customWidth="1"/>
    <col min="2" max="2" width="22.81640625" style="26" customWidth="1"/>
    <col min="3" max="3" width="15.1796875" style="26" customWidth="1"/>
    <col min="4" max="4" width="18.453125" style="26" customWidth="1"/>
    <col min="5" max="5" width="17" style="26" customWidth="1"/>
    <col min="6" max="6" width="26.26953125" style="26" customWidth="1"/>
    <col min="7" max="7" width="9.1796875" style="26"/>
    <col min="8" max="8" width="12" style="26" bestFit="1" customWidth="1"/>
    <col min="9" max="9" width="14.26953125" style="26" customWidth="1"/>
    <col min="10" max="16384" width="9.1796875" style="26"/>
  </cols>
  <sheetData>
    <row r="1" spans="1:6" ht="26" x14ac:dyDescent="0.35">
      <c r="A1" s="304" t="s">
        <v>434</v>
      </c>
      <c r="B1" s="304"/>
      <c r="C1" s="304"/>
      <c r="D1" s="304"/>
      <c r="E1" s="304"/>
      <c r="F1" s="304"/>
    </row>
    <row r="3" spans="1:6" ht="18" customHeight="1" x14ac:dyDescent="0.35">
      <c r="A3" s="305" t="s">
        <v>424</v>
      </c>
      <c r="B3" s="305"/>
      <c r="C3" s="305"/>
      <c r="D3" s="305"/>
      <c r="E3" s="305"/>
      <c r="F3" s="305"/>
    </row>
    <row r="4" spans="1:6" ht="17.25" customHeight="1" x14ac:dyDescent="0.35">
      <c r="A4" s="306" t="s">
        <v>381</v>
      </c>
      <c r="B4" s="306"/>
      <c r="C4" s="306"/>
      <c r="D4" s="306"/>
      <c r="E4" s="306"/>
      <c r="F4" s="306"/>
    </row>
    <row r="5" spans="1:6" ht="39" customHeight="1" x14ac:dyDescent="0.35">
      <c r="A5" s="106" t="s">
        <v>263</v>
      </c>
      <c r="B5" s="106" t="s">
        <v>262</v>
      </c>
      <c r="C5" s="106" t="s">
        <v>261</v>
      </c>
      <c r="D5" s="106" t="s">
        <v>260</v>
      </c>
      <c r="E5" s="106" t="s">
        <v>259</v>
      </c>
      <c r="F5" s="106" t="s">
        <v>264</v>
      </c>
    </row>
    <row r="6" spans="1:6" ht="18.75" customHeight="1" x14ac:dyDescent="0.35">
      <c r="A6" s="307" t="s">
        <v>265</v>
      </c>
      <c r="B6" s="307"/>
      <c r="C6" s="307"/>
      <c r="D6" s="307"/>
      <c r="E6" s="307"/>
      <c r="F6" s="307"/>
    </row>
    <row r="7" spans="1:6" x14ac:dyDescent="0.35">
      <c r="A7" s="308" t="s">
        <v>266</v>
      </c>
      <c r="B7" s="308"/>
      <c r="C7" s="308"/>
      <c r="D7" s="308"/>
      <c r="E7" s="308"/>
      <c r="F7" s="308"/>
    </row>
    <row r="8" spans="1:6" ht="14.5" customHeight="1" x14ac:dyDescent="0.35">
      <c r="A8" s="107" t="s">
        <v>8</v>
      </c>
      <c r="B8" s="108" t="s">
        <v>414</v>
      </c>
      <c r="C8" s="109">
        <v>12624</v>
      </c>
      <c r="D8" s="117">
        <f>'Anexo II C - ENCARREGADO'!E129</f>
        <v>7820.61</v>
      </c>
      <c r="E8" s="117">
        <f>1/(17*'Anexo II A.2 - PRODUTIVIDADE'!$E6)*D8</f>
        <v>0.46704150492684382</v>
      </c>
      <c r="F8" s="117">
        <f>C8*E8</f>
        <v>5895.9319581964764</v>
      </c>
    </row>
    <row r="9" spans="1:6" ht="16.5" customHeight="1" x14ac:dyDescent="0.35">
      <c r="A9" s="107" t="s">
        <v>16</v>
      </c>
      <c r="B9" s="108" t="s">
        <v>415</v>
      </c>
      <c r="C9" s="109">
        <v>12624</v>
      </c>
      <c r="D9" s="117">
        <f>'Anexo II B - SERVENTE'!E128</f>
        <v>5048.4799999999996</v>
      </c>
      <c r="E9" s="117">
        <f>(1/'Anexo II A.2 - PRODUTIVIDADE'!$E6)*D9</f>
        <v>5.12536040609137</v>
      </c>
      <c r="F9" s="117">
        <f>C9*E9</f>
        <v>64702.549766497454</v>
      </c>
    </row>
    <row r="10" spans="1:6" ht="14.15" customHeight="1" x14ac:dyDescent="0.35">
      <c r="A10" s="308" t="s">
        <v>267</v>
      </c>
      <c r="B10" s="308"/>
      <c r="C10" s="308"/>
      <c r="D10" s="308"/>
      <c r="E10" s="308"/>
      <c r="F10" s="308"/>
    </row>
    <row r="11" spans="1:6" ht="14.15" customHeight="1" x14ac:dyDescent="0.35">
      <c r="A11" s="107" t="s">
        <v>8</v>
      </c>
      <c r="B11" s="108" t="s">
        <v>416</v>
      </c>
      <c r="C11" s="109">
        <v>2141.9299999999998</v>
      </c>
      <c r="D11" s="117">
        <f>'Anexo II C - ENCARREGADO'!E129</f>
        <v>7820.61</v>
      </c>
      <c r="E11" s="166">
        <f>(1/(17*'Anexo II A.2 - PRODUTIVIDADE'!$E14)*D11)</f>
        <v>0.31726612576064905</v>
      </c>
      <c r="F11" s="117">
        <f>C11*E11</f>
        <v>679.56183275050694</v>
      </c>
    </row>
    <row r="12" spans="1:6" ht="14.5" customHeight="1" x14ac:dyDescent="0.35">
      <c r="A12" s="107" t="s">
        <v>16</v>
      </c>
      <c r="B12" s="108" t="s">
        <v>417</v>
      </c>
      <c r="C12" s="109">
        <v>2141.9299999999998</v>
      </c>
      <c r="D12" s="117">
        <f>'Anexo II B - SERVENTE'!E128</f>
        <v>5048.4799999999996</v>
      </c>
      <c r="E12" s="117">
        <f>(1/'Anexo II A.2 - PRODUTIVIDADE'!$E14)*D12</f>
        <v>3.4817103448275857</v>
      </c>
      <c r="F12" s="117">
        <f>C12*E12</f>
        <v>7457.5798388965504</v>
      </c>
    </row>
    <row r="13" spans="1:6" x14ac:dyDescent="0.35">
      <c r="A13" s="308" t="s">
        <v>267</v>
      </c>
      <c r="B13" s="308"/>
      <c r="C13" s="308"/>
      <c r="D13" s="308"/>
      <c r="E13" s="308"/>
      <c r="F13" s="308"/>
    </row>
    <row r="14" spans="1:6" ht="12.65" customHeight="1" x14ac:dyDescent="0.35">
      <c r="A14" s="307" t="s">
        <v>269</v>
      </c>
      <c r="B14" s="307"/>
      <c r="C14" s="307"/>
      <c r="D14" s="307"/>
      <c r="E14" s="307"/>
      <c r="F14" s="307"/>
    </row>
    <row r="15" spans="1:6" ht="15.65" customHeight="1" x14ac:dyDescent="0.35">
      <c r="A15" s="308" t="s">
        <v>267</v>
      </c>
      <c r="B15" s="308"/>
      <c r="C15" s="308"/>
      <c r="D15" s="308"/>
      <c r="E15" s="308"/>
      <c r="F15" s="308"/>
    </row>
    <row r="16" spans="1:6" ht="14.5" customHeight="1" x14ac:dyDescent="0.35">
      <c r="A16" s="107" t="s">
        <v>8</v>
      </c>
      <c r="B16" s="108" t="s">
        <v>388</v>
      </c>
      <c r="C16" s="109">
        <v>5626.21</v>
      </c>
      <c r="D16" s="117">
        <f>'Anexo II C - ENCARREGADO'!E129</f>
        <v>7820.61</v>
      </c>
      <c r="E16" s="118">
        <f>1/(17*'Anexo II A.2 - PRODUTIVIDADE'!$E17)*D16</f>
        <v>0.18401435294117646</v>
      </c>
      <c r="F16" s="117">
        <f>C16*E16</f>
        <v>1035.3033926611765</v>
      </c>
    </row>
    <row r="17" spans="1:6" ht="15.65" customHeight="1" x14ac:dyDescent="0.35">
      <c r="A17" s="107" t="s">
        <v>16</v>
      </c>
      <c r="B17" s="120" t="s">
        <v>385</v>
      </c>
      <c r="C17" s="109">
        <v>5626.21</v>
      </c>
      <c r="D17" s="117">
        <f>'Anexo II B - SERVENTE'!E128</f>
        <v>5048.4799999999996</v>
      </c>
      <c r="E17" s="119">
        <f>(1/'Anexo II A.2 - PRODUTIVIDADE'!$E17)*D17</f>
        <v>2.0193919999999999</v>
      </c>
      <c r="F17" s="117">
        <f>C17*E17</f>
        <v>11361.52346432</v>
      </c>
    </row>
    <row r="18" spans="1:6" ht="55" customHeight="1" x14ac:dyDescent="0.35">
      <c r="A18" s="312" t="s">
        <v>423</v>
      </c>
      <c r="B18" s="312"/>
      <c r="C18" s="312"/>
      <c r="D18" s="312"/>
      <c r="E18" s="312"/>
      <c r="F18" s="312"/>
    </row>
    <row r="19" spans="1:6" ht="16.5" customHeight="1" x14ac:dyDescent="0.35">
      <c r="A19" s="308" t="s">
        <v>270</v>
      </c>
      <c r="B19" s="308"/>
      <c r="C19" s="308"/>
      <c r="D19" s="308"/>
      <c r="E19" s="308"/>
      <c r="F19" s="308"/>
    </row>
    <row r="20" spans="1:6" ht="17.5" customHeight="1" x14ac:dyDescent="0.35">
      <c r="A20" s="107" t="s">
        <v>8</v>
      </c>
      <c r="B20" s="65" t="s">
        <v>387</v>
      </c>
      <c r="C20" s="109">
        <v>1544.27</v>
      </c>
      <c r="D20" s="117">
        <f>'Anexo II C - ENCARREGADO'!E129</f>
        <v>7820.61</v>
      </c>
      <c r="E20" s="121">
        <f>(1/(17*'Anexo II A.2 - PRODUTIVIDADE'!$E9))*8*(1/188.76)*D20</f>
        <v>6.4990588733904245E-2</v>
      </c>
      <c r="F20" s="117">
        <f>C20*E20</f>
        <v>100.36301646410631</v>
      </c>
    </row>
    <row r="21" spans="1:6" ht="16" customHeight="1" x14ac:dyDescent="0.35">
      <c r="A21" s="107" t="s">
        <v>16</v>
      </c>
      <c r="B21" s="65" t="s">
        <v>386</v>
      </c>
      <c r="C21" s="109">
        <v>1544.27</v>
      </c>
      <c r="D21" s="117">
        <f>'Anexo II B - SERVENTE'!E128</f>
        <v>5048.4799999999996</v>
      </c>
      <c r="E21" s="121">
        <f>(1/'Anexo II A.2 - PRODUTIVIDADE'!$E9)*8*(1/188.76)*D21</f>
        <v>0.71321325139506964</v>
      </c>
      <c r="F21" s="117">
        <f>C21*E21</f>
        <v>1101.3938277318641</v>
      </c>
    </row>
    <row r="22" spans="1:6" ht="19.5" customHeight="1" x14ac:dyDescent="0.35">
      <c r="A22" s="308" t="s">
        <v>271</v>
      </c>
      <c r="B22" s="308"/>
      <c r="C22" s="308"/>
      <c r="D22" s="308"/>
      <c r="E22" s="308"/>
      <c r="F22" s="308"/>
    </row>
    <row r="23" spans="1:6" ht="17.149999999999999" customHeight="1" x14ac:dyDescent="0.35">
      <c r="A23" s="107" t="s">
        <v>8</v>
      </c>
      <c r="B23" s="65" t="s">
        <v>387</v>
      </c>
      <c r="C23" s="109">
        <v>2346.79</v>
      </c>
      <c r="D23" s="117">
        <f>'Anexo II C - ENCARREGADO'!E129</f>
        <v>7820.61</v>
      </c>
      <c r="E23" s="117">
        <f>(1/(17*'Anexo II A.2 - PRODUTIVIDADE'!$E20))*8*(1/188.76)*D23</f>
        <v>6.4990588733904245E-2</v>
      </c>
      <c r="F23" s="117">
        <f>C23*E23</f>
        <v>152.51926373483914</v>
      </c>
    </row>
    <row r="24" spans="1:6" ht="17.149999999999999" customHeight="1" x14ac:dyDescent="0.35">
      <c r="A24" s="107" t="s">
        <v>16</v>
      </c>
      <c r="B24" s="65" t="s">
        <v>386</v>
      </c>
      <c r="C24" s="109">
        <v>2346.79</v>
      </c>
      <c r="D24" s="117">
        <f>'Anexo II B - SERVENTE'!E128</f>
        <v>5048.4799999999996</v>
      </c>
      <c r="E24" s="117">
        <f>(1/'Anexo II A.2 - PRODUTIVIDADE'!$E20)*8*(1/188.76)*D24</f>
        <v>0.71321325139506964</v>
      </c>
      <c r="F24" s="117">
        <f>C24*E24</f>
        <v>1673.7617262414356</v>
      </c>
    </row>
    <row r="25" spans="1:6" ht="15" customHeight="1" x14ac:dyDescent="0.35">
      <c r="A25" s="306" t="s">
        <v>272</v>
      </c>
      <c r="B25" s="306"/>
      <c r="C25" s="306"/>
      <c r="D25" s="306"/>
      <c r="E25" s="306"/>
      <c r="F25" s="122">
        <f>SUM(F8+F9+F11+F12+F16+F17+F20+F21+F23+F24)</f>
        <v>94160.488087494421</v>
      </c>
    </row>
    <row r="26" spans="1:6" ht="17.5" customHeight="1" x14ac:dyDescent="0.35">
      <c r="A26" s="306" t="s">
        <v>273</v>
      </c>
      <c r="B26" s="306"/>
      <c r="C26" s="306"/>
      <c r="D26" s="306"/>
      <c r="E26" s="306"/>
      <c r="F26" s="122">
        <f>F25*12</f>
        <v>1129925.8570499332</v>
      </c>
    </row>
    <row r="27" spans="1:6" ht="14.25" hidden="1" customHeight="1" x14ac:dyDescent="0.35">
      <c r="A27" s="29"/>
      <c r="B27" s="29"/>
      <c r="C27" s="29"/>
      <c r="D27" s="29"/>
      <c r="E27" s="29"/>
      <c r="F27" s="29"/>
    </row>
    <row r="28" spans="1:6" ht="8.5" customHeight="1" x14ac:dyDescent="0.35">
      <c r="A28" s="309"/>
      <c r="B28" s="310"/>
      <c r="C28" s="310"/>
      <c r="D28" s="310"/>
      <c r="E28" s="310"/>
      <c r="F28" s="311"/>
    </row>
    <row r="29" spans="1:6" ht="16" customHeight="1" x14ac:dyDescent="0.35">
      <c r="A29" s="306" t="s">
        <v>283</v>
      </c>
      <c r="B29" s="306"/>
      <c r="C29" s="306"/>
      <c r="D29" s="306"/>
      <c r="E29" s="306"/>
      <c r="F29" s="306"/>
    </row>
    <row r="30" spans="1:6" ht="28.5" customHeight="1" x14ac:dyDescent="0.35">
      <c r="A30" s="106" t="s">
        <v>274</v>
      </c>
      <c r="B30" s="106" t="s">
        <v>275</v>
      </c>
      <c r="C30" s="106" t="s">
        <v>276</v>
      </c>
      <c r="D30" s="106" t="s">
        <v>277</v>
      </c>
      <c r="E30" s="106" t="s">
        <v>278</v>
      </c>
      <c r="F30" s="106" t="s">
        <v>279</v>
      </c>
    </row>
    <row r="31" spans="1:6" ht="30" customHeight="1" x14ac:dyDescent="0.35">
      <c r="A31" s="29" t="s">
        <v>280</v>
      </c>
      <c r="B31" s="30" t="s">
        <v>384</v>
      </c>
      <c r="C31" s="31">
        <v>3</v>
      </c>
      <c r="D31" s="123">
        <f>'Anexo II D - CARREGADOR'!E129</f>
        <v>4747.9399999999996</v>
      </c>
      <c r="E31" s="123">
        <f>C31*D31</f>
        <v>14243.82</v>
      </c>
      <c r="F31" s="123">
        <f>E31*12</f>
        <v>170925.84</v>
      </c>
    </row>
    <row r="32" spans="1:6" ht="15.65" customHeight="1" x14ac:dyDescent="0.35">
      <c r="A32" s="314" t="s">
        <v>282</v>
      </c>
      <c r="B32" s="314"/>
      <c r="C32" s="314"/>
      <c r="D32" s="314"/>
      <c r="E32" s="314"/>
      <c r="F32" s="122">
        <f>F31</f>
        <v>170925.84</v>
      </c>
    </row>
    <row r="33" spans="1:6" ht="18.75" hidden="1" customHeight="1" x14ac:dyDescent="0.35">
      <c r="A33" s="315"/>
      <c r="B33" s="315"/>
      <c r="C33" s="315"/>
      <c r="D33" s="315"/>
      <c r="E33" s="315"/>
      <c r="F33" s="315"/>
    </row>
    <row r="34" spans="1:6" ht="14.5" customHeight="1" x14ac:dyDescent="0.35">
      <c r="A34" s="306" t="s">
        <v>328</v>
      </c>
      <c r="B34" s="306"/>
      <c r="C34" s="306"/>
      <c r="D34" s="306"/>
      <c r="E34" s="306"/>
      <c r="F34" s="306"/>
    </row>
    <row r="35" spans="1:6" ht="12.65" customHeight="1" x14ac:dyDescent="0.35">
      <c r="A35" s="316"/>
      <c r="B35" s="317"/>
      <c r="C35" s="317"/>
      <c r="D35" s="318"/>
      <c r="E35" s="283" t="s">
        <v>330</v>
      </c>
      <c r="F35" s="283" t="s">
        <v>331</v>
      </c>
    </row>
    <row r="36" spans="1:6" ht="13" customHeight="1" x14ac:dyDescent="0.35">
      <c r="A36" s="313" t="s">
        <v>329</v>
      </c>
      <c r="B36" s="313"/>
      <c r="C36" s="313"/>
      <c r="D36" s="313"/>
      <c r="E36" s="122">
        <f>'Anexo II I -MAT HIGIENE PESSOAL'!H11</f>
        <v>1723.05</v>
      </c>
      <c r="F36" s="122">
        <f>E36*12</f>
        <v>20676.599999999999</v>
      </c>
    </row>
    <row r="37" spans="1:6" ht="16.5" customHeight="1" x14ac:dyDescent="0.35">
      <c r="A37" s="313" t="s">
        <v>250</v>
      </c>
      <c r="B37" s="313"/>
      <c r="C37" s="313"/>
      <c r="D37" s="313"/>
      <c r="E37" s="122">
        <f>'Anexo II I -MAT HIGIENE PESSOAL'!H23</f>
        <v>1722.1000000000001</v>
      </c>
      <c r="F37" s="122">
        <f>E37*12</f>
        <v>20665.2</v>
      </c>
    </row>
    <row r="38" spans="1:6" ht="14.25" hidden="1" customHeight="1" x14ac:dyDescent="0.35">
      <c r="A38" s="29"/>
      <c r="B38" s="29"/>
      <c r="C38" s="29"/>
      <c r="D38" s="29"/>
      <c r="E38" s="29"/>
      <c r="F38" s="29"/>
    </row>
    <row r="39" spans="1:6" ht="2.5" customHeight="1" x14ac:dyDescent="0.35">
      <c r="A39" s="29"/>
      <c r="B39" s="29"/>
      <c r="C39" s="29"/>
      <c r="D39" s="29"/>
      <c r="E39" s="29"/>
      <c r="F39" s="29"/>
    </row>
    <row r="40" spans="1:6" ht="12.65" customHeight="1" x14ac:dyDescent="0.35">
      <c r="A40" s="306" t="s">
        <v>341</v>
      </c>
      <c r="B40" s="306"/>
      <c r="C40" s="306"/>
      <c r="D40" s="306"/>
      <c r="E40" s="306"/>
      <c r="F40" s="306"/>
    </row>
    <row r="41" spans="1:6" ht="14.5" customHeight="1" x14ac:dyDescent="0.35">
      <c r="A41" s="316"/>
      <c r="B41" s="317"/>
      <c r="C41" s="317"/>
      <c r="D41" s="318"/>
      <c r="E41" s="283" t="s">
        <v>330</v>
      </c>
      <c r="F41" s="283" t="s">
        <v>331</v>
      </c>
    </row>
    <row r="42" spans="1:6" ht="12.65" customHeight="1" x14ac:dyDescent="0.35">
      <c r="A42" s="313" t="s">
        <v>332</v>
      </c>
      <c r="B42" s="313"/>
      <c r="C42" s="313"/>
      <c r="D42" s="313"/>
      <c r="E42" s="122">
        <f>'Anexo II H - DISPENSER'!H8</f>
        <v>92.820833333333326</v>
      </c>
      <c r="F42" s="122">
        <f>E42*12</f>
        <v>1113.8499999999999</v>
      </c>
    </row>
    <row r="43" spans="1:6" ht="16" customHeight="1" x14ac:dyDescent="0.35">
      <c r="A43" s="313" t="s">
        <v>333</v>
      </c>
      <c r="B43" s="313"/>
      <c r="C43" s="313"/>
      <c r="D43" s="313"/>
      <c r="E43" s="122">
        <f>'Anexo II H - DISPENSER'!H16</f>
        <v>115.575</v>
      </c>
      <c r="F43" s="122">
        <f>E43*12</f>
        <v>1386.9</v>
      </c>
    </row>
    <row r="44" spans="1:6" ht="14.25" hidden="1" customHeight="1" x14ac:dyDescent="0.35">
      <c r="A44" s="29"/>
      <c r="B44" s="29"/>
      <c r="C44" s="29"/>
      <c r="D44" s="29"/>
      <c r="E44" s="29"/>
      <c r="F44" s="29"/>
    </row>
    <row r="45" spans="1:6" ht="14.25" hidden="1" customHeight="1" x14ac:dyDescent="0.35">
      <c r="A45" s="29"/>
      <c r="B45" s="29"/>
      <c r="C45" s="29"/>
      <c r="D45" s="29"/>
      <c r="E45" s="29"/>
      <c r="F45" s="29"/>
    </row>
    <row r="46" spans="1:6" ht="3.75" customHeight="1" x14ac:dyDescent="0.35">
      <c r="A46" s="309"/>
      <c r="B46" s="310"/>
      <c r="C46" s="310"/>
      <c r="D46" s="310"/>
      <c r="E46" s="310"/>
      <c r="F46" s="311"/>
    </row>
    <row r="47" spans="1:6" ht="14.5" customHeight="1" x14ac:dyDescent="0.35">
      <c r="A47" s="313" t="s">
        <v>413</v>
      </c>
      <c r="B47" s="313"/>
      <c r="C47" s="313"/>
      <c r="D47" s="313"/>
      <c r="E47" s="313"/>
      <c r="F47" s="122">
        <f>SUM(F26,F32,F36,F37,F42,F43)</f>
        <v>1344694.2470499333</v>
      </c>
    </row>
    <row r="48" spans="1:6" ht="14.25" hidden="1" customHeight="1" x14ac:dyDescent="0.35"/>
    <row r="50" spans="2:2" x14ac:dyDescent="0.35">
      <c r="B50" s="185"/>
    </row>
    <row r="54" spans="2:2" ht="44.25" customHeight="1" x14ac:dyDescent="0.35"/>
    <row r="77" ht="14.25" hidden="1" customHeight="1" x14ac:dyDescent="0.35"/>
    <row r="79" ht="44.25" customHeight="1" x14ac:dyDescent="0.35"/>
    <row r="80" ht="40.5" customHeight="1" x14ac:dyDescent="0.35"/>
    <row r="83" ht="2.25" customHeight="1" x14ac:dyDescent="0.35"/>
    <row r="88" ht="11.25" customHeight="1" x14ac:dyDescent="0.35"/>
    <row r="89" ht="14.25" hidden="1" customHeight="1" x14ac:dyDescent="0.35"/>
    <row r="94" ht="11.25" customHeight="1" x14ac:dyDescent="0.35"/>
    <row r="95" ht="3.75" hidden="1" customHeight="1" x14ac:dyDescent="0.35"/>
    <row r="96" ht="14.25" hidden="1" customHeight="1" x14ac:dyDescent="0.35"/>
  </sheetData>
  <mergeCells count="28">
    <mergeCell ref="A40:F40"/>
    <mergeCell ref="A42:D42"/>
    <mergeCell ref="A43:D43"/>
    <mergeCell ref="A47:E47"/>
    <mergeCell ref="A32:E32"/>
    <mergeCell ref="A33:F33"/>
    <mergeCell ref="A34:F34"/>
    <mergeCell ref="A36:D36"/>
    <mergeCell ref="A37:D37"/>
    <mergeCell ref="A35:D35"/>
    <mergeCell ref="A46:F46"/>
    <mergeCell ref="A41:D41"/>
    <mergeCell ref="A10:F10"/>
    <mergeCell ref="A13:F13"/>
    <mergeCell ref="A14:F14"/>
    <mergeCell ref="A15:F15"/>
    <mergeCell ref="A18:F18"/>
    <mergeCell ref="A19:F19"/>
    <mergeCell ref="A22:F22"/>
    <mergeCell ref="A25:E25"/>
    <mergeCell ref="A26:E26"/>
    <mergeCell ref="A29:F29"/>
    <mergeCell ref="A28:F28"/>
    <mergeCell ref="A1:F1"/>
    <mergeCell ref="A3:F3"/>
    <mergeCell ref="A4:F4"/>
    <mergeCell ref="A6:F6"/>
    <mergeCell ref="A7:F7"/>
  </mergeCells>
  <phoneticPr fontId="48" type="noConversion"/>
  <printOptions horizontalCentered="1"/>
  <pageMargins left="0.7" right="0.7" top="0.75" bottom="0.75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3"/>
  <sheetViews>
    <sheetView view="pageBreakPreview" topLeftCell="A13" zoomScale="80" zoomScaleNormal="80" zoomScaleSheetLayoutView="80" workbookViewId="0">
      <selection activeCell="H7" sqref="H7"/>
    </sheetView>
  </sheetViews>
  <sheetFormatPr defaultColWidth="9.1796875" defaultRowHeight="16" x14ac:dyDescent="0.35"/>
  <cols>
    <col min="1" max="1" width="9.1796875" style="2"/>
    <col min="2" max="2" width="66" style="2" customWidth="1"/>
    <col min="3" max="4" width="16.7265625" style="7" customWidth="1"/>
    <col min="5" max="7" width="15.26953125" style="8" customWidth="1"/>
    <col min="8" max="8" width="13.54296875" style="8" bestFit="1" customWidth="1"/>
    <col min="9" max="16384" width="9.1796875" style="2"/>
  </cols>
  <sheetData>
    <row r="1" spans="1:8" x14ac:dyDescent="0.35">
      <c r="A1" s="377" t="s">
        <v>421</v>
      </c>
      <c r="B1" s="377"/>
      <c r="C1" s="377"/>
      <c r="D1" s="377"/>
      <c r="E1" s="377"/>
      <c r="F1" s="377"/>
      <c r="G1" s="377"/>
      <c r="H1" s="377"/>
    </row>
    <row r="2" spans="1:8" ht="41.25" customHeight="1" x14ac:dyDescent="0.35">
      <c r="A2" s="379" t="s">
        <v>297</v>
      </c>
      <c r="B2" s="379"/>
      <c r="C2" s="379"/>
      <c r="D2" s="379"/>
      <c r="E2" s="379"/>
      <c r="F2" s="379"/>
      <c r="G2" s="379"/>
      <c r="H2" s="379"/>
    </row>
    <row r="3" spans="1:8" ht="48" x14ac:dyDescent="0.35">
      <c r="A3" s="3" t="s">
        <v>0</v>
      </c>
      <c r="B3" s="3" t="s">
        <v>28</v>
      </c>
      <c r="C3" s="3" t="s">
        <v>241</v>
      </c>
      <c r="D3" s="3" t="s">
        <v>242</v>
      </c>
      <c r="E3" s="4" t="s">
        <v>243</v>
      </c>
      <c r="F3" s="4" t="s">
        <v>17</v>
      </c>
      <c r="G3" s="4" t="s">
        <v>411</v>
      </c>
      <c r="H3" s="4" t="s">
        <v>18</v>
      </c>
    </row>
    <row r="4" spans="1:8" ht="56" x14ac:dyDescent="0.35">
      <c r="A4" s="66">
        <v>1</v>
      </c>
      <c r="B4" s="104" t="s">
        <v>244</v>
      </c>
      <c r="C4" s="61" t="s">
        <v>2</v>
      </c>
      <c r="D4" s="61">
        <v>40</v>
      </c>
      <c r="E4" s="62">
        <f t="shared" ref="E4:E5" si="0">D4*12</f>
        <v>480</v>
      </c>
      <c r="F4" s="99">
        <v>0.9</v>
      </c>
      <c r="G4" s="99">
        <f>H4/12</f>
        <v>36</v>
      </c>
      <c r="H4" s="63">
        <f t="shared" ref="H4:H9" si="1">E4*F4</f>
        <v>432</v>
      </c>
    </row>
    <row r="5" spans="1:8" ht="42" x14ac:dyDescent="0.3">
      <c r="A5" s="27">
        <v>2</v>
      </c>
      <c r="B5" s="68" t="s">
        <v>245</v>
      </c>
      <c r="C5" s="65" t="s">
        <v>2</v>
      </c>
      <c r="D5" s="65">
        <v>250</v>
      </c>
      <c r="E5" s="62">
        <f t="shared" si="0"/>
        <v>3000</v>
      </c>
      <c r="F5" s="100">
        <v>2.04</v>
      </c>
      <c r="G5" s="99">
        <f t="shared" ref="G5:G9" si="2">H5/12</f>
        <v>510</v>
      </c>
      <c r="H5" s="63">
        <f t="shared" si="1"/>
        <v>6120</v>
      </c>
    </row>
    <row r="6" spans="1:8" ht="56" x14ac:dyDescent="0.35">
      <c r="A6" s="27">
        <v>3</v>
      </c>
      <c r="B6" s="64" t="s">
        <v>246</v>
      </c>
      <c r="C6" s="65" t="s">
        <v>2</v>
      </c>
      <c r="D6" s="65">
        <v>50</v>
      </c>
      <c r="E6" s="62">
        <f>D6*12</f>
        <v>600</v>
      </c>
      <c r="F6" s="100">
        <v>10.11</v>
      </c>
      <c r="G6" s="99">
        <f t="shared" si="2"/>
        <v>505.5</v>
      </c>
      <c r="H6" s="63">
        <f t="shared" si="1"/>
        <v>6066</v>
      </c>
    </row>
    <row r="7" spans="1:8" ht="42" x14ac:dyDescent="0.35">
      <c r="A7" s="27">
        <v>4</v>
      </c>
      <c r="B7" s="64" t="s">
        <v>247</v>
      </c>
      <c r="C7" s="61" t="s">
        <v>2</v>
      </c>
      <c r="D7" s="61">
        <v>15</v>
      </c>
      <c r="E7" s="62">
        <f t="shared" ref="E7:E9" si="3">D7*12</f>
        <v>180</v>
      </c>
      <c r="F7" s="100">
        <v>10.37</v>
      </c>
      <c r="G7" s="99">
        <f t="shared" si="2"/>
        <v>155.54999999999998</v>
      </c>
      <c r="H7" s="63">
        <f t="shared" si="1"/>
        <v>1866.6</v>
      </c>
    </row>
    <row r="8" spans="1:8" ht="28" x14ac:dyDescent="0.35">
      <c r="A8" s="27">
        <v>5</v>
      </c>
      <c r="B8" s="64" t="s">
        <v>248</v>
      </c>
      <c r="C8" s="61" t="s">
        <v>2</v>
      </c>
      <c r="D8" s="61">
        <v>20</v>
      </c>
      <c r="E8" s="62">
        <f t="shared" si="3"/>
        <v>240</v>
      </c>
      <c r="F8" s="100">
        <v>8.16</v>
      </c>
      <c r="G8" s="99">
        <f t="shared" si="2"/>
        <v>163.20000000000002</v>
      </c>
      <c r="H8" s="63">
        <f t="shared" si="1"/>
        <v>1958.4</v>
      </c>
    </row>
    <row r="9" spans="1:8" ht="28" x14ac:dyDescent="0.35">
      <c r="A9" s="67">
        <v>6</v>
      </c>
      <c r="B9" s="64" t="s">
        <v>249</v>
      </c>
      <c r="C9" s="61" t="s">
        <v>2</v>
      </c>
      <c r="D9" s="61">
        <v>40</v>
      </c>
      <c r="E9" s="62">
        <f t="shared" si="3"/>
        <v>480</v>
      </c>
      <c r="F9" s="100">
        <v>8.82</v>
      </c>
      <c r="G9" s="99">
        <f t="shared" si="2"/>
        <v>352.8</v>
      </c>
      <c r="H9" s="63">
        <f t="shared" si="1"/>
        <v>4233.6000000000004</v>
      </c>
    </row>
    <row r="10" spans="1:8" x14ac:dyDescent="0.35">
      <c r="A10" s="378" t="s">
        <v>26</v>
      </c>
      <c r="B10" s="378"/>
      <c r="C10" s="378"/>
      <c r="D10" s="378"/>
      <c r="E10" s="378"/>
      <c r="F10" s="378"/>
      <c r="G10" s="10"/>
      <c r="H10" s="59">
        <f>SUM(H4:H9)</f>
        <v>20676.599999999999</v>
      </c>
    </row>
    <row r="11" spans="1:8" x14ac:dyDescent="0.35">
      <c r="A11" s="378" t="s">
        <v>27</v>
      </c>
      <c r="B11" s="378"/>
      <c r="C11" s="378"/>
      <c r="D11" s="378"/>
      <c r="E11" s="378"/>
      <c r="F11" s="378"/>
      <c r="G11" s="10"/>
      <c r="H11" s="157">
        <f>H10/12</f>
        <v>1723.05</v>
      </c>
    </row>
    <row r="13" spans="1:8" ht="38.25" customHeight="1" x14ac:dyDescent="0.35">
      <c r="A13" s="287"/>
      <c r="B13" s="288"/>
      <c r="C13" s="288"/>
      <c r="D13" s="288"/>
      <c r="E13" s="288"/>
      <c r="F13" s="288"/>
      <c r="G13" s="288"/>
      <c r="H13" s="289"/>
    </row>
    <row r="14" spans="1:8" ht="38.25" customHeight="1" x14ac:dyDescent="0.35">
      <c r="A14" s="379" t="s">
        <v>250</v>
      </c>
      <c r="B14" s="379"/>
      <c r="C14" s="379"/>
      <c r="D14" s="379"/>
      <c r="E14" s="379"/>
      <c r="F14" s="379"/>
      <c r="G14" s="379"/>
      <c r="H14" s="379"/>
    </row>
    <row r="15" spans="1:8" ht="48" x14ac:dyDescent="0.35">
      <c r="A15" s="3" t="s">
        <v>0</v>
      </c>
      <c r="B15" s="3" t="s">
        <v>28</v>
      </c>
      <c r="C15" s="3" t="s">
        <v>241</v>
      </c>
      <c r="D15" s="3" t="s">
        <v>242</v>
      </c>
      <c r="E15" s="4" t="s">
        <v>243</v>
      </c>
      <c r="F15" s="4" t="s">
        <v>17</v>
      </c>
      <c r="G15" s="4" t="s">
        <v>411</v>
      </c>
      <c r="H15" s="4" t="s">
        <v>18</v>
      </c>
    </row>
    <row r="16" spans="1:8" ht="56" x14ac:dyDescent="0.35">
      <c r="A16" s="66">
        <v>1</v>
      </c>
      <c r="B16" s="104" t="s">
        <v>244</v>
      </c>
      <c r="C16" s="61" t="s">
        <v>2</v>
      </c>
      <c r="D16" s="61">
        <v>120</v>
      </c>
      <c r="E16" s="62">
        <f t="shared" ref="E16:E21" si="4">D16*12</f>
        <v>1440</v>
      </c>
      <c r="F16" s="99">
        <v>0.9</v>
      </c>
      <c r="G16" s="99">
        <f>H16/12</f>
        <v>108</v>
      </c>
      <c r="H16" s="63">
        <f t="shared" ref="H16:H21" si="5">E16*F16</f>
        <v>1296</v>
      </c>
    </row>
    <row r="17" spans="1:8" ht="42" x14ac:dyDescent="0.3">
      <c r="A17" s="27">
        <v>2</v>
      </c>
      <c r="B17" s="68" t="s">
        <v>245</v>
      </c>
      <c r="C17" s="65" t="s">
        <v>2</v>
      </c>
      <c r="D17" s="65">
        <v>100</v>
      </c>
      <c r="E17" s="62">
        <f t="shared" si="4"/>
        <v>1200</v>
      </c>
      <c r="F17" s="100">
        <v>2.04</v>
      </c>
      <c r="G17" s="99">
        <f t="shared" ref="G17:G21" si="6">H17/12</f>
        <v>204</v>
      </c>
      <c r="H17" s="63">
        <f t="shared" si="5"/>
        <v>2448</v>
      </c>
    </row>
    <row r="18" spans="1:8" ht="56" x14ac:dyDescent="0.35">
      <c r="A18" s="27">
        <v>3</v>
      </c>
      <c r="B18" s="64" t="s">
        <v>246</v>
      </c>
      <c r="C18" s="65" t="s">
        <v>2</v>
      </c>
      <c r="D18" s="65">
        <v>40</v>
      </c>
      <c r="E18" s="62">
        <f t="shared" si="4"/>
        <v>480</v>
      </c>
      <c r="F18" s="100">
        <v>10.11</v>
      </c>
      <c r="G18" s="99">
        <f t="shared" si="6"/>
        <v>404.39999999999992</v>
      </c>
      <c r="H18" s="63">
        <f t="shared" si="5"/>
        <v>4852.7999999999993</v>
      </c>
    </row>
    <row r="19" spans="1:8" ht="42" x14ac:dyDescent="0.35">
      <c r="A19" s="27">
        <v>4</v>
      </c>
      <c r="B19" s="64" t="s">
        <v>247</v>
      </c>
      <c r="C19" s="61" t="s">
        <v>2</v>
      </c>
      <c r="D19" s="61">
        <v>20</v>
      </c>
      <c r="E19" s="62">
        <f t="shared" si="4"/>
        <v>240</v>
      </c>
      <c r="F19" s="100">
        <v>10.37</v>
      </c>
      <c r="G19" s="99">
        <f t="shared" si="6"/>
        <v>207.39999999999998</v>
      </c>
      <c r="H19" s="63">
        <f t="shared" si="5"/>
        <v>2488.7999999999997</v>
      </c>
    </row>
    <row r="20" spans="1:8" ht="28" x14ac:dyDescent="0.35">
      <c r="A20" s="27">
        <v>5</v>
      </c>
      <c r="B20" s="64" t="s">
        <v>248</v>
      </c>
      <c r="C20" s="61" t="s">
        <v>2</v>
      </c>
      <c r="D20" s="61">
        <v>60</v>
      </c>
      <c r="E20" s="62">
        <f t="shared" si="4"/>
        <v>720</v>
      </c>
      <c r="F20" s="100">
        <v>8.16</v>
      </c>
      <c r="G20" s="99">
        <f t="shared" si="6"/>
        <v>489.59999999999997</v>
      </c>
      <c r="H20" s="63">
        <f t="shared" si="5"/>
        <v>5875.2</v>
      </c>
    </row>
    <row r="21" spans="1:8" ht="28" x14ac:dyDescent="0.35">
      <c r="A21" s="67">
        <v>6</v>
      </c>
      <c r="B21" s="64" t="s">
        <v>249</v>
      </c>
      <c r="C21" s="61" t="s">
        <v>2</v>
      </c>
      <c r="D21" s="61">
        <v>35</v>
      </c>
      <c r="E21" s="62">
        <f t="shared" si="4"/>
        <v>420</v>
      </c>
      <c r="F21" s="100">
        <v>8.82</v>
      </c>
      <c r="G21" s="99">
        <f t="shared" si="6"/>
        <v>308.7</v>
      </c>
      <c r="H21" s="63">
        <f t="shared" si="5"/>
        <v>3704.4</v>
      </c>
    </row>
    <row r="22" spans="1:8" x14ac:dyDescent="0.35">
      <c r="A22" s="378" t="s">
        <v>26</v>
      </c>
      <c r="B22" s="378"/>
      <c r="C22" s="378"/>
      <c r="D22" s="378"/>
      <c r="E22" s="378"/>
      <c r="F22" s="378"/>
      <c r="G22" s="10"/>
      <c r="H22" s="59">
        <f>SUM(H16:H21)</f>
        <v>20665.2</v>
      </c>
    </row>
    <row r="23" spans="1:8" x14ac:dyDescent="0.35">
      <c r="A23" s="378" t="s">
        <v>27</v>
      </c>
      <c r="B23" s="378"/>
      <c r="C23" s="378"/>
      <c r="D23" s="378"/>
      <c r="E23" s="378"/>
      <c r="F23" s="378"/>
      <c r="G23" s="10"/>
      <c r="H23" s="157">
        <f>H22/12</f>
        <v>1722.1000000000001</v>
      </c>
    </row>
  </sheetData>
  <mergeCells count="7">
    <mergeCell ref="A1:H1"/>
    <mergeCell ref="A23:F23"/>
    <mergeCell ref="A10:F10"/>
    <mergeCell ref="A11:F11"/>
    <mergeCell ref="A22:F22"/>
    <mergeCell ref="A2:H2"/>
    <mergeCell ref="A14:H14"/>
  </mergeCells>
  <phoneticPr fontId="48" type="noConversion"/>
  <pageMargins left="0.7" right="0.7" top="0.75" bottom="0.75" header="0.3" footer="0.3"/>
  <pageSetup paperSize="9" scale="52" orientation="portrait"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1"/>
  <sheetViews>
    <sheetView view="pageBreakPreview" topLeftCell="A31" zoomScaleNormal="100" zoomScaleSheetLayoutView="100" workbookViewId="0">
      <selection activeCell="F48" sqref="F48"/>
    </sheetView>
  </sheetViews>
  <sheetFormatPr defaultColWidth="9.1796875" defaultRowHeight="16" x14ac:dyDescent="0.35"/>
  <cols>
    <col min="1" max="1" width="27.81640625" style="26" customWidth="1"/>
    <col min="2" max="2" width="15.453125" style="26" customWidth="1"/>
    <col min="3" max="3" width="13.1796875" style="26" customWidth="1"/>
    <col min="4" max="4" width="18.453125" style="26" customWidth="1"/>
    <col min="5" max="5" width="14.81640625" style="26" customWidth="1"/>
    <col min="6" max="6" width="22.81640625" style="26" bestFit="1" customWidth="1"/>
    <col min="7" max="7" width="13.54296875" style="26" bestFit="1" customWidth="1"/>
    <col min="8" max="8" width="12.7265625" style="26" bestFit="1" customWidth="1"/>
    <col min="9" max="9" width="13.54296875" style="26" bestFit="1" customWidth="1"/>
    <col min="10" max="10" width="9.1796875" style="26"/>
    <col min="11" max="11" width="11.453125" style="26" bestFit="1" customWidth="1"/>
    <col min="12" max="16384" width="9.1796875" style="26"/>
  </cols>
  <sheetData>
    <row r="1" spans="1:8" x14ac:dyDescent="0.35">
      <c r="A1" s="384" t="s">
        <v>335</v>
      </c>
      <c r="B1" s="384"/>
      <c r="C1" s="384"/>
      <c r="D1" s="384"/>
      <c r="E1" s="384"/>
      <c r="F1" s="384"/>
    </row>
    <row r="2" spans="1:8" x14ac:dyDescent="0.35">
      <c r="A2" s="384" t="s">
        <v>376</v>
      </c>
      <c r="B2" s="384"/>
      <c r="C2" s="384"/>
      <c r="D2" s="384"/>
      <c r="E2" s="384"/>
      <c r="F2" s="384"/>
    </row>
    <row r="4" spans="1:8" x14ac:dyDescent="0.35">
      <c r="A4" s="306" t="s">
        <v>379</v>
      </c>
      <c r="B4" s="306"/>
      <c r="C4" s="306"/>
      <c r="D4" s="306"/>
      <c r="E4" s="306"/>
      <c r="F4" s="306"/>
    </row>
    <row r="5" spans="1:8" ht="47.25" customHeight="1" x14ac:dyDescent="0.35">
      <c r="A5" s="106" t="s">
        <v>263</v>
      </c>
      <c r="B5" s="106" t="s">
        <v>262</v>
      </c>
      <c r="C5" s="106" t="s">
        <v>261</v>
      </c>
      <c r="D5" s="106" t="s">
        <v>260</v>
      </c>
      <c r="E5" s="106" t="s">
        <v>259</v>
      </c>
      <c r="F5" s="106" t="s">
        <v>264</v>
      </c>
    </row>
    <row r="6" spans="1:8" ht="18.75" customHeight="1" x14ac:dyDescent="0.35">
      <c r="A6" s="385" t="s">
        <v>265</v>
      </c>
      <c r="B6" s="386"/>
      <c r="C6" s="386"/>
      <c r="D6" s="386"/>
      <c r="E6" s="386"/>
      <c r="F6" s="387"/>
    </row>
    <row r="7" spans="1:8" x14ac:dyDescent="0.35">
      <c r="A7" s="388" t="s">
        <v>266</v>
      </c>
      <c r="B7" s="389"/>
      <c r="C7" s="389"/>
      <c r="D7" s="389"/>
      <c r="E7" s="389"/>
      <c r="F7" s="390"/>
    </row>
    <row r="8" spans="1:8" x14ac:dyDescent="0.35">
      <c r="A8" s="107" t="s">
        <v>8</v>
      </c>
      <c r="B8" s="108" t="s">
        <v>337</v>
      </c>
      <c r="C8" s="109">
        <v>12624</v>
      </c>
      <c r="D8" s="117" t="e">
        <f>'Anexo II C - ENCARREGADO'!#REF!</f>
        <v>#REF!</v>
      </c>
      <c r="E8" s="117" t="e">
        <f>1/(13*'Anexo II A.2 - PRODUTIVIDADE'!E6)*D8</f>
        <v>#REF!</v>
      </c>
      <c r="F8" s="117" t="e">
        <f>C8*E8</f>
        <v>#REF!</v>
      </c>
    </row>
    <row r="9" spans="1:8" x14ac:dyDescent="0.35">
      <c r="A9" s="107" t="s">
        <v>16</v>
      </c>
      <c r="B9" s="108" t="s">
        <v>325</v>
      </c>
      <c r="C9" s="109">
        <v>12624</v>
      </c>
      <c r="D9" s="117" t="e">
        <f>'Anexo II B - SERVENTE'!#REF!</f>
        <v>#REF!</v>
      </c>
      <c r="E9" s="117" t="e">
        <f>(1/'Anexo II A.2 - PRODUTIVIDADE'!E6)*D9</f>
        <v>#REF!</v>
      </c>
      <c r="F9" s="117" t="e">
        <f>C9*E9</f>
        <v>#REF!</v>
      </c>
    </row>
    <row r="10" spans="1:8" x14ac:dyDescent="0.35">
      <c r="A10" s="388" t="s">
        <v>267</v>
      </c>
      <c r="B10" s="389"/>
      <c r="C10" s="389"/>
      <c r="D10" s="389"/>
      <c r="E10" s="389"/>
      <c r="F10" s="390"/>
    </row>
    <row r="11" spans="1:8" x14ac:dyDescent="0.35">
      <c r="A11" s="107" t="s">
        <v>8</v>
      </c>
      <c r="B11" s="108" t="s">
        <v>338</v>
      </c>
      <c r="C11" s="109">
        <v>2141.9299999999998</v>
      </c>
      <c r="D11" s="117" t="e">
        <f>'Anexo II C - ENCARREGADO'!#REF!</f>
        <v>#REF!</v>
      </c>
      <c r="E11" s="166" t="e">
        <f>(1/(13*'Anexo II A.2 - PRODUTIVIDADE'!E14)*D11)</f>
        <v>#REF!</v>
      </c>
      <c r="F11" s="117" t="e">
        <f>C11*E11</f>
        <v>#REF!</v>
      </c>
    </row>
    <row r="12" spans="1:8" x14ac:dyDescent="0.35">
      <c r="A12" s="107" t="s">
        <v>16</v>
      </c>
      <c r="B12" s="108" t="s">
        <v>268</v>
      </c>
      <c r="C12" s="109">
        <v>2141.9299999999998</v>
      </c>
      <c r="D12" s="117" t="e">
        <f>'Anexo II B - SERVENTE'!#REF!</f>
        <v>#REF!</v>
      </c>
      <c r="E12" s="117" t="e">
        <f>(1/'Anexo II A.2 - PRODUTIVIDADE'!E14)*D12</f>
        <v>#REF!</v>
      </c>
      <c r="F12" s="117" t="e">
        <f>C12*E12</f>
        <v>#REF!</v>
      </c>
    </row>
    <row r="13" spans="1:8" x14ac:dyDescent="0.35">
      <c r="A13" s="388" t="s">
        <v>267</v>
      </c>
      <c r="B13" s="389"/>
      <c r="C13" s="389"/>
      <c r="D13" s="389"/>
      <c r="E13" s="389"/>
      <c r="F13" s="390"/>
    </row>
    <row r="14" spans="1:8" ht="16.5" x14ac:dyDescent="0.35">
      <c r="A14" s="385" t="s">
        <v>269</v>
      </c>
      <c r="B14" s="386"/>
      <c r="C14" s="386"/>
      <c r="D14" s="386"/>
      <c r="E14" s="386"/>
      <c r="F14" s="387"/>
    </row>
    <row r="15" spans="1:8" x14ac:dyDescent="0.35">
      <c r="A15" s="388" t="s">
        <v>267</v>
      </c>
      <c r="B15" s="389"/>
      <c r="C15" s="389"/>
      <c r="D15" s="389"/>
      <c r="E15" s="389"/>
      <c r="F15" s="390"/>
    </row>
    <row r="16" spans="1:8" x14ac:dyDescent="0.35">
      <c r="A16" s="107" t="s">
        <v>8</v>
      </c>
      <c r="B16" s="108" t="s">
        <v>339</v>
      </c>
      <c r="C16" s="109">
        <v>5626.21</v>
      </c>
      <c r="D16" s="117" t="e">
        <f>'Anexo II C - ENCARREGADO'!#REF!</f>
        <v>#REF!</v>
      </c>
      <c r="E16" s="118" t="e">
        <f>1/(13*'Anexo II A.2 - PRODUTIVIDADE'!E17)*D16</f>
        <v>#REF!</v>
      </c>
      <c r="F16" s="117" t="e">
        <f>C16*E16</f>
        <v>#REF!</v>
      </c>
      <c r="H16" s="167"/>
    </row>
    <row r="17" spans="1:9" x14ac:dyDescent="0.35">
      <c r="A17" s="107" t="s">
        <v>16</v>
      </c>
      <c r="B17" s="120" t="s">
        <v>298</v>
      </c>
      <c r="C17" s="109">
        <v>5626.21</v>
      </c>
      <c r="D17" s="117" t="e">
        <f>'Anexo II B - SERVENTE'!#REF!</f>
        <v>#REF!</v>
      </c>
      <c r="E17" s="119" t="e">
        <f>(1/'Anexo II A.2 - PRODUTIVIDADE'!E17)*D17</f>
        <v>#REF!</v>
      </c>
      <c r="F17" s="117" t="e">
        <f>C17*E17</f>
        <v>#REF!</v>
      </c>
    </row>
    <row r="18" spans="1:9" ht="36" customHeight="1" x14ac:dyDescent="0.35">
      <c r="A18" s="391" t="s">
        <v>336</v>
      </c>
      <c r="B18" s="392"/>
      <c r="C18" s="392"/>
      <c r="D18" s="392"/>
      <c r="E18" s="392"/>
      <c r="F18" s="393"/>
    </row>
    <row r="19" spans="1:9" x14ac:dyDescent="0.35">
      <c r="A19" s="388" t="s">
        <v>270</v>
      </c>
      <c r="B19" s="389"/>
      <c r="C19" s="389"/>
      <c r="D19" s="389"/>
      <c r="E19" s="389"/>
      <c r="F19" s="390"/>
      <c r="I19" s="28"/>
    </row>
    <row r="20" spans="1:9" ht="39" customHeight="1" x14ac:dyDescent="0.35">
      <c r="A20" s="107" t="s">
        <v>8</v>
      </c>
      <c r="B20" s="65" t="s">
        <v>340</v>
      </c>
      <c r="C20" s="109">
        <v>1544.27</v>
      </c>
      <c r="D20" s="117" t="e">
        <f>'Anexo II C - ENCARREGADO'!#REF!</f>
        <v>#REF!</v>
      </c>
      <c r="E20" s="121" t="e">
        <f>(1/(13*'Anexo II A.2 - PRODUTIVIDADE'!E9))*8*(1/188.76)*D20</f>
        <v>#REF!</v>
      </c>
      <c r="F20" s="117" t="e">
        <f>C20*E20</f>
        <v>#REF!</v>
      </c>
      <c r="H20" s="168"/>
    </row>
    <row r="21" spans="1:9" ht="31.5" customHeight="1" x14ac:dyDescent="0.35">
      <c r="A21" s="107" t="s">
        <v>16</v>
      </c>
      <c r="B21" s="65" t="s">
        <v>327</v>
      </c>
      <c r="C21" s="109">
        <v>1544.27</v>
      </c>
      <c r="D21" s="117" t="e">
        <f>'Anexo II B - SERVENTE'!#REF!</f>
        <v>#REF!</v>
      </c>
      <c r="E21" s="121" t="e">
        <f>(1/'Anexo II A.2 - PRODUTIVIDADE'!E9)*8*(1/188.76)*D21</f>
        <v>#REF!</v>
      </c>
      <c r="F21" s="117" t="e">
        <f>C21*E21</f>
        <v>#REF!</v>
      </c>
    </row>
    <row r="22" spans="1:9" x14ac:dyDescent="0.35">
      <c r="A22" s="388" t="s">
        <v>271</v>
      </c>
      <c r="B22" s="389"/>
      <c r="C22" s="389"/>
      <c r="D22" s="389"/>
      <c r="E22" s="389"/>
      <c r="F22" s="390"/>
    </row>
    <row r="23" spans="1:9" ht="32" x14ac:dyDescent="0.35">
      <c r="A23" s="107" t="s">
        <v>8</v>
      </c>
      <c r="B23" s="65" t="s">
        <v>340</v>
      </c>
      <c r="C23" s="109">
        <v>2346.79</v>
      </c>
      <c r="D23" s="117" t="e">
        <f>'Anexo II C - ENCARREGADO'!#REF!</f>
        <v>#REF!</v>
      </c>
      <c r="E23" s="117" t="e">
        <f>(1/(13*'Anexo II A.2 - PRODUTIVIDADE'!E20))*8*(1/188.76)*D23</f>
        <v>#REF!</v>
      </c>
      <c r="F23" s="117" t="e">
        <f>C23*E23</f>
        <v>#REF!</v>
      </c>
    </row>
    <row r="24" spans="1:9" ht="32" x14ac:dyDescent="0.35">
      <c r="A24" s="107" t="s">
        <v>16</v>
      </c>
      <c r="B24" s="65" t="s">
        <v>327</v>
      </c>
      <c r="C24" s="109">
        <v>2346.79</v>
      </c>
      <c r="D24" s="117" t="e">
        <f>'Anexo II B - SERVENTE'!#REF!</f>
        <v>#REF!</v>
      </c>
      <c r="E24" s="117" t="e">
        <f>(1/'Anexo II A.2 - PRODUTIVIDADE'!E20)*8*(1/188.76)*D24</f>
        <v>#REF!</v>
      </c>
      <c r="F24" s="117" t="e">
        <f>C24*E24</f>
        <v>#REF!</v>
      </c>
    </row>
    <row r="25" spans="1:9" x14ac:dyDescent="0.35">
      <c r="A25" s="316" t="s">
        <v>272</v>
      </c>
      <c r="B25" s="317"/>
      <c r="C25" s="317"/>
      <c r="D25" s="317"/>
      <c r="E25" s="318"/>
      <c r="F25" s="122" t="e">
        <f>SUM(F8+F9+F11+F12+F16+F17+F20+F21+F23+F24)</f>
        <v>#REF!</v>
      </c>
    </row>
    <row r="26" spans="1:9" x14ac:dyDescent="0.35">
      <c r="A26" s="316" t="s">
        <v>273</v>
      </c>
      <c r="B26" s="317"/>
      <c r="C26" s="317"/>
      <c r="D26" s="317"/>
      <c r="E26" s="318"/>
      <c r="F26" s="122" t="e">
        <f>F25*12</f>
        <v>#REF!</v>
      </c>
    </row>
    <row r="29" spans="1:9" x14ac:dyDescent="0.35">
      <c r="A29" s="316" t="s">
        <v>283</v>
      </c>
      <c r="B29" s="317"/>
      <c r="C29" s="317"/>
      <c r="D29" s="317"/>
      <c r="E29" s="317"/>
      <c r="F29" s="318"/>
    </row>
    <row r="30" spans="1:9" ht="32" x14ac:dyDescent="0.35">
      <c r="A30" s="106" t="s">
        <v>274</v>
      </c>
      <c r="B30" s="106" t="s">
        <v>275</v>
      </c>
      <c r="C30" s="106" t="s">
        <v>276</v>
      </c>
      <c r="D30" s="106" t="s">
        <v>277</v>
      </c>
      <c r="E30" s="106" t="s">
        <v>278</v>
      </c>
      <c r="F30" s="106" t="s">
        <v>279</v>
      </c>
      <c r="G30" s="58"/>
      <c r="H30" s="58"/>
    </row>
    <row r="31" spans="1:9" ht="48" x14ac:dyDescent="0.35">
      <c r="A31" s="29" t="s">
        <v>280</v>
      </c>
      <c r="B31" s="30" t="s">
        <v>281</v>
      </c>
      <c r="C31" s="31">
        <v>3</v>
      </c>
      <c r="D31" s="123" t="e">
        <f>'Anexo II D - CARREGADOR'!#REF!</f>
        <v>#REF!</v>
      </c>
      <c r="E31" s="123" t="e">
        <f>C31*D31</f>
        <v>#REF!</v>
      </c>
      <c r="F31" s="123" t="e">
        <f>E31*12</f>
        <v>#REF!</v>
      </c>
      <c r="H31" s="58"/>
    </row>
    <row r="32" spans="1:9" x14ac:dyDescent="0.35">
      <c r="A32" s="316" t="s">
        <v>282</v>
      </c>
      <c r="B32" s="317"/>
      <c r="C32" s="317"/>
      <c r="D32" s="317"/>
      <c r="E32" s="318"/>
      <c r="F32" s="122" t="e">
        <f>F31</f>
        <v>#REF!</v>
      </c>
      <c r="H32" s="58"/>
    </row>
    <row r="33" spans="1:11" x14ac:dyDescent="0.35">
      <c r="G33" s="158"/>
      <c r="H33" s="159"/>
    </row>
    <row r="34" spans="1:11" ht="18.75" customHeight="1" x14ac:dyDescent="0.35">
      <c r="A34" s="383"/>
      <c r="B34" s="383"/>
      <c r="C34" s="383"/>
      <c r="D34" s="383"/>
      <c r="E34" s="383"/>
      <c r="F34" s="383"/>
    </row>
    <row r="35" spans="1:11" x14ac:dyDescent="0.35">
      <c r="A35" s="316" t="s">
        <v>328</v>
      </c>
      <c r="B35" s="317"/>
      <c r="C35" s="317"/>
      <c r="D35" s="317"/>
      <c r="E35" s="317"/>
      <c r="F35" s="318"/>
    </row>
    <row r="36" spans="1:11" x14ac:dyDescent="0.35">
      <c r="A36" s="182"/>
      <c r="B36" s="183"/>
      <c r="C36" s="183"/>
      <c r="D36" s="183"/>
      <c r="E36" s="186" t="s">
        <v>330</v>
      </c>
      <c r="F36" s="184" t="s">
        <v>331</v>
      </c>
    </row>
    <row r="37" spans="1:11" ht="14.25" customHeight="1" x14ac:dyDescent="0.35">
      <c r="A37" s="380" t="s">
        <v>329</v>
      </c>
      <c r="B37" s="381"/>
      <c r="C37" s="381"/>
      <c r="D37" s="381"/>
      <c r="E37" s="122">
        <f>'Anexo II I -MAT HIGIENE PESSOAL'!H11</f>
        <v>1723.05</v>
      </c>
      <c r="F37" s="122">
        <f>E37*12</f>
        <v>20676.599999999999</v>
      </c>
    </row>
    <row r="38" spans="1:11" x14ac:dyDescent="0.35">
      <c r="A38" s="380" t="s">
        <v>250</v>
      </c>
      <c r="B38" s="381"/>
      <c r="C38" s="381"/>
      <c r="D38" s="381"/>
      <c r="E38" s="122">
        <f>'Anexo II I -MAT HIGIENE PESSOAL'!H23</f>
        <v>1722.1000000000001</v>
      </c>
      <c r="F38" s="122">
        <f>E38*12</f>
        <v>20665.2</v>
      </c>
    </row>
    <row r="41" spans="1:11" x14ac:dyDescent="0.35">
      <c r="A41" s="316" t="s">
        <v>341</v>
      </c>
      <c r="B41" s="317"/>
      <c r="C41" s="317"/>
      <c r="D41" s="317"/>
      <c r="E41" s="317"/>
      <c r="F41" s="318"/>
    </row>
    <row r="42" spans="1:11" x14ac:dyDescent="0.35">
      <c r="A42" s="182"/>
      <c r="B42" s="183"/>
      <c r="C42" s="183"/>
      <c r="D42" s="183"/>
      <c r="E42" s="186" t="s">
        <v>330</v>
      </c>
      <c r="F42" s="184" t="s">
        <v>331</v>
      </c>
    </row>
    <row r="43" spans="1:11" x14ac:dyDescent="0.35">
      <c r="A43" s="380" t="s">
        <v>332</v>
      </c>
      <c r="B43" s="381"/>
      <c r="C43" s="381"/>
      <c r="D43" s="381"/>
      <c r="E43" s="122">
        <f>'Anexo II H - DISPENSER'!H8</f>
        <v>92.820833333333326</v>
      </c>
      <c r="F43" s="122">
        <f>E43*12</f>
        <v>1113.8499999999999</v>
      </c>
    </row>
    <row r="44" spans="1:11" x14ac:dyDescent="0.35">
      <c r="A44" s="380" t="s">
        <v>333</v>
      </c>
      <c r="B44" s="381"/>
      <c r="C44" s="381"/>
      <c r="D44" s="381"/>
      <c r="E44" s="122">
        <f>'Anexo II H - DISPENSER'!H16</f>
        <v>115.575</v>
      </c>
      <c r="F44" s="122">
        <f>E44*12</f>
        <v>1386.9</v>
      </c>
    </row>
    <row r="48" spans="1:11" x14ac:dyDescent="0.35">
      <c r="A48" s="380" t="s">
        <v>342</v>
      </c>
      <c r="B48" s="381"/>
      <c r="C48" s="381"/>
      <c r="D48" s="381"/>
      <c r="E48" s="382"/>
      <c r="F48" s="170" t="e">
        <f>SUM(F26,F32,F37,F38,F43,F44)</f>
        <v>#REF!</v>
      </c>
      <c r="I48" s="158"/>
      <c r="K48" s="58"/>
    </row>
    <row r="51" spans="2:2" x14ac:dyDescent="0.35">
      <c r="B51" s="185"/>
    </row>
  </sheetData>
  <mergeCells count="24">
    <mergeCell ref="A1:F1"/>
    <mergeCell ref="A2:F2"/>
    <mergeCell ref="A41:F41"/>
    <mergeCell ref="A43:D43"/>
    <mergeCell ref="A44:D44"/>
    <mergeCell ref="A26:E26"/>
    <mergeCell ref="A4:F4"/>
    <mergeCell ref="A6:F6"/>
    <mergeCell ref="A7:F7"/>
    <mergeCell ref="A10:F10"/>
    <mergeCell ref="A13:F13"/>
    <mergeCell ref="A14:F14"/>
    <mergeCell ref="A15:F15"/>
    <mergeCell ref="A18:F18"/>
    <mergeCell ref="A19:F19"/>
    <mergeCell ref="A22:F22"/>
    <mergeCell ref="A25:E25"/>
    <mergeCell ref="A48:E48"/>
    <mergeCell ref="A29:F29"/>
    <mergeCell ref="A32:E32"/>
    <mergeCell ref="A34:F34"/>
    <mergeCell ref="A35:F35"/>
    <mergeCell ref="A37:D37"/>
    <mergeCell ref="A38:D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1"/>
  <sheetViews>
    <sheetView view="pageBreakPreview" topLeftCell="A31" zoomScaleNormal="100" zoomScaleSheetLayoutView="100" workbookViewId="0">
      <selection activeCell="D12" sqref="D12"/>
    </sheetView>
  </sheetViews>
  <sheetFormatPr defaultColWidth="9.1796875" defaultRowHeight="16" x14ac:dyDescent="0.35"/>
  <cols>
    <col min="1" max="1" width="27.81640625" style="26" customWidth="1"/>
    <col min="2" max="2" width="15.453125" style="26" customWidth="1"/>
    <col min="3" max="3" width="13.1796875" style="26" customWidth="1"/>
    <col min="4" max="4" width="18.453125" style="26" customWidth="1"/>
    <col min="5" max="5" width="14.81640625" style="26" customWidth="1"/>
    <col min="6" max="6" width="22.81640625" style="26" bestFit="1" customWidth="1"/>
    <col min="7" max="7" width="11.453125" style="26" bestFit="1" customWidth="1"/>
    <col min="8" max="16384" width="9.1796875" style="26"/>
  </cols>
  <sheetData>
    <row r="1" spans="1:6" x14ac:dyDescent="0.35">
      <c r="A1" s="384" t="s">
        <v>335</v>
      </c>
      <c r="B1" s="384"/>
      <c r="C1" s="384"/>
      <c r="D1" s="384"/>
      <c r="E1" s="384"/>
      <c r="F1" s="384"/>
    </row>
    <row r="2" spans="1:6" x14ac:dyDescent="0.35">
      <c r="A2" s="384" t="s">
        <v>377</v>
      </c>
      <c r="B2" s="384"/>
      <c r="C2" s="384"/>
      <c r="D2" s="384"/>
      <c r="E2" s="384"/>
      <c r="F2" s="384"/>
    </row>
    <row r="4" spans="1:6" x14ac:dyDescent="0.35">
      <c r="A4" s="306" t="s">
        <v>379</v>
      </c>
      <c r="B4" s="306"/>
      <c r="C4" s="306"/>
      <c r="D4" s="306"/>
      <c r="E4" s="306"/>
      <c r="F4" s="306"/>
    </row>
    <row r="5" spans="1:6" ht="47.25" customHeight="1" x14ac:dyDescent="0.35">
      <c r="A5" s="106" t="s">
        <v>263</v>
      </c>
      <c r="B5" s="106" t="s">
        <v>262</v>
      </c>
      <c r="C5" s="106" t="s">
        <v>261</v>
      </c>
      <c r="D5" s="106" t="s">
        <v>260</v>
      </c>
      <c r="E5" s="106" t="s">
        <v>259</v>
      </c>
      <c r="F5" s="106" t="s">
        <v>264</v>
      </c>
    </row>
    <row r="6" spans="1:6" ht="18.75" customHeight="1" x14ac:dyDescent="0.35">
      <c r="A6" s="385" t="s">
        <v>265</v>
      </c>
      <c r="B6" s="386"/>
      <c r="C6" s="386"/>
      <c r="D6" s="386"/>
      <c r="E6" s="386"/>
      <c r="F6" s="387"/>
    </row>
    <row r="7" spans="1:6" x14ac:dyDescent="0.35">
      <c r="A7" s="388" t="s">
        <v>266</v>
      </c>
      <c r="B7" s="389"/>
      <c r="C7" s="389"/>
      <c r="D7" s="389"/>
      <c r="E7" s="389"/>
      <c r="F7" s="390"/>
    </row>
    <row r="8" spans="1:6" x14ac:dyDescent="0.35">
      <c r="A8" s="107" t="s">
        <v>8</v>
      </c>
      <c r="B8" s="108" t="s">
        <v>337</v>
      </c>
      <c r="C8" s="109">
        <v>12624</v>
      </c>
      <c r="D8" s="117" t="e">
        <f>'Anexo II C - ENCARREGADO'!#REF!</f>
        <v>#REF!</v>
      </c>
      <c r="E8" s="117" t="e">
        <f>1/(13*'Anexo II A.2 - PRODUTIVIDADE'!E6)*D8</f>
        <v>#REF!</v>
      </c>
      <c r="F8" s="117" t="e">
        <f>C8*E8</f>
        <v>#REF!</v>
      </c>
    </row>
    <row r="9" spans="1:6" x14ac:dyDescent="0.35">
      <c r="A9" s="107" t="s">
        <v>16</v>
      </c>
      <c r="B9" s="108" t="s">
        <v>325</v>
      </c>
      <c r="C9" s="109">
        <v>12624</v>
      </c>
      <c r="D9" s="117" t="e">
        <f>'Anexo II B - SERVENTE'!#REF!</f>
        <v>#REF!</v>
      </c>
      <c r="E9" s="117" t="e">
        <f>(1/'Anexo II A.2 - PRODUTIVIDADE'!E6)*D9</f>
        <v>#REF!</v>
      </c>
      <c r="F9" s="117" t="e">
        <f>C9*E9</f>
        <v>#REF!</v>
      </c>
    </row>
    <row r="10" spans="1:6" x14ac:dyDescent="0.35">
      <c r="A10" s="388" t="s">
        <v>267</v>
      </c>
      <c r="B10" s="389"/>
      <c r="C10" s="389"/>
      <c r="D10" s="389"/>
      <c r="E10" s="389"/>
      <c r="F10" s="390"/>
    </row>
    <row r="11" spans="1:6" x14ac:dyDescent="0.35">
      <c r="A11" s="107" t="s">
        <v>8</v>
      </c>
      <c r="B11" s="108" t="s">
        <v>338</v>
      </c>
      <c r="C11" s="109">
        <v>2141.9299999999998</v>
      </c>
      <c r="D11" s="117" t="e">
        <f>'Anexo II C - ENCARREGADO'!#REF!</f>
        <v>#REF!</v>
      </c>
      <c r="E11" s="166" t="e">
        <f>(1/(13*'Anexo II A.2 - PRODUTIVIDADE'!E14)*D11)</f>
        <v>#REF!</v>
      </c>
      <c r="F11" s="117" t="e">
        <f>C11*E11</f>
        <v>#REF!</v>
      </c>
    </row>
    <row r="12" spans="1:6" x14ac:dyDescent="0.35">
      <c r="A12" s="107" t="s">
        <v>16</v>
      </c>
      <c r="B12" s="108" t="s">
        <v>268</v>
      </c>
      <c r="C12" s="109">
        <v>2141.9299999999998</v>
      </c>
      <c r="D12" s="117" t="e">
        <f>'Anexo II B - SERVENTE'!#REF!</f>
        <v>#REF!</v>
      </c>
      <c r="E12" s="117" t="e">
        <f>(1/'Anexo II A.2 - PRODUTIVIDADE'!E14)*D12</f>
        <v>#REF!</v>
      </c>
      <c r="F12" s="117" t="e">
        <f>C12*E12</f>
        <v>#REF!</v>
      </c>
    </row>
    <row r="13" spans="1:6" x14ac:dyDescent="0.35">
      <c r="A13" s="388" t="s">
        <v>267</v>
      </c>
      <c r="B13" s="389"/>
      <c r="C13" s="389"/>
      <c r="D13" s="389"/>
      <c r="E13" s="389"/>
      <c r="F13" s="390"/>
    </row>
    <row r="14" spans="1:6" ht="16.5" x14ac:dyDescent="0.35">
      <c r="A14" s="385" t="s">
        <v>269</v>
      </c>
      <c r="B14" s="386"/>
      <c r="C14" s="386"/>
      <c r="D14" s="386"/>
      <c r="E14" s="386"/>
      <c r="F14" s="387"/>
    </row>
    <row r="15" spans="1:6" x14ac:dyDescent="0.35">
      <c r="A15" s="388" t="s">
        <v>267</v>
      </c>
      <c r="B15" s="389"/>
      <c r="C15" s="389"/>
      <c r="D15" s="389"/>
      <c r="E15" s="389"/>
      <c r="F15" s="390"/>
    </row>
    <row r="16" spans="1:6" x14ac:dyDescent="0.35">
      <c r="A16" s="107" t="s">
        <v>8</v>
      </c>
      <c r="B16" s="108" t="s">
        <v>339</v>
      </c>
      <c r="C16" s="109">
        <v>5626.21</v>
      </c>
      <c r="D16" s="117" t="e">
        <f>'Anexo II C - ENCARREGADO'!#REF!</f>
        <v>#REF!</v>
      </c>
      <c r="E16" s="118" t="e">
        <f>1/(13*'Anexo II A.2 - PRODUTIVIDADE'!E17)*D16</f>
        <v>#REF!</v>
      </c>
      <c r="F16" s="117" t="e">
        <f>C16*E16</f>
        <v>#REF!</v>
      </c>
    </row>
    <row r="17" spans="1:6" x14ac:dyDescent="0.35">
      <c r="A17" s="107" t="s">
        <v>16</v>
      </c>
      <c r="B17" s="120" t="s">
        <v>298</v>
      </c>
      <c r="C17" s="109">
        <v>5626.21</v>
      </c>
      <c r="D17" s="117" t="e">
        <f>'Anexo II B - SERVENTE'!#REF!</f>
        <v>#REF!</v>
      </c>
      <c r="E17" s="119" t="e">
        <f>(1/'Anexo II A.2 - PRODUTIVIDADE'!E17)*D17</f>
        <v>#REF!</v>
      </c>
      <c r="F17" s="117" t="e">
        <f>C17*E17</f>
        <v>#REF!</v>
      </c>
    </row>
    <row r="18" spans="1:6" ht="36" customHeight="1" x14ac:dyDescent="0.35">
      <c r="A18" s="391" t="s">
        <v>336</v>
      </c>
      <c r="B18" s="392"/>
      <c r="C18" s="392"/>
      <c r="D18" s="392"/>
      <c r="E18" s="392"/>
      <c r="F18" s="393"/>
    </row>
    <row r="19" spans="1:6" x14ac:dyDescent="0.35">
      <c r="A19" s="388" t="s">
        <v>270</v>
      </c>
      <c r="B19" s="389"/>
      <c r="C19" s="389"/>
      <c r="D19" s="389"/>
      <c r="E19" s="389"/>
      <c r="F19" s="390"/>
    </row>
    <row r="20" spans="1:6" ht="39" customHeight="1" x14ac:dyDescent="0.35">
      <c r="A20" s="107" t="s">
        <v>8</v>
      </c>
      <c r="B20" s="65" t="s">
        <v>340</v>
      </c>
      <c r="C20" s="109">
        <v>1544.27</v>
      </c>
      <c r="D20" s="117" t="e">
        <f>'Anexo II C - ENCARREGADO'!#REF!</f>
        <v>#REF!</v>
      </c>
      <c r="E20" s="121" t="e">
        <f>(1/(13*'Anexo II A.2 - PRODUTIVIDADE'!E9))*8*(1/188.76)*D20</f>
        <v>#REF!</v>
      </c>
      <c r="F20" s="117" t="e">
        <f>C20*E20</f>
        <v>#REF!</v>
      </c>
    </row>
    <row r="21" spans="1:6" ht="31.5" customHeight="1" x14ac:dyDescent="0.35">
      <c r="A21" s="107" t="s">
        <v>16</v>
      </c>
      <c r="B21" s="65" t="s">
        <v>327</v>
      </c>
      <c r="C21" s="109">
        <v>1544.27</v>
      </c>
      <c r="D21" s="117" t="e">
        <f>'Anexo II B - SERVENTE'!#REF!</f>
        <v>#REF!</v>
      </c>
      <c r="E21" s="121" t="e">
        <f>(1/'Anexo II A.2 - PRODUTIVIDADE'!E9)*8*(1/188.76)*D21</f>
        <v>#REF!</v>
      </c>
      <c r="F21" s="117" t="e">
        <f>C21*E21</f>
        <v>#REF!</v>
      </c>
    </row>
    <row r="22" spans="1:6" x14ac:dyDescent="0.35">
      <c r="A22" s="388" t="s">
        <v>271</v>
      </c>
      <c r="B22" s="389"/>
      <c r="C22" s="389"/>
      <c r="D22" s="389"/>
      <c r="E22" s="389"/>
      <c r="F22" s="390"/>
    </row>
    <row r="23" spans="1:6" ht="32" x14ac:dyDescent="0.35">
      <c r="A23" s="107" t="s">
        <v>8</v>
      </c>
      <c r="B23" s="65" t="s">
        <v>340</v>
      </c>
      <c r="C23" s="109">
        <v>2346.79</v>
      </c>
      <c r="D23" s="117" t="e">
        <f>'Anexo II C - ENCARREGADO'!#REF!</f>
        <v>#REF!</v>
      </c>
      <c r="E23" s="117" t="e">
        <f>(1/(13*'Anexo II A.2 - PRODUTIVIDADE'!E20))*8*(1/188.76)*D23</f>
        <v>#REF!</v>
      </c>
      <c r="F23" s="117" t="e">
        <f>C23*E23</f>
        <v>#REF!</v>
      </c>
    </row>
    <row r="24" spans="1:6" ht="32" x14ac:dyDescent="0.35">
      <c r="A24" s="107" t="s">
        <v>16</v>
      </c>
      <c r="B24" s="65" t="s">
        <v>327</v>
      </c>
      <c r="C24" s="109">
        <v>2346.79</v>
      </c>
      <c r="D24" s="117" t="e">
        <f>'Anexo II B - SERVENTE'!#REF!</f>
        <v>#REF!</v>
      </c>
      <c r="E24" s="117" t="e">
        <f>(1/'Anexo II A.2 - PRODUTIVIDADE'!E20)*8*(1/188.76)*D24</f>
        <v>#REF!</v>
      </c>
      <c r="F24" s="117" t="e">
        <f>C24*E24</f>
        <v>#REF!</v>
      </c>
    </row>
    <row r="25" spans="1:6" x14ac:dyDescent="0.35">
      <c r="A25" s="316" t="s">
        <v>272</v>
      </c>
      <c r="B25" s="317"/>
      <c r="C25" s="317"/>
      <c r="D25" s="317"/>
      <c r="E25" s="318"/>
      <c r="F25" s="122" t="e">
        <f>SUM(F8+F9+F11+F12+F16+F17+F20+F21+F23+F24)</f>
        <v>#REF!</v>
      </c>
    </row>
    <row r="26" spans="1:6" x14ac:dyDescent="0.35">
      <c r="A26" s="316" t="s">
        <v>273</v>
      </c>
      <c r="B26" s="317"/>
      <c r="C26" s="317"/>
      <c r="D26" s="317"/>
      <c r="E26" s="318"/>
      <c r="F26" s="122" t="e">
        <f>F25*12</f>
        <v>#REF!</v>
      </c>
    </row>
    <row r="29" spans="1:6" x14ac:dyDescent="0.35">
      <c r="A29" s="316" t="s">
        <v>283</v>
      </c>
      <c r="B29" s="317"/>
      <c r="C29" s="317"/>
      <c r="D29" s="317"/>
      <c r="E29" s="317"/>
      <c r="F29" s="318"/>
    </row>
    <row r="30" spans="1:6" ht="32" x14ac:dyDescent="0.35">
      <c r="A30" s="106" t="s">
        <v>274</v>
      </c>
      <c r="B30" s="106" t="s">
        <v>275</v>
      </c>
      <c r="C30" s="106" t="s">
        <v>276</v>
      </c>
      <c r="D30" s="106" t="s">
        <v>277</v>
      </c>
      <c r="E30" s="106" t="s">
        <v>278</v>
      </c>
      <c r="F30" s="106" t="s">
        <v>279</v>
      </c>
    </row>
    <row r="31" spans="1:6" ht="48" x14ac:dyDescent="0.35">
      <c r="A31" s="29" t="s">
        <v>280</v>
      </c>
      <c r="B31" s="30" t="s">
        <v>281</v>
      </c>
      <c r="C31" s="31">
        <v>3</v>
      </c>
      <c r="D31" s="123" t="e">
        <f>'Anexo II D - CARREGADOR'!#REF!</f>
        <v>#REF!</v>
      </c>
      <c r="E31" s="123" t="e">
        <f>C31*D31</f>
        <v>#REF!</v>
      </c>
      <c r="F31" s="123" t="e">
        <f>E31*12</f>
        <v>#REF!</v>
      </c>
    </row>
    <row r="32" spans="1:6" x14ac:dyDescent="0.35">
      <c r="A32" s="316" t="s">
        <v>282</v>
      </c>
      <c r="B32" s="317"/>
      <c r="C32" s="317"/>
      <c r="D32" s="317"/>
      <c r="E32" s="318"/>
      <c r="F32" s="122" t="e">
        <f>F31</f>
        <v>#REF!</v>
      </c>
    </row>
    <row r="34" spans="1:7" ht="18.75" customHeight="1" x14ac:dyDescent="0.35">
      <c r="A34" s="383"/>
      <c r="B34" s="383"/>
      <c r="C34" s="383"/>
      <c r="D34" s="383"/>
      <c r="E34" s="383"/>
      <c r="F34" s="383"/>
    </row>
    <row r="35" spans="1:7" x14ac:dyDescent="0.35">
      <c r="A35" s="316" t="s">
        <v>328</v>
      </c>
      <c r="B35" s="317"/>
      <c r="C35" s="317"/>
      <c r="D35" s="317"/>
      <c r="E35" s="317"/>
      <c r="F35" s="318"/>
    </row>
    <row r="36" spans="1:7" x14ac:dyDescent="0.35">
      <c r="A36" s="178"/>
      <c r="B36" s="179"/>
      <c r="C36" s="179"/>
      <c r="D36" s="179"/>
      <c r="E36" s="169" t="s">
        <v>330</v>
      </c>
      <c r="F36" s="180" t="s">
        <v>331</v>
      </c>
    </row>
    <row r="37" spans="1:7" ht="14.25" customHeight="1" x14ac:dyDescent="0.35">
      <c r="A37" s="380" t="s">
        <v>329</v>
      </c>
      <c r="B37" s="381"/>
      <c r="C37" s="381"/>
      <c r="D37" s="381"/>
      <c r="E37" s="122">
        <f>'Anexo II I -MAT HIGIENE PESSOAL'!H11</f>
        <v>1723.05</v>
      </c>
      <c r="F37" s="122">
        <f>E37*12</f>
        <v>20676.599999999999</v>
      </c>
    </row>
    <row r="38" spans="1:7" x14ac:dyDescent="0.35">
      <c r="A38" s="380" t="s">
        <v>250</v>
      </c>
      <c r="B38" s="381"/>
      <c r="C38" s="381"/>
      <c r="D38" s="381"/>
      <c r="E38" s="122">
        <f>'Anexo II I -MAT HIGIENE PESSOAL'!H23</f>
        <v>1722.1000000000001</v>
      </c>
      <c r="F38" s="122">
        <f>E38*12</f>
        <v>20665.2</v>
      </c>
    </row>
    <row r="41" spans="1:7" x14ac:dyDescent="0.35">
      <c r="A41" s="316" t="s">
        <v>341</v>
      </c>
      <c r="B41" s="317"/>
      <c r="C41" s="317"/>
      <c r="D41" s="317"/>
      <c r="E41" s="317"/>
      <c r="F41" s="318"/>
    </row>
    <row r="42" spans="1:7" x14ac:dyDescent="0.35">
      <c r="A42" s="178"/>
      <c r="B42" s="179"/>
      <c r="C42" s="179"/>
      <c r="D42" s="179"/>
      <c r="E42" s="169" t="s">
        <v>330</v>
      </c>
      <c r="F42" s="180" t="s">
        <v>331</v>
      </c>
    </row>
    <row r="43" spans="1:7" x14ac:dyDescent="0.35">
      <c r="A43" s="380" t="s">
        <v>332</v>
      </c>
      <c r="B43" s="381"/>
      <c r="C43" s="381"/>
      <c r="D43" s="381"/>
      <c r="E43" s="122">
        <f>'Anexo II H - DISPENSER'!H8</f>
        <v>92.820833333333326</v>
      </c>
      <c r="F43" s="122">
        <f>E43*12</f>
        <v>1113.8499999999999</v>
      </c>
    </row>
    <row r="44" spans="1:7" x14ac:dyDescent="0.35">
      <c r="A44" s="380" t="s">
        <v>333</v>
      </c>
      <c r="B44" s="381"/>
      <c r="C44" s="381"/>
      <c r="D44" s="381"/>
      <c r="E44" s="122">
        <f>'Anexo II H - DISPENSER'!H16</f>
        <v>115.575</v>
      </c>
      <c r="F44" s="122">
        <f>E44*12</f>
        <v>1386.9</v>
      </c>
    </row>
    <row r="48" spans="1:7" x14ac:dyDescent="0.35">
      <c r="A48" s="380" t="s">
        <v>342</v>
      </c>
      <c r="B48" s="381"/>
      <c r="C48" s="381"/>
      <c r="D48" s="381"/>
      <c r="E48" s="382"/>
      <c r="F48" s="170" t="e">
        <f>SUM(F26,F32,F37,F38,F43,F44)</f>
        <v>#REF!</v>
      </c>
      <c r="G48" s="58"/>
    </row>
    <row r="51" spans="2:2" x14ac:dyDescent="0.35">
      <c r="B51" s="185"/>
    </row>
  </sheetData>
  <mergeCells count="24">
    <mergeCell ref="A1:F1"/>
    <mergeCell ref="A2:F2"/>
    <mergeCell ref="A26:E26"/>
    <mergeCell ref="A4:F4"/>
    <mergeCell ref="A6:F6"/>
    <mergeCell ref="A7:F7"/>
    <mergeCell ref="A10:F10"/>
    <mergeCell ref="A13:F13"/>
    <mergeCell ref="A14:F14"/>
    <mergeCell ref="A15:F15"/>
    <mergeCell ref="A18:F18"/>
    <mergeCell ref="A19:F19"/>
    <mergeCell ref="A22:F22"/>
    <mergeCell ref="A25:E25"/>
    <mergeCell ref="A41:F41"/>
    <mergeCell ref="A43:D43"/>
    <mergeCell ref="A44:D44"/>
    <mergeCell ref="A48:E48"/>
    <mergeCell ref="A29:F29"/>
    <mergeCell ref="A32:E32"/>
    <mergeCell ref="A34:F34"/>
    <mergeCell ref="A35:F35"/>
    <mergeCell ref="A37:D37"/>
    <mergeCell ref="A38:D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50"/>
  <sheetViews>
    <sheetView showGridLines="0" topLeftCell="A7" zoomScale="95" zoomScaleNormal="95" workbookViewId="0">
      <selection activeCell="G46" sqref="G46"/>
    </sheetView>
  </sheetViews>
  <sheetFormatPr defaultRowHeight="14.5" x14ac:dyDescent="0.35"/>
  <cols>
    <col min="1" max="1" width="38" bestFit="1" customWidth="1"/>
    <col min="2" max="2" width="20.26953125" customWidth="1"/>
    <col min="3" max="3" width="21.453125" customWidth="1"/>
    <col min="4" max="4" width="21.26953125" bestFit="1" customWidth="1"/>
    <col min="5" max="5" width="19.1796875" bestFit="1" customWidth="1"/>
    <col min="6" max="8" width="15.26953125" customWidth="1"/>
  </cols>
  <sheetData>
    <row r="1" spans="1:8" x14ac:dyDescent="0.35">
      <c r="A1" s="384" t="s">
        <v>335</v>
      </c>
      <c r="B1" s="384"/>
      <c r="C1" s="384"/>
      <c r="D1" s="384"/>
      <c r="E1" s="384"/>
      <c r="F1" s="384"/>
      <c r="G1" s="384"/>
      <c r="H1" s="384"/>
    </row>
    <row r="2" spans="1:8" x14ac:dyDescent="0.35">
      <c r="A2" s="384" t="s">
        <v>378</v>
      </c>
      <c r="B2" s="384"/>
      <c r="C2" s="384"/>
      <c r="D2" s="384"/>
      <c r="E2" s="384"/>
      <c r="F2" s="384"/>
      <c r="G2" s="384"/>
      <c r="H2" s="384"/>
    </row>
    <row r="4" spans="1:8" ht="16" thickBot="1" x14ac:dyDescent="0.4">
      <c r="A4" s="400" t="s">
        <v>363</v>
      </c>
      <c r="B4" s="400"/>
      <c r="C4" s="400"/>
      <c r="D4" s="400"/>
      <c r="E4" s="400"/>
      <c r="F4" s="400"/>
      <c r="G4" s="400"/>
      <c r="H4" s="400"/>
    </row>
    <row r="5" spans="1:8" ht="30" customHeight="1" x14ac:dyDescent="0.35">
      <c r="A5" s="409" t="s">
        <v>352</v>
      </c>
      <c r="B5" s="407" t="s">
        <v>347</v>
      </c>
      <c r="C5" s="405" t="s">
        <v>346</v>
      </c>
      <c r="D5" s="406"/>
      <c r="E5" s="401" t="s">
        <v>344</v>
      </c>
      <c r="F5" s="402"/>
      <c r="G5" s="403" t="s">
        <v>345</v>
      </c>
      <c r="H5" s="404"/>
    </row>
    <row r="6" spans="1:8" ht="14.25" customHeight="1" thickBot="1" x14ac:dyDescent="0.4">
      <c r="A6" s="410"/>
      <c r="B6" s="408"/>
      <c r="C6" s="196" t="s">
        <v>351</v>
      </c>
      <c r="D6" s="197" t="s">
        <v>353</v>
      </c>
      <c r="E6" s="201" t="s">
        <v>351</v>
      </c>
      <c r="F6" s="202" t="s">
        <v>353</v>
      </c>
      <c r="G6" s="200" t="s">
        <v>351</v>
      </c>
      <c r="H6" s="188" t="s">
        <v>353</v>
      </c>
    </row>
    <row r="7" spans="1:8" x14ac:dyDescent="0.35">
      <c r="A7" s="189" t="s">
        <v>348</v>
      </c>
      <c r="B7" s="192">
        <v>1</v>
      </c>
      <c r="C7" s="198">
        <f>'Anexo II C - ENCARREGADO'!E129</f>
        <v>7820.61</v>
      </c>
      <c r="D7" s="190">
        <f>C7*$B7</f>
        <v>7820.61</v>
      </c>
      <c r="E7" s="198" t="e">
        <f>'Anexo II C - ENCARREGADO'!#REF!</f>
        <v>#REF!</v>
      </c>
      <c r="F7" s="190" t="e">
        <f>E7*$B7</f>
        <v>#REF!</v>
      </c>
      <c r="G7" s="194" t="e">
        <f>'Anexo II C - ENCARREGADO'!#REF!</f>
        <v>#REF!</v>
      </c>
      <c r="H7" s="190" t="e">
        <f>G7*$B7</f>
        <v>#REF!</v>
      </c>
    </row>
    <row r="8" spans="1:8" x14ac:dyDescent="0.35">
      <c r="A8" s="191" t="s">
        <v>349</v>
      </c>
      <c r="B8" s="193">
        <v>13</v>
      </c>
      <c r="C8" s="199">
        <f>'Anexo II B - SERVENTE'!E128</f>
        <v>5048.4799999999996</v>
      </c>
      <c r="D8" s="187">
        <f t="shared" ref="D8:F9" si="0">C8*$B8</f>
        <v>65630.239999999991</v>
      </c>
      <c r="E8" s="199" t="e">
        <f>'Anexo II B - SERVENTE'!#REF!</f>
        <v>#REF!</v>
      </c>
      <c r="F8" s="187" t="e">
        <f t="shared" si="0"/>
        <v>#REF!</v>
      </c>
      <c r="G8" s="195" t="e">
        <f>'Anexo II B - SERVENTE'!#REF!</f>
        <v>#REF!</v>
      </c>
      <c r="H8" s="187" t="e">
        <f>G8*$B8</f>
        <v>#REF!</v>
      </c>
    </row>
    <row r="9" spans="1:8" x14ac:dyDescent="0.35">
      <c r="A9" s="191" t="s">
        <v>350</v>
      </c>
      <c r="B9" s="193">
        <v>3</v>
      </c>
      <c r="C9" s="199">
        <f>'Anexo II D - CARREGADOR'!E129</f>
        <v>4747.9399999999996</v>
      </c>
      <c r="D9" s="187">
        <f t="shared" si="0"/>
        <v>14243.82</v>
      </c>
      <c r="E9" s="199" t="e">
        <f>'Anexo II D - CARREGADOR'!#REF!</f>
        <v>#REF!</v>
      </c>
      <c r="F9" s="187" t="e">
        <f t="shared" si="0"/>
        <v>#REF!</v>
      </c>
      <c r="G9" s="195" t="e">
        <f>'Anexo II D - CARREGADOR'!#REF!</f>
        <v>#REF!</v>
      </c>
      <c r="H9" s="187" t="e">
        <f>G9*$B9</f>
        <v>#REF!</v>
      </c>
    </row>
    <row r="10" spans="1:8" ht="16" thickBot="1" x14ac:dyDescent="0.4">
      <c r="A10" s="203" t="s">
        <v>356</v>
      </c>
      <c r="B10" s="204">
        <f>SUM(B7:B9)</f>
        <v>17</v>
      </c>
      <c r="C10" s="411">
        <f>SUM(D7:D9)</f>
        <v>87694.669999999984</v>
      </c>
      <c r="D10" s="412"/>
      <c r="E10" s="411" t="e">
        <f>SUM(F7:F9)</f>
        <v>#REF!</v>
      </c>
      <c r="F10" s="412"/>
      <c r="G10" s="411" t="e">
        <f>SUM(H7:H9)</f>
        <v>#REF!</v>
      </c>
      <c r="H10" s="412"/>
    </row>
    <row r="11" spans="1:8" ht="16" thickBot="1" x14ac:dyDescent="0.4">
      <c r="A11" s="415" t="s">
        <v>357</v>
      </c>
      <c r="B11" s="416"/>
      <c r="C11" s="413">
        <f>C10*12</f>
        <v>1052336.0399999998</v>
      </c>
      <c r="D11" s="414"/>
      <c r="E11" s="413" t="e">
        <f>E10*12</f>
        <v>#REF!</v>
      </c>
      <c r="F11" s="414"/>
      <c r="G11" s="413" t="e">
        <f>G10*12</f>
        <v>#REF!</v>
      </c>
      <c r="H11" s="414"/>
    </row>
    <row r="13" spans="1:8" ht="16" x14ac:dyDescent="0.35">
      <c r="A13" s="316" t="s">
        <v>358</v>
      </c>
      <c r="B13" s="317"/>
      <c r="C13" s="317"/>
      <c r="D13" s="317"/>
      <c r="E13" s="317"/>
      <c r="F13" s="318"/>
    </row>
    <row r="14" spans="1:8" ht="16" x14ac:dyDescent="0.35">
      <c r="A14" s="316"/>
      <c r="B14" s="317"/>
      <c r="C14" s="317"/>
      <c r="D14" s="318"/>
      <c r="E14" s="186" t="s">
        <v>330</v>
      </c>
      <c r="F14" s="184" t="s">
        <v>331</v>
      </c>
    </row>
    <row r="15" spans="1:8" ht="16" x14ac:dyDescent="0.35">
      <c r="A15" s="380" t="s">
        <v>329</v>
      </c>
      <c r="B15" s="381"/>
      <c r="C15" s="381"/>
      <c r="D15" s="381"/>
      <c r="E15" s="122">
        <f>'Anexo II I -MAT HIGIENE PESSOAL'!H11</f>
        <v>1723.05</v>
      </c>
      <c r="F15" s="122">
        <f>E15*12</f>
        <v>20676.599999999999</v>
      </c>
    </row>
    <row r="16" spans="1:8" ht="16" x14ac:dyDescent="0.35">
      <c r="A16" s="380" t="s">
        <v>250</v>
      </c>
      <c r="B16" s="381"/>
      <c r="C16" s="381"/>
      <c r="D16" s="381"/>
      <c r="E16" s="122">
        <f>'Anexo II I -MAT HIGIENE PESSOAL'!H23</f>
        <v>1722.1000000000001</v>
      </c>
      <c r="F16" s="122">
        <f>E16*12</f>
        <v>20665.2</v>
      </c>
    </row>
    <row r="17" spans="1:8" ht="16" x14ac:dyDescent="0.35">
      <c r="A17" s="26"/>
      <c r="B17" s="26"/>
      <c r="C17" s="26"/>
      <c r="D17" s="26"/>
      <c r="E17" s="26"/>
      <c r="F17" s="26"/>
    </row>
    <row r="18" spans="1:8" ht="16" x14ac:dyDescent="0.35">
      <c r="A18" s="316" t="s">
        <v>359</v>
      </c>
      <c r="B18" s="317"/>
      <c r="C18" s="317"/>
      <c r="D18" s="317"/>
      <c r="E18" s="317"/>
      <c r="F18" s="318"/>
    </row>
    <row r="19" spans="1:8" ht="16" x14ac:dyDescent="0.35">
      <c r="A19" s="316"/>
      <c r="B19" s="317"/>
      <c r="C19" s="317"/>
      <c r="D19" s="318"/>
      <c r="E19" s="186" t="s">
        <v>330</v>
      </c>
      <c r="F19" s="184" t="s">
        <v>331</v>
      </c>
    </row>
    <row r="20" spans="1:8" ht="16" x14ac:dyDescent="0.35">
      <c r="A20" s="380" t="s">
        <v>332</v>
      </c>
      <c r="B20" s="381"/>
      <c r="C20" s="381"/>
      <c r="D20" s="381"/>
      <c r="E20" s="122">
        <f>'Anexo II H - DISPENSER'!H8</f>
        <v>92.820833333333326</v>
      </c>
      <c r="F20" s="122">
        <f>E20*12</f>
        <v>1113.8499999999999</v>
      </c>
    </row>
    <row r="21" spans="1:8" ht="16" x14ac:dyDescent="0.35">
      <c r="A21" s="380" t="s">
        <v>333</v>
      </c>
      <c r="B21" s="381"/>
      <c r="C21" s="381"/>
      <c r="D21" s="381"/>
      <c r="E21" s="122">
        <f>'Anexo II H - DISPENSER'!H16</f>
        <v>115.575</v>
      </c>
      <c r="F21" s="122">
        <f>E21*12</f>
        <v>1386.9</v>
      </c>
    </row>
    <row r="23" spans="1:8" ht="21.5" thickBot="1" x14ac:dyDescent="0.55000000000000004">
      <c r="A23" s="417" t="s">
        <v>362</v>
      </c>
      <c r="B23" s="417"/>
      <c r="C23" s="417"/>
      <c r="D23" s="417"/>
      <c r="E23" s="417"/>
      <c r="F23" s="417"/>
      <c r="G23" s="417"/>
      <c r="H23" s="210"/>
    </row>
    <row r="24" spans="1:8" ht="34.5" customHeight="1" thickBot="1" x14ac:dyDescent="0.4">
      <c r="A24" s="207" t="s">
        <v>291</v>
      </c>
      <c r="B24" s="431" t="s">
        <v>346</v>
      </c>
      <c r="C24" s="431"/>
      <c r="D24" s="432" t="s">
        <v>344</v>
      </c>
      <c r="E24" s="433"/>
      <c r="F24" s="418" t="s">
        <v>345</v>
      </c>
      <c r="G24" s="419"/>
    </row>
    <row r="25" spans="1:8" x14ac:dyDescent="0.35">
      <c r="A25" s="206" t="s">
        <v>360</v>
      </c>
      <c r="B25" s="429">
        <f>'RESUMO M²'!F22</f>
        <v>96580.081768665827</v>
      </c>
      <c r="C25" s="429"/>
      <c r="D25" s="429" t="e">
        <f>'REMUNERA SERVIÇO CONTRA 1ªREP'!F25</f>
        <v>#REF!</v>
      </c>
      <c r="E25" s="429"/>
      <c r="F25" s="429" t="e">
        <f>'REMUNERAÇÃO SERVIÇO ANAC 1ªREP '!F25</f>
        <v>#REF!</v>
      </c>
      <c r="G25" s="429"/>
    </row>
    <row r="26" spans="1:8" x14ac:dyDescent="0.35">
      <c r="A26" s="191" t="s">
        <v>8</v>
      </c>
      <c r="B26" s="430">
        <f>'RESUMO M²'!E28</f>
        <v>14243.82</v>
      </c>
      <c r="C26" s="430"/>
      <c r="D26" s="430" t="e">
        <f>'REMUNERA SERVIÇO CONTRA 1ªREP'!E31</f>
        <v>#REF!</v>
      </c>
      <c r="E26" s="430"/>
      <c r="F26" s="430" t="e">
        <f>'REMUNERAÇÃO SERVIÇO ANAC 1ªREP '!E31</f>
        <v>#REF!</v>
      </c>
      <c r="G26" s="430"/>
    </row>
    <row r="27" spans="1:8" ht="15" thickBot="1" x14ac:dyDescent="0.4">
      <c r="A27" s="205" t="s">
        <v>361</v>
      </c>
      <c r="B27" s="428">
        <f>SUM(E15:E16,E20:E21)</f>
        <v>3653.5458333333331</v>
      </c>
      <c r="C27" s="428"/>
      <c r="D27" s="428">
        <f>B27</f>
        <v>3653.5458333333331</v>
      </c>
      <c r="E27" s="428"/>
      <c r="F27" s="428">
        <f>B27</f>
        <v>3653.5458333333331</v>
      </c>
      <c r="G27" s="428"/>
    </row>
    <row r="28" spans="1:8" ht="16" thickBot="1" x14ac:dyDescent="0.4">
      <c r="A28" s="208" t="s">
        <v>354</v>
      </c>
      <c r="B28" s="420">
        <f>SUM(B25:C27)</f>
        <v>114477.44760199916</v>
      </c>
      <c r="C28" s="421"/>
      <c r="D28" s="422" t="e">
        <f>SUM(D25:E27)</f>
        <v>#REF!</v>
      </c>
      <c r="E28" s="423"/>
      <c r="F28" s="424" t="e">
        <f>SUM(F25:G27)</f>
        <v>#REF!</v>
      </c>
      <c r="G28" s="423"/>
    </row>
    <row r="29" spans="1:8" ht="16" thickBot="1" x14ac:dyDescent="0.4">
      <c r="A29" s="209" t="s">
        <v>355</v>
      </c>
      <c r="B29" s="425">
        <f>B28*12</f>
        <v>1373729.3712239899</v>
      </c>
      <c r="C29" s="426"/>
      <c r="D29" s="425" t="e">
        <f>D28*12</f>
        <v>#REF!</v>
      </c>
      <c r="E29" s="426"/>
      <c r="F29" s="425" t="e">
        <f>F28*12</f>
        <v>#REF!</v>
      </c>
      <c r="G29" s="427"/>
    </row>
    <row r="31" spans="1:8" ht="21" x14ac:dyDescent="0.35">
      <c r="B31" s="397" t="s">
        <v>368</v>
      </c>
      <c r="C31" s="398"/>
      <c r="D31" s="398"/>
      <c r="E31" s="399"/>
    </row>
    <row r="32" spans="1:8" ht="29" x14ac:dyDescent="0.35">
      <c r="B32" s="212" t="s">
        <v>364</v>
      </c>
      <c r="C32" s="212" t="s">
        <v>370</v>
      </c>
      <c r="D32" s="212" t="s">
        <v>369</v>
      </c>
      <c r="E32" s="212" t="s">
        <v>375</v>
      </c>
    </row>
    <row r="33" spans="2:5" ht="29" x14ac:dyDescent="0.35">
      <c r="B33" s="213" t="s">
        <v>365</v>
      </c>
      <c r="C33" s="211">
        <f>TRUNC(B28*7/31,2)+0.02</f>
        <v>25849.760000000002</v>
      </c>
      <c r="D33" s="211" t="e">
        <f>TRUNC(F28*7/31,2)+0.01</f>
        <v>#REF!</v>
      </c>
      <c r="E33" s="211" t="e">
        <f>D33-C33</f>
        <v>#REF!</v>
      </c>
    </row>
    <row r="34" spans="2:5" x14ac:dyDescent="0.35">
      <c r="B34" s="213">
        <v>43132</v>
      </c>
      <c r="C34" s="211">
        <f>TRUNC($B$28,2)</f>
        <v>114477.44</v>
      </c>
      <c r="D34" s="211" t="e">
        <f>TRUNC($F$28,2)</f>
        <v>#REF!</v>
      </c>
      <c r="E34" s="211" t="e">
        <f>D34-C34</f>
        <v>#REF!</v>
      </c>
    </row>
    <row r="35" spans="2:5" ht="18.5" x14ac:dyDescent="0.35">
      <c r="B35" s="394" t="s">
        <v>366</v>
      </c>
      <c r="C35" s="395"/>
      <c r="D35" s="396"/>
      <c r="E35" s="214" t="e">
        <f>SUM(E33:E34)</f>
        <v>#REF!</v>
      </c>
    </row>
    <row r="36" spans="2:5" x14ac:dyDescent="0.35">
      <c r="B36" s="213">
        <v>43160</v>
      </c>
      <c r="C36" s="211">
        <f t="shared" ref="C36:C45" si="1">TRUNC($B$28,2)</f>
        <v>114477.44</v>
      </c>
      <c r="D36" s="211" t="e">
        <f t="shared" ref="D36:D45" si="2">TRUNC($F$28,2)</f>
        <v>#REF!</v>
      </c>
      <c r="E36" s="211" t="e">
        <f>D36-C36</f>
        <v>#REF!</v>
      </c>
    </row>
    <row r="37" spans="2:5" x14ac:dyDescent="0.35">
      <c r="B37" s="213">
        <v>43191</v>
      </c>
      <c r="C37" s="211">
        <f t="shared" si="1"/>
        <v>114477.44</v>
      </c>
      <c r="D37" s="211" t="e">
        <f t="shared" si="2"/>
        <v>#REF!</v>
      </c>
      <c r="E37" s="211" t="e">
        <f t="shared" ref="E37:E46" si="3">D37-C37</f>
        <v>#REF!</v>
      </c>
    </row>
    <row r="38" spans="2:5" x14ac:dyDescent="0.35">
      <c r="B38" s="213">
        <v>43221</v>
      </c>
      <c r="C38" s="211">
        <f t="shared" si="1"/>
        <v>114477.44</v>
      </c>
      <c r="D38" s="211" t="e">
        <f t="shared" si="2"/>
        <v>#REF!</v>
      </c>
      <c r="E38" s="211" t="e">
        <f t="shared" si="3"/>
        <v>#REF!</v>
      </c>
    </row>
    <row r="39" spans="2:5" ht="15" customHeight="1" x14ac:dyDescent="0.35">
      <c r="B39" s="213">
        <v>43252</v>
      </c>
      <c r="C39" s="211">
        <f t="shared" si="1"/>
        <v>114477.44</v>
      </c>
      <c r="D39" s="211" t="e">
        <f t="shared" si="2"/>
        <v>#REF!</v>
      </c>
      <c r="E39" s="211" t="e">
        <f t="shared" si="3"/>
        <v>#REF!</v>
      </c>
    </row>
    <row r="40" spans="2:5" ht="15" customHeight="1" x14ac:dyDescent="0.35">
      <c r="B40" s="213">
        <v>43282</v>
      </c>
      <c r="C40" s="211">
        <f t="shared" si="1"/>
        <v>114477.44</v>
      </c>
      <c r="D40" s="211" t="e">
        <f t="shared" si="2"/>
        <v>#REF!</v>
      </c>
      <c r="E40" s="211" t="e">
        <f t="shared" si="3"/>
        <v>#REF!</v>
      </c>
    </row>
    <row r="41" spans="2:5" x14ac:dyDescent="0.35">
      <c r="B41" s="213">
        <v>43313</v>
      </c>
      <c r="C41" s="211">
        <f t="shared" si="1"/>
        <v>114477.44</v>
      </c>
      <c r="D41" s="211" t="e">
        <f t="shared" si="2"/>
        <v>#REF!</v>
      </c>
      <c r="E41" s="211" t="e">
        <f t="shared" si="3"/>
        <v>#REF!</v>
      </c>
    </row>
    <row r="42" spans="2:5" x14ac:dyDescent="0.35">
      <c r="B42" s="213">
        <v>43344</v>
      </c>
      <c r="C42" s="211">
        <f t="shared" si="1"/>
        <v>114477.44</v>
      </c>
      <c r="D42" s="211" t="e">
        <f t="shared" si="2"/>
        <v>#REF!</v>
      </c>
      <c r="E42" s="211" t="e">
        <f t="shared" si="3"/>
        <v>#REF!</v>
      </c>
    </row>
    <row r="43" spans="2:5" x14ac:dyDescent="0.35">
      <c r="B43" s="213">
        <v>43374</v>
      </c>
      <c r="C43" s="211">
        <f t="shared" si="1"/>
        <v>114477.44</v>
      </c>
      <c r="D43" s="211" t="e">
        <f t="shared" si="2"/>
        <v>#REF!</v>
      </c>
      <c r="E43" s="211" t="e">
        <f t="shared" si="3"/>
        <v>#REF!</v>
      </c>
    </row>
    <row r="44" spans="2:5" x14ac:dyDescent="0.35">
      <c r="B44" s="213">
        <v>43405</v>
      </c>
      <c r="C44" s="211">
        <f t="shared" si="1"/>
        <v>114477.44</v>
      </c>
      <c r="D44" s="211" t="e">
        <f t="shared" si="2"/>
        <v>#REF!</v>
      </c>
      <c r="E44" s="211" t="e">
        <f t="shared" si="3"/>
        <v>#REF!</v>
      </c>
    </row>
    <row r="45" spans="2:5" x14ac:dyDescent="0.35">
      <c r="B45" s="213">
        <v>43435</v>
      </c>
      <c r="C45" s="211">
        <f t="shared" si="1"/>
        <v>114477.44</v>
      </c>
      <c r="D45" s="211" t="e">
        <f t="shared" si="2"/>
        <v>#REF!</v>
      </c>
      <c r="E45" s="211" t="e">
        <f t="shared" si="3"/>
        <v>#REF!</v>
      </c>
    </row>
    <row r="46" spans="2:5" ht="29" x14ac:dyDescent="0.35">
      <c r="B46" s="213" t="s">
        <v>367</v>
      </c>
      <c r="C46" s="211">
        <f>TRUNC($B$28/31*24,2)+0.02</f>
        <v>88627.72</v>
      </c>
      <c r="D46" s="211" t="e">
        <f>TRUNC($F$28/31*24,2)+0.02</f>
        <v>#REF!</v>
      </c>
      <c r="E46" s="211" t="e">
        <f t="shared" si="3"/>
        <v>#REF!</v>
      </c>
    </row>
    <row r="47" spans="2:5" ht="18.5" x14ac:dyDescent="0.35">
      <c r="B47" s="394" t="s">
        <v>371</v>
      </c>
      <c r="C47" s="395"/>
      <c r="D47" s="396"/>
      <c r="E47" s="214" t="e">
        <f>SUM(E36:E46)</f>
        <v>#REF!</v>
      </c>
    </row>
    <row r="48" spans="2:5" ht="39.75" customHeight="1" x14ac:dyDescent="0.35">
      <c r="B48" s="394" t="s">
        <v>372</v>
      </c>
      <c r="C48" s="395"/>
      <c r="D48" s="396"/>
      <c r="E48" s="215" t="e">
        <f>E35+E47</f>
        <v>#REF!</v>
      </c>
    </row>
    <row r="49" spans="2:5" ht="18.5" x14ac:dyDescent="0.35">
      <c r="B49" s="394" t="s">
        <v>373</v>
      </c>
      <c r="C49" s="395"/>
      <c r="D49" s="396"/>
      <c r="E49" s="215">
        <f>SUM(C33:C34,C36:C46)</f>
        <v>1373729.3199999996</v>
      </c>
    </row>
    <row r="50" spans="2:5" ht="18.5" x14ac:dyDescent="0.35">
      <c r="B50" s="394" t="s">
        <v>374</v>
      </c>
      <c r="C50" s="395"/>
      <c r="D50" s="396"/>
      <c r="E50" s="215" t="e">
        <f>E49+E48</f>
        <v>#REF!</v>
      </c>
    </row>
  </sheetData>
  <mergeCells count="48">
    <mergeCell ref="A1:H1"/>
    <mergeCell ref="A2:H2"/>
    <mergeCell ref="B27:C27"/>
    <mergeCell ref="D25:E25"/>
    <mergeCell ref="F25:G25"/>
    <mergeCell ref="D26:E26"/>
    <mergeCell ref="F26:G26"/>
    <mergeCell ref="D27:E27"/>
    <mergeCell ref="F27:G27"/>
    <mergeCell ref="B25:C25"/>
    <mergeCell ref="B26:C26"/>
    <mergeCell ref="A20:D20"/>
    <mergeCell ref="A21:D21"/>
    <mergeCell ref="B24:C24"/>
    <mergeCell ref="D24:E24"/>
    <mergeCell ref="C11:D11"/>
    <mergeCell ref="B28:C28"/>
    <mergeCell ref="D28:E28"/>
    <mergeCell ref="F28:G28"/>
    <mergeCell ref="B29:C29"/>
    <mergeCell ref="D29:E29"/>
    <mergeCell ref="F29:G29"/>
    <mergeCell ref="A23:G23"/>
    <mergeCell ref="A14:D14"/>
    <mergeCell ref="A19:D19"/>
    <mergeCell ref="F24:G24"/>
    <mergeCell ref="A15:D15"/>
    <mergeCell ref="A16:D16"/>
    <mergeCell ref="A18:F18"/>
    <mergeCell ref="A4:H4"/>
    <mergeCell ref="A13:F13"/>
    <mergeCell ref="E5:F5"/>
    <mergeCell ref="G5:H5"/>
    <mergeCell ref="C5:D5"/>
    <mergeCell ref="B5:B6"/>
    <mergeCell ref="A5:A6"/>
    <mergeCell ref="C10:D10"/>
    <mergeCell ref="E10:F10"/>
    <mergeCell ref="G10:H10"/>
    <mergeCell ref="E11:F11"/>
    <mergeCell ref="G11:H11"/>
    <mergeCell ref="A11:B11"/>
    <mergeCell ref="B47:D47"/>
    <mergeCell ref="B48:D48"/>
    <mergeCell ref="B50:D50"/>
    <mergeCell ref="B49:D49"/>
    <mergeCell ref="B31:E31"/>
    <mergeCell ref="B35:D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29"/>
  <sheetViews>
    <sheetView showGridLines="0" topLeftCell="A10" zoomScale="95" zoomScaleNormal="95" workbookViewId="0">
      <selection activeCell="E5" sqref="E5:F5"/>
    </sheetView>
  </sheetViews>
  <sheetFormatPr defaultRowHeight="14.5" x14ac:dyDescent="0.35"/>
  <cols>
    <col min="1" max="1" width="38" bestFit="1" customWidth="1"/>
    <col min="2" max="2" width="20.26953125" customWidth="1"/>
    <col min="3" max="3" width="15" bestFit="1" customWidth="1"/>
    <col min="4" max="4" width="13.1796875" bestFit="1" customWidth="1"/>
    <col min="5" max="5" width="15" bestFit="1" customWidth="1"/>
    <col min="6" max="6" width="13.453125" bestFit="1" customWidth="1"/>
    <col min="7" max="10" width="15.453125" customWidth="1"/>
  </cols>
  <sheetData>
    <row r="1" spans="1:10" x14ac:dyDescent="0.35">
      <c r="A1" s="384" t="s">
        <v>335</v>
      </c>
      <c r="B1" s="384"/>
      <c r="C1" s="384"/>
      <c r="D1" s="384"/>
      <c r="E1" s="384"/>
      <c r="F1" s="384"/>
      <c r="G1" s="384"/>
      <c r="H1" s="384"/>
    </row>
    <row r="2" spans="1:10" x14ac:dyDescent="0.35">
      <c r="A2" s="384" t="s">
        <v>378</v>
      </c>
      <c r="B2" s="384"/>
      <c r="C2" s="384"/>
      <c r="D2" s="384"/>
      <c r="E2" s="384"/>
      <c r="F2" s="384"/>
      <c r="G2" s="384"/>
      <c r="H2" s="384"/>
    </row>
    <row r="4" spans="1:10" ht="16" thickBot="1" x14ac:dyDescent="0.4">
      <c r="A4" s="400" t="s">
        <v>363</v>
      </c>
      <c r="B4" s="400"/>
      <c r="C4" s="400"/>
      <c r="D4" s="400"/>
      <c r="E4" s="400"/>
      <c r="F4" s="400"/>
      <c r="G4" s="400"/>
      <c r="H4" s="400"/>
    </row>
    <row r="5" spans="1:10" ht="30" customHeight="1" x14ac:dyDescent="0.35">
      <c r="A5" s="409" t="s">
        <v>352</v>
      </c>
      <c r="B5" s="407" t="s">
        <v>347</v>
      </c>
      <c r="C5" s="405" t="s">
        <v>346</v>
      </c>
      <c r="D5" s="406"/>
      <c r="E5" s="401" t="s">
        <v>344</v>
      </c>
      <c r="F5" s="402"/>
      <c r="G5" s="440" t="s">
        <v>345</v>
      </c>
      <c r="H5" s="441"/>
      <c r="I5" s="434" t="s">
        <v>380</v>
      </c>
      <c r="J5" s="435"/>
    </row>
    <row r="6" spans="1:10" ht="14.25" customHeight="1" thickBot="1" x14ac:dyDescent="0.4">
      <c r="A6" s="410"/>
      <c r="B6" s="408"/>
      <c r="C6" s="196" t="s">
        <v>351</v>
      </c>
      <c r="D6" s="197" t="s">
        <v>353</v>
      </c>
      <c r="E6" s="201" t="s">
        <v>351</v>
      </c>
      <c r="F6" s="202" t="s">
        <v>353</v>
      </c>
      <c r="G6" s="200" t="s">
        <v>351</v>
      </c>
      <c r="H6" s="188" t="s">
        <v>353</v>
      </c>
      <c r="I6" s="218" t="s">
        <v>351</v>
      </c>
      <c r="J6" s="219" t="s">
        <v>353</v>
      </c>
    </row>
    <row r="7" spans="1:10" x14ac:dyDescent="0.35">
      <c r="A7" s="189" t="s">
        <v>348</v>
      </c>
      <c r="B7" s="192">
        <v>1</v>
      </c>
      <c r="C7" s="198">
        <f>'Anexo II C - ENCARREGADO'!E129</f>
        <v>7820.61</v>
      </c>
      <c r="D7" s="190">
        <f>C7*$B7</f>
        <v>7820.61</v>
      </c>
      <c r="E7" s="198" t="e">
        <f>'Anexo II C - ENCARREGADO'!#REF!</f>
        <v>#REF!</v>
      </c>
      <c r="F7" s="190" t="e">
        <f>E7*$B7</f>
        <v>#REF!</v>
      </c>
      <c r="G7" s="194" t="e">
        <f>'Anexo II C - ENCARREGADO'!#REF!</f>
        <v>#REF!</v>
      </c>
      <c r="H7" s="190" t="e">
        <f>G7*$B7</f>
        <v>#REF!</v>
      </c>
      <c r="I7" s="194" t="e">
        <f>'Anexo II C - ENCARREGADO'!#REF!</f>
        <v>#REF!</v>
      </c>
      <c r="J7" s="190" t="e">
        <f>I7*$B7</f>
        <v>#REF!</v>
      </c>
    </row>
    <row r="8" spans="1:10" x14ac:dyDescent="0.35">
      <c r="A8" s="191" t="s">
        <v>349</v>
      </c>
      <c r="B8" s="193">
        <v>13</v>
      </c>
      <c r="C8" s="199">
        <f>'Anexo II B - SERVENTE'!E128</f>
        <v>5048.4799999999996</v>
      </c>
      <c r="D8" s="187">
        <f t="shared" ref="D8:F9" si="0">C8*$B8</f>
        <v>65630.239999999991</v>
      </c>
      <c r="E8" s="199" t="e">
        <f>'Anexo II B - SERVENTE'!#REF!</f>
        <v>#REF!</v>
      </c>
      <c r="F8" s="187" t="e">
        <f t="shared" si="0"/>
        <v>#REF!</v>
      </c>
      <c r="G8" s="195" t="e">
        <f>'Anexo II B - SERVENTE'!#REF!</f>
        <v>#REF!</v>
      </c>
      <c r="H8" s="187" t="e">
        <f>G8*$B8</f>
        <v>#REF!</v>
      </c>
      <c r="I8" s="195" t="e">
        <f>'Anexo II B - SERVENTE'!#REF!</f>
        <v>#REF!</v>
      </c>
      <c r="J8" s="187" t="e">
        <f>I8*$B8</f>
        <v>#REF!</v>
      </c>
    </row>
    <row r="9" spans="1:10" x14ac:dyDescent="0.35">
      <c r="A9" s="191" t="s">
        <v>350</v>
      </c>
      <c r="B9" s="193">
        <v>3</v>
      </c>
      <c r="C9" s="199">
        <f>'Anexo II D - CARREGADOR'!E129</f>
        <v>4747.9399999999996</v>
      </c>
      <c r="D9" s="187">
        <f t="shared" si="0"/>
        <v>14243.82</v>
      </c>
      <c r="E9" s="199" t="e">
        <f>'Anexo II D - CARREGADOR'!#REF!</f>
        <v>#REF!</v>
      </c>
      <c r="F9" s="187" t="e">
        <f t="shared" si="0"/>
        <v>#REF!</v>
      </c>
      <c r="G9" s="195" t="e">
        <f>'Anexo II D - CARREGADOR'!#REF!</f>
        <v>#REF!</v>
      </c>
      <c r="H9" s="187" t="e">
        <f>G9*$B9</f>
        <v>#REF!</v>
      </c>
      <c r="I9" s="195" t="e">
        <f>'Anexo II D - CARREGADOR'!#REF!</f>
        <v>#REF!</v>
      </c>
      <c r="J9" s="187" t="e">
        <f>I9*$B9</f>
        <v>#REF!</v>
      </c>
    </row>
    <row r="10" spans="1:10" ht="16" thickBot="1" x14ac:dyDescent="0.4">
      <c r="A10" s="203" t="s">
        <v>356</v>
      </c>
      <c r="B10" s="204">
        <f>SUM(B7:B9)</f>
        <v>17</v>
      </c>
      <c r="C10" s="411">
        <f>SUM(D7:D9)</f>
        <v>87694.669999999984</v>
      </c>
      <c r="D10" s="412"/>
      <c r="E10" s="411" t="e">
        <f>SUM(F7:F9)</f>
        <v>#REF!</v>
      </c>
      <c r="F10" s="412"/>
      <c r="G10" s="411" t="e">
        <f>SUM(H7:H9)</f>
        <v>#REF!</v>
      </c>
      <c r="H10" s="412"/>
      <c r="I10" s="411" t="e">
        <f>SUM(J7:J9)</f>
        <v>#REF!</v>
      </c>
      <c r="J10" s="412"/>
    </row>
    <row r="11" spans="1:10" ht="16" thickBot="1" x14ac:dyDescent="0.4">
      <c r="A11" s="415" t="s">
        <v>357</v>
      </c>
      <c r="B11" s="416"/>
      <c r="C11" s="413">
        <f>C10*12</f>
        <v>1052336.0399999998</v>
      </c>
      <c r="D11" s="414"/>
      <c r="E11" s="413" t="e">
        <f>E10*12</f>
        <v>#REF!</v>
      </c>
      <c r="F11" s="414"/>
      <c r="G11" s="413" t="e">
        <f>G10*12</f>
        <v>#REF!</v>
      </c>
      <c r="H11" s="414"/>
      <c r="I11" s="413" t="e">
        <f>I10*12</f>
        <v>#REF!</v>
      </c>
      <c r="J11" s="414"/>
    </row>
    <row r="13" spans="1:10" ht="16" x14ac:dyDescent="0.35">
      <c r="A13" s="316" t="s">
        <v>358</v>
      </c>
      <c r="B13" s="317"/>
      <c r="C13" s="317"/>
      <c r="D13" s="317"/>
      <c r="E13" s="317"/>
      <c r="F13" s="318"/>
    </row>
    <row r="14" spans="1:10" ht="16" x14ac:dyDescent="0.35">
      <c r="A14" s="316"/>
      <c r="B14" s="317"/>
      <c r="C14" s="317"/>
      <c r="D14" s="318"/>
      <c r="E14" s="217" t="s">
        <v>330</v>
      </c>
      <c r="F14" s="216" t="s">
        <v>331</v>
      </c>
    </row>
    <row r="15" spans="1:10" ht="16" x14ac:dyDescent="0.35">
      <c r="A15" s="380" t="s">
        <v>329</v>
      </c>
      <c r="B15" s="381"/>
      <c r="C15" s="381"/>
      <c r="D15" s="381"/>
      <c r="E15" s="122">
        <f>'Anexo II I -MAT HIGIENE PESSOAL'!H11</f>
        <v>1723.05</v>
      </c>
      <c r="F15" s="122">
        <f>E15*12</f>
        <v>20676.599999999999</v>
      </c>
    </row>
    <row r="16" spans="1:10" ht="16" x14ac:dyDescent="0.35">
      <c r="A16" s="380" t="s">
        <v>250</v>
      </c>
      <c r="B16" s="381"/>
      <c r="C16" s="381"/>
      <c r="D16" s="381"/>
      <c r="E16" s="122">
        <f>'Anexo II I -MAT HIGIENE PESSOAL'!H23</f>
        <v>1722.1000000000001</v>
      </c>
      <c r="F16" s="122">
        <f>E16*12</f>
        <v>20665.2</v>
      </c>
    </row>
    <row r="17" spans="1:9" ht="16" x14ac:dyDescent="0.35">
      <c r="A17" s="26"/>
      <c r="B17" s="26"/>
      <c r="C17" s="26"/>
      <c r="D17" s="26"/>
      <c r="E17" s="26"/>
      <c r="F17" s="26"/>
    </row>
    <row r="18" spans="1:9" ht="16" x14ac:dyDescent="0.35">
      <c r="A18" s="316" t="s">
        <v>359</v>
      </c>
      <c r="B18" s="317"/>
      <c r="C18" s="317"/>
      <c r="D18" s="317"/>
      <c r="E18" s="317"/>
      <c r="F18" s="318"/>
    </row>
    <row r="19" spans="1:9" ht="16" x14ac:dyDescent="0.35">
      <c r="A19" s="316"/>
      <c r="B19" s="317"/>
      <c r="C19" s="317"/>
      <c r="D19" s="318"/>
      <c r="E19" s="217" t="s">
        <v>330</v>
      </c>
      <c r="F19" s="216" t="s">
        <v>331</v>
      </c>
    </row>
    <row r="20" spans="1:9" ht="16" x14ac:dyDescent="0.35">
      <c r="A20" s="380" t="s">
        <v>332</v>
      </c>
      <c r="B20" s="381"/>
      <c r="C20" s="381"/>
      <c r="D20" s="381"/>
      <c r="E20" s="122">
        <f>'Anexo II H - DISPENSER'!H8</f>
        <v>92.820833333333326</v>
      </c>
      <c r="F20" s="122">
        <f>E20*12</f>
        <v>1113.8499999999999</v>
      </c>
    </row>
    <row r="21" spans="1:9" ht="16" x14ac:dyDescent="0.35">
      <c r="A21" s="380" t="s">
        <v>333</v>
      </c>
      <c r="B21" s="381"/>
      <c r="C21" s="381"/>
      <c r="D21" s="381"/>
      <c r="E21" s="122">
        <f>'Anexo II H - DISPENSER'!H16</f>
        <v>115.575</v>
      </c>
      <c r="F21" s="122">
        <f>E21*12</f>
        <v>1386.9</v>
      </c>
    </row>
    <row r="23" spans="1:9" ht="21.5" thickBot="1" x14ac:dyDescent="0.55000000000000004">
      <c r="A23" s="417" t="s">
        <v>362</v>
      </c>
      <c r="B23" s="417"/>
      <c r="C23" s="417"/>
      <c r="D23" s="417"/>
      <c r="E23" s="417"/>
      <c r="F23" s="417"/>
      <c r="G23" s="417"/>
      <c r="H23" s="210"/>
    </row>
    <row r="24" spans="1:9" ht="34.5" customHeight="1" thickBot="1" x14ac:dyDescent="0.4">
      <c r="A24" s="207" t="s">
        <v>291</v>
      </c>
      <c r="B24" s="431" t="s">
        <v>346</v>
      </c>
      <c r="C24" s="431"/>
      <c r="D24" s="432" t="s">
        <v>344</v>
      </c>
      <c r="E24" s="433"/>
      <c r="F24" s="438" t="s">
        <v>345</v>
      </c>
      <c r="G24" s="439"/>
      <c r="H24" s="436" t="s">
        <v>380</v>
      </c>
      <c r="I24" s="437"/>
    </row>
    <row r="25" spans="1:9" x14ac:dyDescent="0.35">
      <c r="A25" s="206" t="s">
        <v>360</v>
      </c>
      <c r="B25" s="429">
        <f>'RESUMO M²'!F22</f>
        <v>96580.081768665827</v>
      </c>
      <c r="C25" s="429"/>
      <c r="D25" s="429" t="e">
        <f>'REMUNERA SERVIÇO CONTRA 1ªREP'!F25</f>
        <v>#REF!</v>
      </c>
      <c r="E25" s="429"/>
      <c r="F25" s="429" t="e">
        <f>'REMUNERAÇÃO SERVIÇO ANAC 1ªREP '!F25</f>
        <v>#REF!</v>
      </c>
      <c r="G25" s="429"/>
      <c r="H25" s="429" t="e">
        <f>'Anexo II A - REMUNER SERVIÇO'!#REF!</f>
        <v>#REF!</v>
      </c>
      <c r="I25" s="429"/>
    </row>
    <row r="26" spans="1:9" x14ac:dyDescent="0.35">
      <c r="A26" s="191" t="s">
        <v>8</v>
      </c>
      <c r="B26" s="430">
        <f>'RESUMO M²'!E28</f>
        <v>14243.82</v>
      </c>
      <c r="C26" s="430"/>
      <c r="D26" s="430" t="e">
        <f>'REMUNERA SERVIÇO CONTRA 1ªREP'!E31</f>
        <v>#REF!</v>
      </c>
      <c r="E26" s="430"/>
      <c r="F26" s="430" t="e">
        <f>'REMUNERAÇÃO SERVIÇO ANAC 1ªREP '!E31</f>
        <v>#REF!</v>
      </c>
      <c r="G26" s="430"/>
      <c r="H26" s="430" t="e">
        <f>'Anexo II A - REMUNER SERVIÇO'!#REF!</f>
        <v>#REF!</v>
      </c>
      <c r="I26" s="430"/>
    </row>
    <row r="27" spans="1:9" ht="15" thickBot="1" x14ac:dyDescent="0.4">
      <c r="A27" s="205" t="s">
        <v>361</v>
      </c>
      <c r="B27" s="428">
        <f>SUM(E15:E16,E20:E21)</f>
        <v>3653.5458333333331</v>
      </c>
      <c r="C27" s="428"/>
      <c r="D27" s="428">
        <f>B27</f>
        <v>3653.5458333333331</v>
      </c>
      <c r="E27" s="428"/>
      <c r="F27" s="428">
        <f>B27</f>
        <v>3653.5458333333331</v>
      </c>
      <c r="G27" s="428"/>
      <c r="H27" s="428">
        <f>D27</f>
        <v>3653.5458333333331</v>
      </c>
      <c r="I27" s="428"/>
    </row>
    <row r="28" spans="1:9" ht="16" thickBot="1" x14ac:dyDescent="0.4">
      <c r="A28" s="208" t="s">
        <v>354</v>
      </c>
      <c r="B28" s="420">
        <f>SUM(B25:C27)</f>
        <v>114477.44760199916</v>
      </c>
      <c r="C28" s="421"/>
      <c r="D28" s="422" t="e">
        <f>SUM(D25:E27)</f>
        <v>#REF!</v>
      </c>
      <c r="E28" s="423"/>
      <c r="F28" s="424" t="e">
        <f>SUM(F25:G27)</f>
        <v>#REF!</v>
      </c>
      <c r="G28" s="423"/>
      <c r="H28" s="424" t="e">
        <f>SUM(H25:I27)</f>
        <v>#REF!</v>
      </c>
      <c r="I28" s="423"/>
    </row>
    <row r="29" spans="1:9" ht="16" thickBot="1" x14ac:dyDescent="0.4">
      <c r="A29" s="209" t="s">
        <v>355</v>
      </c>
      <c r="B29" s="425">
        <f>B28*12</f>
        <v>1373729.3712239899</v>
      </c>
      <c r="C29" s="426"/>
      <c r="D29" s="425" t="e">
        <f>D28*12</f>
        <v>#REF!</v>
      </c>
      <c r="E29" s="426"/>
      <c r="F29" s="425" t="e">
        <f>F28*12</f>
        <v>#REF!</v>
      </c>
      <c r="G29" s="427"/>
      <c r="H29" s="425" t="e">
        <f>H28*12</f>
        <v>#REF!</v>
      </c>
      <c r="I29" s="427"/>
    </row>
  </sheetData>
  <mergeCells count="51">
    <mergeCell ref="A1:H1"/>
    <mergeCell ref="A2:H2"/>
    <mergeCell ref="A4:H4"/>
    <mergeCell ref="A5:A6"/>
    <mergeCell ref="B5:B6"/>
    <mergeCell ref="C5:D5"/>
    <mergeCell ref="E5:F5"/>
    <mergeCell ref="G5:H5"/>
    <mergeCell ref="A19:D19"/>
    <mergeCell ref="C10:D10"/>
    <mergeCell ref="E10:F10"/>
    <mergeCell ref="G10:H10"/>
    <mergeCell ref="A11:B11"/>
    <mergeCell ref="C11:D11"/>
    <mergeCell ref="E11:F11"/>
    <mergeCell ref="G11:H11"/>
    <mergeCell ref="A13:F13"/>
    <mergeCell ref="A14:D14"/>
    <mergeCell ref="A15:D15"/>
    <mergeCell ref="A16:D16"/>
    <mergeCell ref="A18:F18"/>
    <mergeCell ref="A20:D20"/>
    <mergeCell ref="A21:D21"/>
    <mergeCell ref="A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9:C29"/>
    <mergeCell ref="D29:E29"/>
    <mergeCell ref="F29:G29"/>
    <mergeCell ref="B27:C27"/>
    <mergeCell ref="D27:E27"/>
    <mergeCell ref="F27:G27"/>
    <mergeCell ref="B28:C28"/>
    <mergeCell ref="D28:E28"/>
    <mergeCell ref="F28:G28"/>
    <mergeCell ref="H28:I28"/>
    <mergeCell ref="H29:I29"/>
    <mergeCell ref="I5:J5"/>
    <mergeCell ref="I10:J10"/>
    <mergeCell ref="I11:J11"/>
    <mergeCell ref="H24:I24"/>
    <mergeCell ref="H25:I25"/>
    <mergeCell ref="H26:I26"/>
    <mergeCell ref="H27:I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46"/>
  <sheetViews>
    <sheetView view="pageBreakPreview" topLeftCell="A3" zoomScaleNormal="100" zoomScaleSheetLayoutView="100" workbookViewId="0">
      <selection activeCell="F23" sqref="F23"/>
    </sheetView>
  </sheetViews>
  <sheetFormatPr defaultColWidth="9.1796875" defaultRowHeight="16" x14ac:dyDescent="0.35"/>
  <cols>
    <col min="1" max="1" width="27.81640625" style="26" customWidth="1"/>
    <col min="2" max="2" width="15.453125" style="26" customWidth="1"/>
    <col min="3" max="3" width="13.1796875" style="26" customWidth="1"/>
    <col min="4" max="4" width="18.453125" style="26" customWidth="1"/>
    <col min="5" max="5" width="14.81640625" style="26" customWidth="1"/>
    <col min="6" max="6" width="26.54296875" style="26" customWidth="1"/>
    <col min="7" max="7" width="0.26953125" style="26" customWidth="1"/>
    <col min="8" max="8" width="0.54296875" style="26" customWidth="1"/>
    <col min="9" max="9" width="13.54296875" style="26" hidden="1" customWidth="1"/>
    <col min="10" max="10" width="12.7265625" style="26" hidden="1" customWidth="1"/>
    <col min="11" max="11" width="13.54296875" style="26" bestFit="1" customWidth="1"/>
    <col min="12" max="12" width="9.1796875" style="26"/>
    <col min="13" max="13" width="11.453125" style="26" bestFit="1" customWidth="1"/>
    <col min="14" max="16384" width="9.1796875" style="26"/>
  </cols>
  <sheetData>
    <row r="1" spans="1:11" x14ac:dyDescent="0.35">
      <c r="A1" s="316" t="s">
        <v>343</v>
      </c>
      <c r="B1" s="317"/>
      <c r="C1" s="317"/>
      <c r="D1" s="317"/>
      <c r="E1" s="317"/>
      <c r="F1" s="318"/>
    </row>
    <row r="2" spans="1:11" ht="47.25" customHeight="1" x14ac:dyDescent="0.35">
      <c r="A2" s="106" t="s">
        <v>263</v>
      </c>
      <c r="B2" s="106" t="s">
        <v>262</v>
      </c>
      <c r="C2" s="106" t="s">
        <v>261</v>
      </c>
      <c r="D2" s="106" t="s">
        <v>260</v>
      </c>
      <c r="E2" s="106" t="s">
        <v>259</v>
      </c>
      <c r="F2" s="106" t="s">
        <v>264</v>
      </c>
      <c r="H2" s="163"/>
    </row>
    <row r="3" spans="1:11" ht="18.75" customHeight="1" x14ac:dyDescent="0.35">
      <c r="A3" s="385" t="s">
        <v>265</v>
      </c>
      <c r="B3" s="386"/>
      <c r="C3" s="386"/>
      <c r="D3" s="386"/>
      <c r="E3" s="386"/>
      <c r="F3" s="387"/>
      <c r="H3" s="163"/>
    </row>
    <row r="4" spans="1:11" x14ac:dyDescent="0.35">
      <c r="A4" s="388" t="s">
        <v>266</v>
      </c>
      <c r="B4" s="389"/>
      <c r="C4" s="389"/>
      <c r="D4" s="389"/>
      <c r="E4" s="389"/>
      <c r="F4" s="390"/>
      <c r="H4" s="164"/>
    </row>
    <row r="5" spans="1:11" x14ac:dyDescent="0.35">
      <c r="A5" s="107" t="s">
        <v>8</v>
      </c>
      <c r="B5" s="108" t="s">
        <v>337</v>
      </c>
      <c r="C5" s="109">
        <v>12624</v>
      </c>
      <c r="D5" s="117">
        <f>'Anexo II C - ENCARREGADO'!E129</f>
        <v>7820.61</v>
      </c>
      <c r="E5" s="117">
        <f>1/(13*'Anexo II A.2 - PRODUTIVIDADE'!E6)*D5</f>
        <v>0.61074658336587273</v>
      </c>
      <c r="F5" s="117">
        <f>C5*E5</f>
        <v>7710.0648684107773</v>
      </c>
      <c r="G5" s="158">
        <v>4324.17</v>
      </c>
      <c r="H5" s="58">
        <f>F5-G5</f>
        <v>3385.8948684107772</v>
      </c>
    </row>
    <row r="6" spans="1:11" x14ac:dyDescent="0.35">
      <c r="A6" s="107" t="s">
        <v>16</v>
      </c>
      <c r="B6" s="108" t="s">
        <v>325</v>
      </c>
      <c r="C6" s="109">
        <v>12624</v>
      </c>
      <c r="D6" s="117">
        <f>'Anexo II B - SERVENTE'!E128</f>
        <v>5048.4799999999996</v>
      </c>
      <c r="E6" s="117">
        <f>(1/'Anexo II A.2 - PRODUTIVIDADE'!E6)*D6</f>
        <v>5.12536040609137</v>
      </c>
      <c r="F6" s="117">
        <f>C6*E6</f>
        <v>64702.549766497454</v>
      </c>
      <c r="G6" s="158">
        <v>59567.61</v>
      </c>
      <c r="H6" s="58">
        <f t="shared" ref="H6:H21" si="0">F6-G6</f>
        <v>5134.9397664974531</v>
      </c>
    </row>
    <row r="7" spans="1:11" x14ac:dyDescent="0.35">
      <c r="A7" s="388" t="s">
        <v>267</v>
      </c>
      <c r="B7" s="389"/>
      <c r="C7" s="389"/>
      <c r="D7" s="389"/>
      <c r="E7" s="389"/>
      <c r="F7" s="390"/>
      <c r="H7" s="58"/>
    </row>
    <row r="8" spans="1:11" x14ac:dyDescent="0.35">
      <c r="A8" s="107" t="s">
        <v>8</v>
      </c>
      <c r="B8" s="108" t="s">
        <v>338</v>
      </c>
      <c r="C8" s="109">
        <v>2141.9299999999998</v>
      </c>
      <c r="D8" s="117">
        <f>'Anexo II C - ENCARREGADO'!E129</f>
        <v>7820.61</v>
      </c>
      <c r="E8" s="166">
        <f>(1/(13*'Anexo II A.2 - PRODUTIVIDADE'!E14)*D8)</f>
        <v>0.41488647214854113</v>
      </c>
      <c r="F8" s="117">
        <f>C8*E8</f>
        <v>888.65778128912461</v>
      </c>
      <c r="G8" s="173">
        <v>489.13</v>
      </c>
      <c r="H8" s="165">
        <f t="shared" si="0"/>
        <v>399.52778128912462</v>
      </c>
    </row>
    <row r="9" spans="1:11" x14ac:dyDescent="0.35">
      <c r="A9" s="107" t="s">
        <v>16</v>
      </c>
      <c r="B9" s="108" t="s">
        <v>268</v>
      </c>
      <c r="C9" s="109">
        <v>2141.9299999999998</v>
      </c>
      <c r="D9" s="117">
        <f>'Anexo II B - SERVENTE'!E128</f>
        <v>5048.4799999999996</v>
      </c>
      <c r="E9" s="117">
        <f>(1/'Anexo II A.2 - PRODUTIVIDADE'!E14)*D9</f>
        <v>3.4817103448275857</v>
      </c>
      <c r="F9" s="117">
        <f>C9*E9</f>
        <v>7457.5798388965504</v>
      </c>
      <c r="G9" s="158">
        <v>6737.94</v>
      </c>
      <c r="H9" s="58">
        <f t="shared" si="0"/>
        <v>719.63983889655083</v>
      </c>
    </row>
    <row r="10" spans="1:11" x14ac:dyDescent="0.35">
      <c r="A10" s="388" t="s">
        <v>267</v>
      </c>
      <c r="B10" s="389"/>
      <c r="C10" s="389"/>
      <c r="D10" s="389"/>
      <c r="E10" s="389"/>
      <c r="F10" s="390"/>
      <c r="H10" s="58"/>
    </row>
    <row r="11" spans="1:11" ht="16.5" x14ac:dyDescent="0.35">
      <c r="A11" s="385" t="s">
        <v>269</v>
      </c>
      <c r="B11" s="386"/>
      <c r="C11" s="386"/>
      <c r="D11" s="386"/>
      <c r="E11" s="386"/>
      <c r="F11" s="387"/>
      <c r="H11" s="58"/>
    </row>
    <row r="12" spans="1:11" x14ac:dyDescent="0.35">
      <c r="A12" s="388" t="s">
        <v>267</v>
      </c>
      <c r="B12" s="389"/>
      <c r="C12" s="389"/>
      <c r="D12" s="389"/>
      <c r="E12" s="389"/>
      <c r="F12" s="390"/>
      <c r="H12" s="58"/>
    </row>
    <row r="13" spans="1:11" x14ac:dyDescent="0.35">
      <c r="A13" s="107" t="s">
        <v>8</v>
      </c>
      <c r="B13" s="108" t="s">
        <v>339</v>
      </c>
      <c r="C13" s="109">
        <v>5626.21</v>
      </c>
      <c r="D13" s="117">
        <f>'Anexo II C - ENCARREGADO'!E129</f>
        <v>7820.61</v>
      </c>
      <c r="E13" s="118">
        <f>1/(13*'Anexo II A.2 - PRODUTIVIDADE'!E17)*D13</f>
        <v>0.24063415384615383</v>
      </c>
      <c r="F13" s="117">
        <f>C13*E13</f>
        <v>1353.8582827107691</v>
      </c>
      <c r="G13" s="173">
        <v>624.39</v>
      </c>
      <c r="H13" s="165">
        <f t="shared" si="0"/>
        <v>729.46828271076913</v>
      </c>
      <c r="J13" s="167"/>
    </row>
    <row r="14" spans="1:11" x14ac:dyDescent="0.35">
      <c r="A14" s="107" t="s">
        <v>16</v>
      </c>
      <c r="B14" s="120" t="s">
        <v>298</v>
      </c>
      <c r="C14" s="109">
        <v>5626.21</v>
      </c>
      <c r="D14" s="117">
        <f>'Anexo II B - SERVENTE'!E128</f>
        <v>5048.4799999999996</v>
      </c>
      <c r="E14" s="119">
        <f>(1/'Anexo II A.2 - PRODUTIVIDADE'!E17)*D14</f>
        <v>2.0193919999999999</v>
      </c>
      <c r="F14" s="117">
        <f>C14*E14</f>
        <v>11361.52346432</v>
      </c>
      <c r="G14" s="158">
        <v>8849.2800000000007</v>
      </c>
      <c r="H14" s="58">
        <f t="shared" si="0"/>
        <v>2512.2434643199995</v>
      </c>
    </row>
    <row r="15" spans="1:11" ht="36" customHeight="1" x14ac:dyDescent="0.35">
      <c r="A15" s="391" t="s">
        <v>336</v>
      </c>
      <c r="B15" s="392"/>
      <c r="C15" s="392"/>
      <c r="D15" s="392"/>
      <c r="E15" s="392"/>
      <c r="F15" s="393"/>
      <c r="H15" s="58"/>
    </row>
    <row r="16" spans="1:11" x14ac:dyDescent="0.35">
      <c r="A16" s="388" t="s">
        <v>270</v>
      </c>
      <c r="B16" s="389"/>
      <c r="C16" s="389"/>
      <c r="D16" s="389"/>
      <c r="E16" s="389"/>
      <c r="F16" s="390"/>
      <c r="H16" s="58"/>
      <c r="K16" s="28"/>
    </row>
    <row r="17" spans="1:10" ht="39" customHeight="1" x14ac:dyDescent="0.35">
      <c r="A17" s="107" t="s">
        <v>8</v>
      </c>
      <c r="B17" s="65" t="s">
        <v>340</v>
      </c>
      <c r="C17" s="109">
        <v>1544.27</v>
      </c>
      <c r="D17" s="117">
        <f>'Anexo II C - ENCARREGADO'!E129</f>
        <v>7820.61</v>
      </c>
      <c r="E17" s="121">
        <f>(1/(13*'Anexo II A.2 - PRODUTIVIDADE'!E9))*8*(1/188.76)*D17</f>
        <v>8.4987692959720945E-2</v>
      </c>
      <c r="F17" s="117">
        <f>C17*E17</f>
        <v>131.24394460690826</v>
      </c>
      <c r="G17" s="173">
        <v>64.05</v>
      </c>
      <c r="H17" s="172">
        <f t="shared" si="0"/>
        <v>67.193944606908261</v>
      </c>
      <c r="J17" s="168"/>
    </row>
    <row r="18" spans="1:10" ht="31.5" customHeight="1" x14ac:dyDescent="0.35">
      <c r="A18" s="107" t="s">
        <v>16</v>
      </c>
      <c r="B18" s="65" t="s">
        <v>327</v>
      </c>
      <c r="C18" s="109">
        <v>1544.27</v>
      </c>
      <c r="D18" s="117">
        <f>'Anexo II B - SERVENTE'!E128</f>
        <v>5048.4799999999996</v>
      </c>
      <c r="E18" s="121">
        <f>(1/'Anexo II A.2 - PRODUTIVIDADE'!E9)*8*(1/188.76)*D18</f>
        <v>0.71321325139506964</v>
      </c>
      <c r="F18" s="117">
        <f>C18*E18</f>
        <v>1101.3938277318641</v>
      </c>
      <c r="G18" s="158">
        <v>882.37</v>
      </c>
      <c r="H18" s="58">
        <f t="shared" si="0"/>
        <v>219.02382773186412</v>
      </c>
    </row>
    <row r="19" spans="1:10" x14ac:dyDescent="0.35">
      <c r="A19" s="388" t="s">
        <v>271</v>
      </c>
      <c r="B19" s="389"/>
      <c r="C19" s="389"/>
      <c r="D19" s="389"/>
      <c r="E19" s="389"/>
      <c r="F19" s="390"/>
      <c r="H19" s="58"/>
    </row>
    <row r="20" spans="1:10" ht="32" x14ac:dyDescent="0.35">
      <c r="A20" s="107" t="s">
        <v>8</v>
      </c>
      <c r="B20" s="65" t="s">
        <v>340</v>
      </c>
      <c r="C20" s="109">
        <v>2346.79</v>
      </c>
      <c r="D20" s="117">
        <f>'Anexo II C - ENCARREGADO'!E129</f>
        <v>7820.61</v>
      </c>
      <c r="E20" s="117">
        <f>(1/(13*'Anexo II A.2 - PRODUTIVIDADE'!E20))*8*(1/188.76)*D20</f>
        <v>8.4987692959720945E-2</v>
      </c>
      <c r="F20" s="117">
        <f>C20*E20</f>
        <v>199.44826796094353</v>
      </c>
      <c r="G20" s="158">
        <v>97.34</v>
      </c>
      <c r="H20" s="58">
        <f t="shared" si="0"/>
        <v>102.10826796094352</v>
      </c>
    </row>
    <row r="21" spans="1:10" ht="32" x14ac:dyDescent="0.35">
      <c r="A21" s="107" t="s">
        <v>16</v>
      </c>
      <c r="B21" s="65" t="s">
        <v>327</v>
      </c>
      <c r="C21" s="109">
        <v>2346.79</v>
      </c>
      <c r="D21" s="117">
        <f>'Anexo II B - SERVENTE'!E128</f>
        <v>5048.4799999999996</v>
      </c>
      <c r="E21" s="117">
        <f>(1/'Anexo II A.2 - PRODUTIVIDADE'!E20)*8*(1/188.76)*D21</f>
        <v>0.71321325139506964</v>
      </c>
      <c r="F21" s="117">
        <f>C21*E21</f>
        <v>1673.7617262414356</v>
      </c>
      <c r="G21" s="158">
        <v>1340.91</v>
      </c>
      <c r="H21" s="58">
        <f t="shared" si="0"/>
        <v>332.85172624143547</v>
      </c>
    </row>
    <row r="22" spans="1:10" x14ac:dyDescent="0.35">
      <c r="A22" s="316" t="s">
        <v>272</v>
      </c>
      <c r="B22" s="317"/>
      <c r="C22" s="317"/>
      <c r="D22" s="317"/>
      <c r="E22" s="318"/>
      <c r="F22" s="122">
        <f>SUM(F5+F6+F8+F9+F13+F14+F17+F18+F20+F21)</f>
        <v>96580.081768665827</v>
      </c>
    </row>
    <row r="23" spans="1:10" x14ac:dyDescent="0.35">
      <c r="A23" s="316" t="s">
        <v>273</v>
      </c>
      <c r="B23" s="317"/>
      <c r="C23" s="317"/>
      <c r="D23" s="317"/>
      <c r="E23" s="318"/>
      <c r="F23" s="122">
        <f>F22*12</f>
        <v>1158960.98122399</v>
      </c>
    </row>
    <row r="26" spans="1:10" x14ac:dyDescent="0.35">
      <c r="A26" s="316" t="s">
        <v>283</v>
      </c>
      <c r="B26" s="317"/>
      <c r="C26" s="317"/>
      <c r="D26" s="317"/>
      <c r="E26" s="317"/>
      <c r="F26" s="318"/>
    </row>
    <row r="27" spans="1:10" ht="32" x14ac:dyDescent="0.35">
      <c r="A27" s="106" t="s">
        <v>274</v>
      </c>
      <c r="B27" s="106" t="s">
        <v>275</v>
      </c>
      <c r="C27" s="106" t="s">
        <v>276</v>
      </c>
      <c r="D27" s="106" t="s">
        <v>277</v>
      </c>
      <c r="E27" s="106" t="s">
        <v>278</v>
      </c>
      <c r="F27" s="106" t="s">
        <v>279</v>
      </c>
      <c r="I27" s="58">
        <f>F23+F29+F34+F35+F40+F41</f>
        <v>1373729.3712239901</v>
      </c>
      <c r="J27" s="58"/>
    </row>
    <row r="28" spans="1:10" ht="48" x14ac:dyDescent="0.35">
      <c r="A28" s="29" t="s">
        <v>280</v>
      </c>
      <c r="B28" s="30" t="s">
        <v>281</v>
      </c>
      <c r="C28" s="31">
        <v>3</v>
      </c>
      <c r="D28" s="123">
        <f>'Anexo II D - CARREGADOR'!E129</f>
        <v>4747.9399999999996</v>
      </c>
      <c r="E28" s="123">
        <f>C28*D28</f>
        <v>14243.82</v>
      </c>
      <c r="F28" s="123">
        <f>E28*12</f>
        <v>170925.84</v>
      </c>
      <c r="J28" s="58"/>
    </row>
    <row r="29" spans="1:10" x14ac:dyDescent="0.35">
      <c r="A29" s="316" t="s">
        <v>282</v>
      </c>
      <c r="B29" s="317"/>
      <c r="C29" s="317"/>
      <c r="D29" s="317"/>
      <c r="E29" s="318"/>
      <c r="F29" s="122">
        <f>F28</f>
        <v>170925.84</v>
      </c>
      <c r="J29" s="58"/>
    </row>
    <row r="30" spans="1:10" x14ac:dyDescent="0.35">
      <c r="I30" s="158">
        <v>826771.72</v>
      </c>
      <c r="J30" s="159">
        <f>I30-I27</f>
        <v>-546957.65122399013</v>
      </c>
    </row>
    <row r="31" spans="1:10" ht="18.75" customHeight="1" x14ac:dyDescent="0.35">
      <c r="A31" s="383"/>
      <c r="B31" s="383"/>
      <c r="C31" s="383"/>
      <c r="D31" s="383"/>
      <c r="E31" s="383"/>
      <c r="F31" s="383"/>
      <c r="G31" s="383"/>
    </row>
    <row r="32" spans="1:10" x14ac:dyDescent="0.35">
      <c r="A32" s="316" t="s">
        <v>328</v>
      </c>
      <c r="B32" s="317"/>
      <c r="C32" s="317"/>
      <c r="D32" s="317"/>
      <c r="E32" s="317"/>
      <c r="F32" s="318"/>
    </row>
    <row r="33" spans="1:13" x14ac:dyDescent="0.35">
      <c r="A33" s="160"/>
      <c r="B33" s="161"/>
      <c r="C33" s="161"/>
      <c r="D33" s="161"/>
      <c r="E33" s="169" t="s">
        <v>330</v>
      </c>
      <c r="F33" s="162" t="s">
        <v>331</v>
      </c>
    </row>
    <row r="34" spans="1:13" ht="14.25" customHeight="1" x14ac:dyDescent="0.35">
      <c r="A34" s="380" t="s">
        <v>329</v>
      </c>
      <c r="B34" s="381"/>
      <c r="C34" s="381"/>
      <c r="D34" s="381"/>
      <c r="E34" s="122">
        <f>'Anexo II I -MAT HIGIENE PESSOAL'!H11</f>
        <v>1723.05</v>
      </c>
      <c r="F34" s="122">
        <f>E34*12</f>
        <v>20676.599999999999</v>
      </c>
    </row>
    <row r="35" spans="1:13" x14ac:dyDescent="0.35">
      <c r="A35" s="380" t="s">
        <v>250</v>
      </c>
      <c r="B35" s="381"/>
      <c r="C35" s="381"/>
      <c r="D35" s="381"/>
      <c r="E35" s="122">
        <f>'Anexo II I -MAT HIGIENE PESSOAL'!H23</f>
        <v>1722.1000000000001</v>
      </c>
      <c r="F35" s="122">
        <f>E35*12</f>
        <v>20665.2</v>
      </c>
    </row>
    <row r="38" spans="1:13" x14ac:dyDescent="0.35">
      <c r="A38" s="316" t="s">
        <v>341</v>
      </c>
      <c r="B38" s="317"/>
      <c r="C38" s="317"/>
      <c r="D38" s="317"/>
      <c r="E38" s="317"/>
      <c r="F38" s="318"/>
    </row>
    <row r="39" spans="1:13" x14ac:dyDescent="0.35">
      <c r="A39" s="160"/>
      <c r="B39" s="161"/>
      <c r="C39" s="161"/>
      <c r="D39" s="161"/>
      <c r="E39" s="169" t="s">
        <v>330</v>
      </c>
      <c r="F39" s="162" t="s">
        <v>331</v>
      </c>
    </row>
    <row r="40" spans="1:13" x14ac:dyDescent="0.35">
      <c r="A40" s="380" t="s">
        <v>332</v>
      </c>
      <c r="B40" s="381"/>
      <c r="C40" s="381"/>
      <c r="D40" s="381"/>
      <c r="E40" s="122">
        <f>'Anexo II H - DISPENSER'!H8</f>
        <v>92.820833333333326</v>
      </c>
      <c r="F40" s="122">
        <f>E40*12</f>
        <v>1113.8499999999999</v>
      </c>
    </row>
    <row r="41" spans="1:13" x14ac:dyDescent="0.35">
      <c r="A41" s="380" t="s">
        <v>333</v>
      </c>
      <c r="B41" s="381"/>
      <c r="C41" s="381"/>
      <c r="D41" s="381"/>
      <c r="E41" s="122">
        <f>'Anexo II H - DISPENSER'!H16</f>
        <v>115.575</v>
      </c>
      <c r="F41" s="122">
        <f>E41*12</f>
        <v>1386.9</v>
      </c>
    </row>
    <row r="44" spans="1:13" x14ac:dyDescent="0.35">
      <c r="G44" s="58"/>
    </row>
    <row r="45" spans="1:13" x14ac:dyDescent="0.35">
      <c r="A45" s="380" t="s">
        <v>334</v>
      </c>
      <c r="B45" s="381"/>
      <c r="C45" s="381"/>
      <c r="D45" s="381"/>
      <c r="E45" s="382"/>
      <c r="F45" s="170">
        <f>SUM(F23,F29,F34,F35,F40,F41)</f>
        <v>1373729.3712239901</v>
      </c>
      <c r="G45" s="171">
        <f>I30</f>
        <v>826771.72</v>
      </c>
      <c r="H45" s="58"/>
      <c r="K45" s="158"/>
      <c r="M45" s="58"/>
    </row>
    <row r="46" spans="1:13" x14ac:dyDescent="0.35">
      <c r="F46" s="58"/>
    </row>
  </sheetData>
  <mergeCells count="22">
    <mergeCell ref="A31:G31"/>
    <mergeCell ref="A29:E29"/>
    <mergeCell ref="A26:F26"/>
    <mergeCell ref="A1:F1"/>
    <mergeCell ref="A3:F3"/>
    <mergeCell ref="A4:F4"/>
    <mergeCell ref="A7:F7"/>
    <mergeCell ref="A10:F10"/>
    <mergeCell ref="A11:F11"/>
    <mergeCell ref="A12:F12"/>
    <mergeCell ref="A15:F15"/>
    <mergeCell ref="A16:F16"/>
    <mergeCell ref="A19:F19"/>
    <mergeCell ref="A22:E22"/>
    <mergeCell ref="A23:E23"/>
    <mergeCell ref="A38:F38"/>
    <mergeCell ref="A40:D40"/>
    <mergeCell ref="A41:D41"/>
    <mergeCell ref="A45:E45"/>
    <mergeCell ref="A32:F32"/>
    <mergeCell ref="A34:D34"/>
    <mergeCell ref="A35:D35"/>
  </mergeCells>
  <pageMargins left="0.98425196850393704" right="0.78740157480314965" top="2.1653543307086616" bottom="1.1811023622047243" header="0.31496062992125984" footer="0.31496062992125984"/>
  <pageSetup paperSize="9" scale="68" orientation="portrait" r:id="rId1"/>
  <colBreaks count="1" manualBreakCount="1">
    <brk id="6" max="5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8"/>
  <sheetViews>
    <sheetView view="pageBreakPreview" zoomScaleNormal="100" zoomScaleSheetLayoutView="100" workbookViewId="0">
      <selection activeCell="D22" sqref="D22"/>
    </sheetView>
  </sheetViews>
  <sheetFormatPr defaultRowHeight="16" x14ac:dyDescent="0.45"/>
  <cols>
    <col min="1" max="1" width="21.54296875" style="110" customWidth="1"/>
    <col min="2" max="2" width="8.26953125" style="110" customWidth="1"/>
    <col min="3" max="3" width="15.54296875" style="110" customWidth="1"/>
    <col min="4" max="4" width="21" style="110" customWidth="1"/>
    <col min="5" max="5" width="1.7265625" style="110" customWidth="1"/>
    <col min="6" max="6" width="9.1796875" style="110"/>
    <col min="7" max="7" width="18.7265625" style="110" customWidth="1"/>
    <col min="8" max="256" width="9.1796875" style="110"/>
    <col min="257" max="257" width="21.54296875" style="110" customWidth="1"/>
    <col min="258" max="258" width="8.26953125" style="110" customWidth="1"/>
    <col min="259" max="259" width="15.54296875" style="110" customWidth="1"/>
    <col min="260" max="260" width="21" style="110" customWidth="1"/>
    <col min="261" max="261" width="1.7265625" style="110" customWidth="1"/>
    <col min="262" max="262" width="9.1796875" style="110"/>
    <col min="263" max="263" width="9.54296875" style="110" customWidth="1"/>
    <col min="264" max="512" width="9.1796875" style="110"/>
    <col min="513" max="513" width="21.54296875" style="110" customWidth="1"/>
    <col min="514" max="514" width="8.26953125" style="110" customWidth="1"/>
    <col min="515" max="515" width="15.54296875" style="110" customWidth="1"/>
    <col min="516" max="516" width="21" style="110" customWidth="1"/>
    <col min="517" max="517" width="1.7265625" style="110" customWidth="1"/>
    <col min="518" max="518" width="9.1796875" style="110"/>
    <col min="519" max="519" width="9.54296875" style="110" customWidth="1"/>
    <col min="520" max="768" width="9.1796875" style="110"/>
    <col min="769" max="769" width="21.54296875" style="110" customWidth="1"/>
    <col min="770" max="770" width="8.26953125" style="110" customWidth="1"/>
    <col min="771" max="771" width="15.54296875" style="110" customWidth="1"/>
    <col min="772" max="772" width="21" style="110" customWidth="1"/>
    <col min="773" max="773" width="1.7265625" style="110" customWidth="1"/>
    <col min="774" max="774" width="9.1796875" style="110"/>
    <col min="775" max="775" width="9.54296875" style="110" customWidth="1"/>
    <col min="776" max="1024" width="9.1796875" style="110"/>
    <col min="1025" max="1025" width="21.54296875" style="110" customWidth="1"/>
    <col min="1026" max="1026" width="8.26953125" style="110" customWidth="1"/>
    <col min="1027" max="1027" width="15.54296875" style="110" customWidth="1"/>
    <col min="1028" max="1028" width="21" style="110" customWidth="1"/>
    <col min="1029" max="1029" width="1.7265625" style="110" customWidth="1"/>
    <col min="1030" max="1030" width="9.1796875" style="110"/>
    <col min="1031" max="1031" width="9.54296875" style="110" customWidth="1"/>
    <col min="1032" max="1280" width="9.1796875" style="110"/>
    <col min="1281" max="1281" width="21.54296875" style="110" customWidth="1"/>
    <col min="1282" max="1282" width="8.26953125" style="110" customWidth="1"/>
    <col min="1283" max="1283" width="15.54296875" style="110" customWidth="1"/>
    <col min="1284" max="1284" width="21" style="110" customWidth="1"/>
    <col min="1285" max="1285" width="1.7265625" style="110" customWidth="1"/>
    <col min="1286" max="1286" width="9.1796875" style="110"/>
    <col min="1287" max="1287" width="9.54296875" style="110" customWidth="1"/>
    <col min="1288" max="1536" width="9.1796875" style="110"/>
    <col min="1537" max="1537" width="21.54296875" style="110" customWidth="1"/>
    <col min="1538" max="1538" width="8.26953125" style="110" customWidth="1"/>
    <col min="1539" max="1539" width="15.54296875" style="110" customWidth="1"/>
    <col min="1540" max="1540" width="21" style="110" customWidth="1"/>
    <col min="1541" max="1541" width="1.7265625" style="110" customWidth="1"/>
    <col min="1542" max="1542" width="9.1796875" style="110"/>
    <col min="1543" max="1543" width="9.54296875" style="110" customWidth="1"/>
    <col min="1544" max="1792" width="9.1796875" style="110"/>
    <col min="1793" max="1793" width="21.54296875" style="110" customWidth="1"/>
    <col min="1794" max="1794" width="8.26953125" style="110" customWidth="1"/>
    <col min="1795" max="1795" width="15.54296875" style="110" customWidth="1"/>
    <col min="1796" max="1796" width="21" style="110" customWidth="1"/>
    <col min="1797" max="1797" width="1.7265625" style="110" customWidth="1"/>
    <col min="1798" max="1798" width="9.1796875" style="110"/>
    <col min="1799" max="1799" width="9.54296875" style="110" customWidth="1"/>
    <col min="1800" max="2048" width="9.1796875" style="110"/>
    <col min="2049" max="2049" width="21.54296875" style="110" customWidth="1"/>
    <col min="2050" max="2050" width="8.26953125" style="110" customWidth="1"/>
    <col min="2051" max="2051" width="15.54296875" style="110" customWidth="1"/>
    <col min="2052" max="2052" width="21" style="110" customWidth="1"/>
    <col min="2053" max="2053" width="1.7265625" style="110" customWidth="1"/>
    <col min="2054" max="2054" width="9.1796875" style="110"/>
    <col min="2055" max="2055" width="9.54296875" style="110" customWidth="1"/>
    <col min="2056" max="2304" width="9.1796875" style="110"/>
    <col min="2305" max="2305" width="21.54296875" style="110" customWidth="1"/>
    <col min="2306" max="2306" width="8.26953125" style="110" customWidth="1"/>
    <col min="2307" max="2307" width="15.54296875" style="110" customWidth="1"/>
    <col min="2308" max="2308" width="21" style="110" customWidth="1"/>
    <col min="2309" max="2309" width="1.7265625" style="110" customWidth="1"/>
    <col min="2310" max="2310" width="9.1796875" style="110"/>
    <col min="2311" max="2311" width="9.54296875" style="110" customWidth="1"/>
    <col min="2312" max="2560" width="9.1796875" style="110"/>
    <col min="2561" max="2561" width="21.54296875" style="110" customWidth="1"/>
    <col min="2562" max="2562" width="8.26953125" style="110" customWidth="1"/>
    <col min="2563" max="2563" width="15.54296875" style="110" customWidth="1"/>
    <col min="2564" max="2564" width="21" style="110" customWidth="1"/>
    <col min="2565" max="2565" width="1.7265625" style="110" customWidth="1"/>
    <col min="2566" max="2566" width="9.1796875" style="110"/>
    <col min="2567" max="2567" width="9.54296875" style="110" customWidth="1"/>
    <col min="2568" max="2816" width="9.1796875" style="110"/>
    <col min="2817" max="2817" width="21.54296875" style="110" customWidth="1"/>
    <col min="2818" max="2818" width="8.26953125" style="110" customWidth="1"/>
    <col min="2819" max="2819" width="15.54296875" style="110" customWidth="1"/>
    <col min="2820" max="2820" width="21" style="110" customWidth="1"/>
    <col min="2821" max="2821" width="1.7265625" style="110" customWidth="1"/>
    <col min="2822" max="2822" width="9.1796875" style="110"/>
    <col min="2823" max="2823" width="9.54296875" style="110" customWidth="1"/>
    <col min="2824" max="3072" width="9.1796875" style="110"/>
    <col min="3073" max="3073" width="21.54296875" style="110" customWidth="1"/>
    <col min="3074" max="3074" width="8.26953125" style="110" customWidth="1"/>
    <col min="3075" max="3075" width="15.54296875" style="110" customWidth="1"/>
    <col min="3076" max="3076" width="21" style="110" customWidth="1"/>
    <col min="3077" max="3077" width="1.7265625" style="110" customWidth="1"/>
    <col min="3078" max="3078" width="9.1796875" style="110"/>
    <col min="3079" max="3079" width="9.54296875" style="110" customWidth="1"/>
    <col min="3080" max="3328" width="9.1796875" style="110"/>
    <col min="3329" max="3329" width="21.54296875" style="110" customWidth="1"/>
    <col min="3330" max="3330" width="8.26953125" style="110" customWidth="1"/>
    <col min="3331" max="3331" width="15.54296875" style="110" customWidth="1"/>
    <col min="3332" max="3332" width="21" style="110" customWidth="1"/>
    <col min="3333" max="3333" width="1.7265625" style="110" customWidth="1"/>
    <col min="3334" max="3334" width="9.1796875" style="110"/>
    <col min="3335" max="3335" width="9.54296875" style="110" customWidth="1"/>
    <col min="3336" max="3584" width="9.1796875" style="110"/>
    <col min="3585" max="3585" width="21.54296875" style="110" customWidth="1"/>
    <col min="3586" max="3586" width="8.26953125" style="110" customWidth="1"/>
    <col min="3587" max="3587" width="15.54296875" style="110" customWidth="1"/>
    <col min="3588" max="3588" width="21" style="110" customWidth="1"/>
    <col min="3589" max="3589" width="1.7265625" style="110" customWidth="1"/>
    <col min="3590" max="3590" width="9.1796875" style="110"/>
    <col min="3591" max="3591" width="9.54296875" style="110" customWidth="1"/>
    <col min="3592" max="3840" width="9.1796875" style="110"/>
    <col min="3841" max="3841" width="21.54296875" style="110" customWidth="1"/>
    <col min="3842" max="3842" width="8.26953125" style="110" customWidth="1"/>
    <col min="3843" max="3843" width="15.54296875" style="110" customWidth="1"/>
    <col min="3844" max="3844" width="21" style="110" customWidth="1"/>
    <col min="3845" max="3845" width="1.7265625" style="110" customWidth="1"/>
    <col min="3846" max="3846" width="9.1796875" style="110"/>
    <col min="3847" max="3847" width="9.54296875" style="110" customWidth="1"/>
    <col min="3848" max="4096" width="9.1796875" style="110"/>
    <col min="4097" max="4097" width="21.54296875" style="110" customWidth="1"/>
    <col min="4098" max="4098" width="8.26953125" style="110" customWidth="1"/>
    <col min="4099" max="4099" width="15.54296875" style="110" customWidth="1"/>
    <col min="4100" max="4100" width="21" style="110" customWidth="1"/>
    <col min="4101" max="4101" width="1.7265625" style="110" customWidth="1"/>
    <col min="4102" max="4102" width="9.1796875" style="110"/>
    <col min="4103" max="4103" width="9.54296875" style="110" customWidth="1"/>
    <col min="4104" max="4352" width="9.1796875" style="110"/>
    <col min="4353" max="4353" width="21.54296875" style="110" customWidth="1"/>
    <col min="4354" max="4354" width="8.26953125" style="110" customWidth="1"/>
    <col min="4355" max="4355" width="15.54296875" style="110" customWidth="1"/>
    <col min="4356" max="4356" width="21" style="110" customWidth="1"/>
    <col min="4357" max="4357" width="1.7265625" style="110" customWidth="1"/>
    <col min="4358" max="4358" width="9.1796875" style="110"/>
    <col min="4359" max="4359" width="9.54296875" style="110" customWidth="1"/>
    <col min="4360" max="4608" width="9.1796875" style="110"/>
    <col min="4609" max="4609" width="21.54296875" style="110" customWidth="1"/>
    <col min="4610" max="4610" width="8.26953125" style="110" customWidth="1"/>
    <col min="4611" max="4611" width="15.54296875" style="110" customWidth="1"/>
    <col min="4612" max="4612" width="21" style="110" customWidth="1"/>
    <col min="4613" max="4613" width="1.7265625" style="110" customWidth="1"/>
    <col min="4614" max="4614" width="9.1796875" style="110"/>
    <col min="4615" max="4615" width="9.54296875" style="110" customWidth="1"/>
    <col min="4616" max="4864" width="9.1796875" style="110"/>
    <col min="4865" max="4865" width="21.54296875" style="110" customWidth="1"/>
    <col min="4866" max="4866" width="8.26953125" style="110" customWidth="1"/>
    <col min="4867" max="4867" width="15.54296875" style="110" customWidth="1"/>
    <col min="4868" max="4868" width="21" style="110" customWidth="1"/>
    <col min="4869" max="4869" width="1.7265625" style="110" customWidth="1"/>
    <col min="4870" max="4870" width="9.1796875" style="110"/>
    <col min="4871" max="4871" width="9.54296875" style="110" customWidth="1"/>
    <col min="4872" max="5120" width="9.1796875" style="110"/>
    <col min="5121" max="5121" width="21.54296875" style="110" customWidth="1"/>
    <col min="5122" max="5122" width="8.26953125" style="110" customWidth="1"/>
    <col min="5123" max="5123" width="15.54296875" style="110" customWidth="1"/>
    <col min="5124" max="5124" width="21" style="110" customWidth="1"/>
    <col min="5125" max="5125" width="1.7265625" style="110" customWidth="1"/>
    <col min="5126" max="5126" width="9.1796875" style="110"/>
    <col min="5127" max="5127" width="9.54296875" style="110" customWidth="1"/>
    <col min="5128" max="5376" width="9.1796875" style="110"/>
    <col min="5377" max="5377" width="21.54296875" style="110" customWidth="1"/>
    <col min="5378" max="5378" width="8.26953125" style="110" customWidth="1"/>
    <col min="5379" max="5379" width="15.54296875" style="110" customWidth="1"/>
    <col min="5380" max="5380" width="21" style="110" customWidth="1"/>
    <col min="5381" max="5381" width="1.7265625" style="110" customWidth="1"/>
    <col min="5382" max="5382" width="9.1796875" style="110"/>
    <col min="5383" max="5383" width="9.54296875" style="110" customWidth="1"/>
    <col min="5384" max="5632" width="9.1796875" style="110"/>
    <col min="5633" max="5633" width="21.54296875" style="110" customWidth="1"/>
    <col min="5634" max="5634" width="8.26953125" style="110" customWidth="1"/>
    <col min="5635" max="5635" width="15.54296875" style="110" customWidth="1"/>
    <col min="5636" max="5636" width="21" style="110" customWidth="1"/>
    <col min="5637" max="5637" width="1.7265625" style="110" customWidth="1"/>
    <col min="5638" max="5638" width="9.1796875" style="110"/>
    <col min="5639" max="5639" width="9.54296875" style="110" customWidth="1"/>
    <col min="5640" max="5888" width="9.1796875" style="110"/>
    <col min="5889" max="5889" width="21.54296875" style="110" customWidth="1"/>
    <col min="5890" max="5890" width="8.26953125" style="110" customWidth="1"/>
    <col min="5891" max="5891" width="15.54296875" style="110" customWidth="1"/>
    <col min="5892" max="5892" width="21" style="110" customWidth="1"/>
    <col min="5893" max="5893" width="1.7265625" style="110" customWidth="1"/>
    <col min="5894" max="5894" width="9.1796875" style="110"/>
    <col min="5895" max="5895" width="9.54296875" style="110" customWidth="1"/>
    <col min="5896" max="6144" width="9.1796875" style="110"/>
    <col min="6145" max="6145" width="21.54296875" style="110" customWidth="1"/>
    <col min="6146" max="6146" width="8.26953125" style="110" customWidth="1"/>
    <col min="6147" max="6147" width="15.54296875" style="110" customWidth="1"/>
    <col min="6148" max="6148" width="21" style="110" customWidth="1"/>
    <col min="6149" max="6149" width="1.7265625" style="110" customWidth="1"/>
    <col min="6150" max="6150" width="9.1796875" style="110"/>
    <col min="6151" max="6151" width="9.54296875" style="110" customWidth="1"/>
    <col min="6152" max="6400" width="9.1796875" style="110"/>
    <col min="6401" max="6401" width="21.54296875" style="110" customWidth="1"/>
    <col min="6402" max="6402" width="8.26953125" style="110" customWidth="1"/>
    <col min="6403" max="6403" width="15.54296875" style="110" customWidth="1"/>
    <col min="6404" max="6404" width="21" style="110" customWidth="1"/>
    <col min="6405" max="6405" width="1.7265625" style="110" customWidth="1"/>
    <col min="6406" max="6406" width="9.1796875" style="110"/>
    <col min="6407" max="6407" width="9.54296875" style="110" customWidth="1"/>
    <col min="6408" max="6656" width="9.1796875" style="110"/>
    <col min="6657" max="6657" width="21.54296875" style="110" customWidth="1"/>
    <col min="6658" max="6658" width="8.26953125" style="110" customWidth="1"/>
    <col min="6659" max="6659" width="15.54296875" style="110" customWidth="1"/>
    <col min="6660" max="6660" width="21" style="110" customWidth="1"/>
    <col min="6661" max="6661" width="1.7265625" style="110" customWidth="1"/>
    <col min="6662" max="6662" width="9.1796875" style="110"/>
    <col min="6663" max="6663" width="9.54296875" style="110" customWidth="1"/>
    <col min="6664" max="6912" width="9.1796875" style="110"/>
    <col min="6913" max="6913" width="21.54296875" style="110" customWidth="1"/>
    <col min="6914" max="6914" width="8.26953125" style="110" customWidth="1"/>
    <col min="6915" max="6915" width="15.54296875" style="110" customWidth="1"/>
    <col min="6916" max="6916" width="21" style="110" customWidth="1"/>
    <col min="6917" max="6917" width="1.7265625" style="110" customWidth="1"/>
    <col min="6918" max="6918" width="9.1796875" style="110"/>
    <col min="6919" max="6919" width="9.54296875" style="110" customWidth="1"/>
    <col min="6920" max="7168" width="9.1796875" style="110"/>
    <col min="7169" max="7169" width="21.54296875" style="110" customWidth="1"/>
    <col min="7170" max="7170" width="8.26953125" style="110" customWidth="1"/>
    <col min="7171" max="7171" width="15.54296875" style="110" customWidth="1"/>
    <col min="7172" max="7172" width="21" style="110" customWidth="1"/>
    <col min="7173" max="7173" width="1.7265625" style="110" customWidth="1"/>
    <col min="7174" max="7174" width="9.1796875" style="110"/>
    <col min="7175" max="7175" width="9.54296875" style="110" customWidth="1"/>
    <col min="7176" max="7424" width="9.1796875" style="110"/>
    <col min="7425" max="7425" width="21.54296875" style="110" customWidth="1"/>
    <col min="7426" max="7426" width="8.26953125" style="110" customWidth="1"/>
    <col min="7427" max="7427" width="15.54296875" style="110" customWidth="1"/>
    <col min="7428" max="7428" width="21" style="110" customWidth="1"/>
    <col min="7429" max="7429" width="1.7265625" style="110" customWidth="1"/>
    <col min="7430" max="7430" width="9.1796875" style="110"/>
    <col min="7431" max="7431" width="9.54296875" style="110" customWidth="1"/>
    <col min="7432" max="7680" width="9.1796875" style="110"/>
    <col min="7681" max="7681" width="21.54296875" style="110" customWidth="1"/>
    <col min="7682" max="7682" width="8.26953125" style="110" customWidth="1"/>
    <col min="7683" max="7683" width="15.54296875" style="110" customWidth="1"/>
    <col min="7684" max="7684" width="21" style="110" customWidth="1"/>
    <col min="7685" max="7685" width="1.7265625" style="110" customWidth="1"/>
    <col min="7686" max="7686" width="9.1796875" style="110"/>
    <col min="7687" max="7687" width="9.54296875" style="110" customWidth="1"/>
    <col min="7688" max="7936" width="9.1796875" style="110"/>
    <col min="7937" max="7937" width="21.54296875" style="110" customWidth="1"/>
    <col min="7938" max="7938" width="8.26953125" style="110" customWidth="1"/>
    <col min="7939" max="7939" width="15.54296875" style="110" customWidth="1"/>
    <col min="7940" max="7940" width="21" style="110" customWidth="1"/>
    <col min="7941" max="7941" width="1.7265625" style="110" customWidth="1"/>
    <col min="7942" max="7942" width="9.1796875" style="110"/>
    <col min="7943" max="7943" width="9.54296875" style="110" customWidth="1"/>
    <col min="7944" max="8192" width="9.1796875" style="110"/>
    <col min="8193" max="8193" width="21.54296875" style="110" customWidth="1"/>
    <col min="8194" max="8194" width="8.26953125" style="110" customWidth="1"/>
    <col min="8195" max="8195" width="15.54296875" style="110" customWidth="1"/>
    <col min="8196" max="8196" width="21" style="110" customWidth="1"/>
    <col min="8197" max="8197" width="1.7265625" style="110" customWidth="1"/>
    <col min="8198" max="8198" width="9.1796875" style="110"/>
    <col min="8199" max="8199" width="9.54296875" style="110" customWidth="1"/>
    <col min="8200" max="8448" width="9.1796875" style="110"/>
    <col min="8449" max="8449" width="21.54296875" style="110" customWidth="1"/>
    <col min="8450" max="8450" width="8.26953125" style="110" customWidth="1"/>
    <col min="8451" max="8451" width="15.54296875" style="110" customWidth="1"/>
    <col min="8452" max="8452" width="21" style="110" customWidth="1"/>
    <col min="8453" max="8453" width="1.7265625" style="110" customWidth="1"/>
    <col min="8454" max="8454" width="9.1796875" style="110"/>
    <col min="8455" max="8455" width="9.54296875" style="110" customWidth="1"/>
    <col min="8456" max="8704" width="9.1796875" style="110"/>
    <col min="8705" max="8705" width="21.54296875" style="110" customWidth="1"/>
    <col min="8706" max="8706" width="8.26953125" style="110" customWidth="1"/>
    <col min="8707" max="8707" width="15.54296875" style="110" customWidth="1"/>
    <col min="8708" max="8708" width="21" style="110" customWidth="1"/>
    <col min="8709" max="8709" width="1.7265625" style="110" customWidth="1"/>
    <col min="8710" max="8710" width="9.1796875" style="110"/>
    <col min="8711" max="8711" width="9.54296875" style="110" customWidth="1"/>
    <col min="8712" max="8960" width="9.1796875" style="110"/>
    <col min="8961" max="8961" width="21.54296875" style="110" customWidth="1"/>
    <col min="8962" max="8962" width="8.26953125" style="110" customWidth="1"/>
    <col min="8963" max="8963" width="15.54296875" style="110" customWidth="1"/>
    <col min="8964" max="8964" width="21" style="110" customWidth="1"/>
    <col min="8965" max="8965" width="1.7265625" style="110" customWidth="1"/>
    <col min="8966" max="8966" width="9.1796875" style="110"/>
    <col min="8967" max="8967" width="9.54296875" style="110" customWidth="1"/>
    <col min="8968" max="9216" width="9.1796875" style="110"/>
    <col min="9217" max="9217" width="21.54296875" style="110" customWidth="1"/>
    <col min="9218" max="9218" width="8.26953125" style="110" customWidth="1"/>
    <col min="9219" max="9219" width="15.54296875" style="110" customWidth="1"/>
    <col min="9220" max="9220" width="21" style="110" customWidth="1"/>
    <col min="9221" max="9221" width="1.7265625" style="110" customWidth="1"/>
    <col min="9222" max="9222" width="9.1796875" style="110"/>
    <col min="9223" max="9223" width="9.54296875" style="110" customWidth="1"/>
    <col min="9224" max="9472" width="9.1796875" style="110"/>
    <col min="9473" max="9473" width="21.54296875" style="110" customWidth="1"/>
    <col min="9474" max="9474" width="8.26953125" style="110" customWidth="1"/>
    <col min="9475" max="9475" width="15.54296875" style="110" customWidth="1"/>
    <col min="9476" max="9476" width="21" style="110" customWidth="1"/>
    <col min="9477" max="9477" width="1.7265625" style="110" customWidth="1"/>
    <col min="9478" max="9478" width="9.1796875" style="110"/>
    <col min="9479" max="9479" width="9.54296875" style="110" customWidth="1"/>
    <col min="9480" max="9728" width="9.1796875" style="110"/>
    <col min="9729" max="9729" width="21.54296875" style="110" customWidth="1"/>
    <col min="9730" max="9730" width="8.26953125" style="110" customWidth="1"/>
    <col min="9731" max="9731" width="15.54296875" style="110" customWidth="1"/>
    <col min="9732" max="9732" width="21" style="110" customWidth="1"/>
    <col min="9733" max="9733" width="1.7265625" style="110" customWidth="1"/>
    <col min="9734" max="9734" width="9.1796875" style="110"/>
    <col min="9735" max="9735" width="9.54296875" style="110" customWidth="1"/>
    <col min="9736" max="9984" width="9.1796875" style="110"/>
    <col min="9985" max="9985" width="21.54296875" style="110" customWidth="1"/>
    <col min="9986" max="9986" width="8.26953125" style="110" customWidth="1"/>
    <col min="9987" max="9987" width="15.54296875" style="110" customWidth="1"/>
    <col min="9988" max="9988" width="21" style="110" customWidth="1"/>
    <col min="9989" max="9989" width="1.7265625" style="110" customWidth="1"/>
    <col min="9990" max="9990" width="9.1796875" style="110"/>
    <col min="9991" max="9991" width="9.54296875" style="110" customWidth="1"/>
    <col min="9992" max="10240" width="9.1796875" style="110"/>
    <col min="10241" max="10241" width="21.54296875" style="110" customWidth="1"/>
    <col min="10242" max="10242" width="8.26953125" style="110" customWidth="1"/>
    <col min="10243" max="10243" width="15.54296875" style="110" customWidth="1"/>
    <col min="10244" max="10244" width="21" style="110" customWidth="1"/>
    <col min="10245" max="10245" width="1.7265625" style="110" customWidth="1"/>
    <col min="10246" max="10246" width="9.1796875" style="110"/>
    <col min="10247" max="10247" width="9.54296875" style="110" customWidth="1"/>
    <col min="10248" max="10496" width="9.1796875" style="110"/>
    <col min="10497" max="10497" width="21.54296875" style="110" customWidth="1"/>
    <col min="10498" max="10498" width="8.26953125" style="110" customWidth="1"/>
    <col min="10499" max="10499" width="15.54296875" style="110" customWidth="1"/>
    <col min="10500" max="10500" width="21" style="110" customWidth="1"/>
    <col min="10501" max="10501" width="1.7265625" style="110" customWidth="1"/>
    <col min="10502" max="10502" width="9.1796875" style="110"/>
    <col min="10503" max="10503" width="9.54296875" style="110" customWidth="1"/>
    <col min="10504" max="10752" width="9.1796875" style="110"/>
    <col min="10753" max="10753" width="21.54296875" style="110" customWidth="1"/>
    <col min="10754" max="10754" width="8.26953125" style="110" customWidth="1"/>
    <col min="10755" max="10755" width="15.54296875" style="110" customWidth="1"/>
    <col min="10756" max="10756" width="21" style="110" customWidth="1"/>
    <col min="10757" max="10757" width="1.7265625" style="110" customWidth="1"/>
    <col min="10758" max="10758" width="9.1796875" style="110"/>
    <col min="10759" max="10759" width="9.54296875" style="110" customWidth="1"/>
    <col min="10760" max="11008" width="9.1796875" style="110"/>
    <col min="11009" max="11009" width="21.54296875" style="110" customWidth="1"/>
    <col min="11010" max="11010" width="8.26953125" style="110" customWidth="1"/>
    <col min="11011" max="11011" width="15.54296875" style="110" customWidth="1"/>
    <col min="11012" max="11012" width="21" style="110" customWidth="1"/>
    <col min="11013" max="11013" width="1.7265625" style="110" customWidth="1"/>
    <col min="11014" max="11014" width="9.1796875" style="110"/>
    <col min="11015" max="11015" width="9.54296875" style="110" customWidth="1"/>
    <col min="11016" max="11264" width="9.1796875" style="110"/>
    <col min="11265" max="11265" width="21.54296875" style="110" customWidth="1"/>
    <col min="11266" max="11266" width="8.26953125" style="110" customWidth="1"/>
    <col min="11267" max="11267" width="15.54296875" style="110" customWidth="1"/>
    <col min="11268" max="11268" width="21" style="110" customWidth="1"/>
    <col min="11269" max="11269" width="1.7265625" style="110" customWidth="1"/>
    <col min="11270" max="11270" width="9.1796875" style="110"/>
    <col min="11271" max="11271" width="9.54296875" style="110" customWidth="1"/>
    <col min="11272" max="11520" width="9.1796875" style="110"/>
    <col min="11521" max="11521" width="21.54296875" style="110" customWidth="1"/>
    <col min="11522" max="11522" width="8.26953125" style="110" customWidth="1"/>
    <col min="11523" max="11523" width="15.54296875" style="110" customWidth="1"/>
    <col min="11524" max="11524" width="21" style="110" customWidth="1"/>
    <col min="11525" max="11525" width="1.7265625" style="110" customWidth="1"/>
    <col min="11526" max="11526" width="9.1796875" style="110"/>
    <col min="11527" max="11527" width="9.54296875" style="110" customWidth="1"/>
    <col min="11528" max="11776" width="9.1796875" style="110"/>
    <col min="11777" max="11777" width="21.54296875" style="110" customWidth="1"/>
    <col min="11778" max="11778" width="8.26953125" style="110" customWidth="1"/>
    <col min="11779" max="11779" width="15.54296875" style="110" customWidth="1"/>
    <col min="11780" max="11780" width="21" style="110" customWidth="1"/>
    <col min="11781" max="11781" width="1.7265625" style="110" customWidth="1"/>
    <col min="11782" max="11782" width="9.1796875" style="110"/>
    <col min="11783" max="11783" width="9.54296875" style="110" customWidth="1"/>
    <col min="11784" max="12032" width="9.1796875" style="110"/>
    <col min="12033" max="12033" width="21.54296875" style="110" customWidth="1"/>
    <col min="12034" max="12034" width="8.26953125" style="110" customWidth="1"/>
    <col min="12035" max="12035" width="15.54296875" style="110" customWidth="1"/>
    <col min="12036" max="12036" width="21" style="110" customWidth="1"/>
    <col min="12037" max="12037" width="1.7265625" style="110" customWidth="1"/>
    <col min="12038" max="12038" width="9.1796875" style="110"/>
    <col min="12039" max="12039" width="9.54296875" style="110" customWidth="1"/>
    <col min="12040" max="12288" width="9.1796875" style="110"/>
    <col min="12289" max="12289" width="21.54296875" style="110" customWidth="1"/>
    <col min="12290" max="12290" width="8.26953125" style="110" customWidth="1"/>
    <col min="12291" max="12291" width="15.54296875" style="110" customWidth="1"/>
    <col min="12292" max="12292" width="21" style="110" customWidth="1"/>
    <col min="12293" max="12293" width="1.7265625" style="110" customWidth="1"/>
    <col min="12294" max="12294" width="9.1796875" style="110"/>
    <col min="12295" max="12295" width="9.54296875" style="110" customWidth="1"/>
    <col min="12296" max="12544" width="9.1796875" style="110"/>
    <col min="12545" max="12545" width="21.54296875" style="110" customWidth="1"/>
    <col min="12546" max="12546" width="8.26953125" style="110" customWidth="1"/>
    <col min="12547" max="12547" width="15.54296875" style="110" customWidth="1"/>
    <col min="12548" max="12548" width="21" style="110" customWidth="1"/>
    <col min="12549" max="12549" width="1.7265625" style="110" customWidth="1"/>
    <col min="12550" max="12550" width="9.1796875" style="110"/>
    <col min="12551" max="12551" width="9.54296875" style="110" customWidth="1"/>
    <col min="12552" max="12800" width="9.1796875" style="110"/>
    <col min="12801" max="12801" width="21.54296875" style="110" customWidth="1"/>
    <col min="12802" max="12802" width="8.26953125" style="110" customWidth="1"/>
    <col min="12803" max="12803" width="15.54296875" style="110" customWidth="1"/>
    <col min="12804" max="12804" width="21" style="110" customWidth="1"/>
    <col min="12805" max="12805" width="1.7265625" style="110" customWidth="1"/>
    <col min="12806" max="12806" width="9.1796875" style="110"/>
    <col min="12807" max="12807" width="9.54296875" style="110" customWidth="1"/>
    <col min="12808" max="13056" width="9.1796875" style="110"/>
    <col min="13057" max="13057" width="21.54296875" style="110" customWidth="1"/>
    <col min="13058" max="13058" width="8.26953125" style="110" customWidth="1"/>
    <col min="13059" max="13059" width="15.54296875" style="110" customWidth="1"/>
    <col min="13060" max="13060" width="21" style="110" customWidth="1"/>
    <col min="13061" max="13061" width="1.7265625" style="110" customWidth="1"/>
    <col min="13062" max="13062" width="9.1796875" style="110"/>
    <col min="13063" max="13063" width="9.54296875" style="110" customWidth="1"/>
    <col min="13064" max="13312" width="9.1796875" style="110"/>
    <col min="13313" max="13313" width="21.54296875" style="110" customWidth="1"/>
    <col min="13314" max="13314" width="8.26953125" style="110" customWidth="1"/>
    <col min="13315" max="13315" width="15.54296875" style="110" customWidth="1"/>
    <col min="13316" max="13316" width="21" style="110" customWidth="1"/>
    <col min="13317" max="13317" width="1.7265625" style="110" customWidth="1"/>
    <col min="13318" max="13318" width="9.1796875" style="110"/>
    <col min="13319" max="13319" width="9.54296875" style="110" customWidth="1"/>
    <col min="13320" max="13568" width="9.1796875" style="110"/>
    <col min="13569" max="13569" width="21.54296875" style="110" customWidth="1"/>
    <col min="13570" max="13570" width="8.26953125" style="110" customWidth="1"/>
    <col min="13571" max="13571" width="15.54296875" style="110" customWidth="1"/>
    <col min="13572" max="13572" width="21" style="110" customWidth="1"/>
    <col min="13573" max="13573" width="1.7265625" style="110" customWidth="1"/>
    <col min="13574" max="13574" width="9.1796875" style="110"/>
    <col min="13575" max="13575" width="9.54296875" style="110" customWidth="1"/>
    <col min="13576" max="13824" width="9.1796875" style="110"/>
    <col min="13825" max="13825" width="21.54296875" style="110" customWidth="1"/>
    <col min="13826" max="13826" width="8.26953125" style="110" customWidth="1"/>
    <col min="13827" max="13827" width="15.54296875" style="110" customWidth="1"/>
    <col min="13828" max="13828" width="21" style="110" customWidth="1"/>
    <col min="13829" max="13829" width="1.7265625" style="110" customWidth="1"/>
    <col min="13830" max="13830" width="9.1796875" style="110"/>
    <col min="13831" max="13831" width="9.54296875" style="110" customWidth="1"/>
    <col min="13832" max="14080" width="9.1796875" style="110"/>
    <col min="14081" max="14081" width="21.54296875" style="110" customWidth="1"/>
    <col min="14082" max="14082" width="8.26953125" style="110" customWidth="1"/>
    <col min="14083" max="14083" width="15.54296875" style="110" customWidth="1"/>
    <col min="14084" max="14084" width="21" style="110" customWidth="1"/>
    <col min="14085" max="14085" width="1.7265625" style="110" customWidth="1"/>
    <col min="14086" max="14086" width="9.1796875" style="110"/>
    <col min="14087" max="14087" width="9.54296875" style="110" customWidth="1"/>
    <col min="14088" max="14336" width="9.1796875" style="110"/>
    <col min="14337" max="14337" width="21.54296875" style="110" customWidth="1"/>
    <col min="14338" max="14338" width="8.26953125" style="110" customWidth="1"/>
    <col min="14339" max="14339" width="15.54296875" style="110" customWidth="1"/>
    <col min="14340" max="14340" width="21" style="110" customWidth="1"/>
    <col min="14341" max="14341" width="1.7265625" style="110" customWidth="1"/>
    <col min="14342" max="14342" width="9.1796875" style="110"/>
    <col min="14343" max="14343" width="9.54296875" style="110" customWidth="1"/>
    <col min="14344" max="14592" width="9.1796875" style="110"/>
    <col min="14593" max="14593" width="21.54296875" style="110" customWidth="1"/>
    <col min="14594" max="14594" width="8.26953125" style="110" customWidth="1"/>
    <col min="14595" max="14595" width="15.54296875" style="110" customWidth="1"/>
    <col min="14596" max="14596" width="21" style="110" customWidth="1"/>
    <col min="14597" max="14597" width="1.7265625" style="110" customWidth="1"/>
    <col min="14598" max="14598" width="9.1796875" style="110"/>
    <col min="14599" max="14599" width="9.54296875" style="110" customWidth="1"/>
    <col min="14600" max="14848" width="9.1796875" style="110"/>
    <col min="14849" max="14849" width="21.54296875" style="110" customWidth="1"/>
    <col min="14850" max="14850" width="8.26953125" style="110" customWidth="1"/>
    <col min="14851" max="14851" width="15.54296875" style="110" customWidth="1"/>
    <col min="14852" max="14852" width="21" style="110" customWidth="1"/>
    <col min="14853" max="14853" width="1.7265625" style="110" customWidth="1"/>
    <col min="14854" max="14854" width="9.1796875" style="110"/>
    <col min="14855" max="14855" width="9.54296875" style="110" customWidth="1"/>
    <col min="14856" max="15104" width="9.1796875" style="110"/>
    <col min="15105" max="15105" width="21.54296875" style="110" customWidth="1"/>
    <col min="15106" max="15106" width="8.26953125" style="110" customWidth="1"/>
    <col min="15107" max="15107" width="15.54296875" style="110" customWidth="1"/>
    <col min="15108" max="15108" width="21" style="110" customWidth="1"/>
    <col min="15109" max="15109" width="1.7265625" style="110" customWidth="1"/>
    <col min="15110" max="15110" width="9.1796875" style="110"/>
    <col min="15111" max="15111" width="9.54296875" style="110" customWidth="1"/>
    <col min="15112" max="15360" width="9.1796875" style="110"/>
    <col min="15361" max="15361" width="21.54296875" style="110" customWidth="1"/>
    <col min="15362" max="15362" width="8.26953125" style="110" customWidth="1"/>
    <col min="15363" max="15363" width="15.54296875" style="110" customWidth="1"/>
    <col min="15364" max="15364" width="21" style="110" customWidth="1"/>
    <col min="15365" max="15365" width="1.7265625" style="110" customWidth="1"/>
    <col min="15366" max="15366" width="9.1796875" style="110"/>
    <col min="15367" max="15367" width="9.54296875" style="110" customWidth="1"/>
    <col min="15368" max="15616" width="9.1796875" style="110"/>
    <col min="15617" max="15617" width="21.54296875" style="110" customWidth="1"/>
    <col min="15618" max="15618" width="8.26953125" style="110" customWidth="1"/>
    <col min="15619" max="15619" width="15.54296875" style="110" customWidth="1"/>
    <col min="15620" max="15620" width="21" style="110" customWidth="1"/>
    <col min="15621" max="15621" width="1.7265625" style="110" customWidth="1"/>
    <col min="15622" max="15622" width="9.1796875" style="110"/>
    <col min="15623" max="15623" width="9.54296875" style="110" customWidth="1"/>
    <col min="15624" max="15872" width="9.1796875" style="110"/>
    <col min="15873" max="15873" width="21.54296875" style="110" customWidth="1"/>
    <col min="15874" max="15874" width="8.26953125" style="110" customWidth="1"/>
    <col min="15875" max="15875" width="15.54296875" style="110" customWidth="1"/>
    <col min="15876" max="15876" width="21" style="110" customWidth="1"/>
    <col min="15877" max="15877" width="1.7265625" style="110" customWidth="1"/>
    <col min="15878" max="15878" width="9.1796875" style="110"/>
    <col min="15879" max="15879" width="9.54296875" style="110" customWidth="1"/>
    <col min="15880" max="16128" width="9.1796875" style="110"/>
    <col min="16129" max="16129" width="21.54296875" style="110" customWidth="1"/>
    <col min="16130" max="16130" width="8.26953125" style="110" customWidth="1"/>
    <col min="16131" max="16131" width="15.54296875" style="110" customWidth="1"/>
    <col min="16132" max="16132" width="21" style="110" customWidth="1"/>
    <col min="16133" max="16133" width="1.7265625" style="110" customWidth="1"/>
    <col min="16134" max="16134" width="9.1796875" style="110"/>
    <col min="16135" max="16135" width="9.54296875" style="110" customWidth="1"/>
    <col min="16136" max="16384" width="9.1796875" style="110"/>
  </cols>
  <sheetData>
    <row r="1" spans="1:7" ht="16.5" x14ac:dyDescent="0.45">
      <c r="A1" s="447" t="s">
        <v>284</v>
      </c>
      <c r="B1" s="447"/>
      <c r="C1" s="447"/>
      <c r="D1" s="447"/>
    </row>
    <row r="2" spans="1:7" ht="16.5" x14ac:dyDescent="0.45">
      <c r="A2" s="448" t="s">
        <v>285</v>
      </c>
      <c r="B2" s="448"/>
      <c r="C2" s="448"/>
      <c r="D2" s="448"/>
    </row>
    <row r="3" spans="1:7" ht="16.5" x14ac:dyDescent="0.45">
      <c r="A3" s="111" t="s">
        <v>1</v>
      </c>
      <c r="B3" s="111" t="s">
        <v>286</v>
      </c>
      <c r="C3" s="111" t="s">
        <v>287</v>
      </c>
      <c r="D3" s="111" t="s">
        <v>288</v>
      </c>
    </row>
    <row r="4" spans="1:7" ht="17.5" x14ac:dyDescent="0.45">
      <c r="A4" s="112" t="s">
        <v>289</v>
      </c>
      <c r="B4" s="113">
        <v>1</v>
      </c>
      <c r="C4" s="114">
        <v>1990</v>
      </c>
      <c r="D4" s="114">
        <f>C4*B4</f>
        <v>1990</v>
      </c>
      <c r="F4" s="115"/>
      <c r="G4" s="115"/>
    </row>
    <row r="5" spans="1:7" ht="17.5" x14ac:dyDescent="0.45">
      <c r="A5" s="442" t="s">
        <v>288</v>
      </c>
      <c r="B5" s="443"/>
      <c r="C5" s="444"/>
      <c r="D5" s="114">
        <f>D4</f>
        <v>1990</v>
      </c>
      <c r="F5" s="449" t="s">
        <v>290</v>
      </c>
      <c r="G5" s="450"/>
    </row>
    <row r="6" spans="1:7" ht="17.5" x14ac:dyDescent="0.45">
      <c r="A6" s="442" t="s">
        <v>291</v>
      </c>
      <c r="B6" s="443"/>
      <c r="C6" s="444"/>
      <c r="D6" s="116">
        <f>D5/F6</f>
        <v>165.83333333333334</v>
      </c>
      <c r="F6" s="451">
        <v>12</v>
      </c>
      <c r="G6" s="452"/>
    </row>
    <row r="7" spans="1:7" ht="16.5" x14ac:dyDescent="0.45">
      <c r="A7" s="442" t="s">
        <v>293</v>
      </c>
      <c r="B7" s="443"/>
      <c r="C7" s="444"/>
      <c r="D7" s="124">
        <f>D6/('Anexo II A.2 - PRODUTIVIDADE'!F27+3)</f>
        <v>7.8968253968253972</v>
      </c>
      <c r="F7" s="445" t="s">
        <v>292</v>
      </c>
      <c r="G7" s="445"/>
    </row>
    <row r="8" spans="1:7" x14ac:dyDescent="0.45">
      <c r="F8" s="446"/>
      <c r="G8" s="446"/>
    </row>
    <row r="10" spans="1:7" hidden="1" x14ac:dyDescent="0.45"/>
    <row r="11" spans="1:7" hidden="1" x14ac:dyDescent="0.45"/>
    <row r="12" spans="1:7" hidden="1" x14ac:dyDescent="0.45"/>
    <row r="13" spans="1:7" hidden="1" x14ac:dyDescent="0.45"/>
    <row r="14" spans="1:7" hidden="1" x14ac:dyDescent="0.45"/>
    <row r="15" spans="1:7" hidden="1" x14ac:dyDescent="0.45"/>
    <row r="16" spans="1:7" hidden="1" x14ac:dyDescent="0.45"/>
    <row r="17" spans="10:10" hidden="1" x14ac:dyDescent="0.45"/>
    <row r="18" spans="10:10" x14ac:dyDescent="0.45">
      <c r="J18" s="125"/>
    </row>
  </sheetData>
  <mergeCells count="8">
    <mergeCell ref="A7:C7"/>
    <mergeCell ref="F7:G8"/>
    <mergeCell ref="A1:D1"/>
    <mergeCell ref="A2:D2"/>
    <mergeCell ref="A5:C5"/>
    <mergeCell ref="F5:G5"/>
    <mergeCell ref="A6:C6"/>
    <mergeCell ref="F6:G6"/>
  </mergeCells>
  <pageMargins left="0.511811024" right="0.511811024" top="1.5319791666666667" bottom="1.0747916666666666" header="0.31496062000000002" footer="0.31496062000000002"/>
  <pageSetup paperSize="9" scale="77" orientation="portrait" r:id="rId1"/>
  <headerFooter>
    <oddHeader>&amp;C&amp;G</oddHeader>
    <oddFooter>&amp;LCNPJ 08.247.960/0001-62
Fone: (61) 3363-7575 - (61) 3052-2579
comercial@realdp.com.br&amp;RCF/DF 07.478.593/001-20
SIBS QD. 01 - CONJ B LOTE 16
CEP: 71.736-102
NÚCLEO BANDEIRANTE - BRASÍLIA-DF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1"/>
  <sheetViews>
    <sheetView view="pageBreakPreview" zoomScaleNormal="100" zoomScaleSheetLayoutView="100" workbookViewId="0">
      <selection activeCell="C24" sqref="C24"/>
    </sheetView>
  </sheetViews>
  <sheetFormatPr defaultColWidth="9.1796875" defaultRowHeight="16" x14ac:dyDescent="0.45"/>
  <cols>
    <col min="1" max="1" width="31.54296875" style="141" customWidth="1"/>
    <col min="2" max="2" width="17" style="142" customWidth="1"/>
    <col min="3" max="3" width="13.453125" style="126" customWidth="1"/>
    <col min="4" max="4" width="15.54296875" style="126" customWidth="1"/>
    <col min="5" max="5" width="19.26953125" style="126" customWidth="1"/>
    <col min="6" max="6" width="15.26953125" style="126" customWidth="1"/>
    <col min="7" max="8" width="9.1796875" style="126"/>
    <col min="9" max="9" width="14.81640625" style="126" customWidth="1"/>
    <col min="10" max="10" width="9.1796875" style="126"/>
    <col min="11" max="11" width="11" style="126" bestFit="1" customWidth="1"/>
    <col min="12" max="12" width="10" style="126" bestFit="1" customWidth="1"/>
    <col min="13" max="16384" width="9.1796875" style="126"/>
  </cols>
  <sheetData>
    <row r="1" spans="1:12" ht="16.5" x14ac:dyDescent="0.45">
      <c r="A1" s="463" t="s">
        <v>299</v>
      </c>
      <c r="B1" s="464"/>
      <c r="C1" s="464"/>
      <c r="D1" s="464"/>
      <c r="E1" s="465"/>
    </row>
    <row r="2" spans="1:12" x14ac:dyDescent="0.45">
      <c r="A2" s="466" t="s">
        <v>300</v>
      </c>
      <c r="B2" s="467" t="s">
        <v>301</v>
      </c>
      <c r="C2" s="467" t="s">
        <v>302</v>
      </c>
      <c r="D2" s="468" t="s">
        <v>303</v>
      </c>
      <c r="E2" s="469"/>
    </row>
    <row r="3" spans="1:12" x14ac:dyDescent="0.45">
      <c r="A3" s="466"/>
      <c r="B3" s="467"/>
      <c r="C3" s="467"/>
      <c r="D3" s="470"/>
      <c r="E3" s="471"/>
    </row>
    <row r="4" spans="1:12" x14ac:dyDescent="0.45">
      <c r="A4" s="127" t="s">
        <v>304</v>
      </c>
      <c r="B4" s="128">
        <v>5</v>
      </c>
      <c r="C4" s="27">
        <v>22</v>
      </c>
      <c r="D4" s="453">
        <f>B4*C4</f>
        <v>110</v>
      </c>
      <c r="E4" s="454"/>
      <c r="F4" s="129"/>
      <c r="I4" s="130"/>
      <c r="J4" s="131"/>
      <c r="K4" s="130"/>
      <c r="L4" s="131"/>
    </row>
    <row r="5" spans="1:12" x14ac:dyDescent="0.45">
      <c r="A5" s="127" t="s">
        <v>305</v>
      </c>
      <c r="B5" s="128">
        <v>5</v>
      </c>
      <c r="C5" s="27">
        <v>22</v>
      </c>
      <c r="D5" s="453">
        <f>B5*C5</f>
        <v>110</v>
      </c>
      <c r="E5" s="454"/>
      <c r="F5" s="129"/>
      <c r="H5" s="132"/>
      <c r="I5" s="130"/>
      <c r="J5" s="131"/>
      <c r="K5" s="130"/>
      <c r="L5" s="131"/>
    </row>
    <row r="6" spans="1:12" ht="16.5" thickBot="1" x14ac:dyDescent="0.5">
      <c r="A6" s="455" t="s">
        <v>306</v>
      </c>
      <c r="B6" s="456"/>
      <c r="C6" s="457"/>
      <c r="D6" s="458">
        <f>D4+D5</f>
        <v>220</v>
      </c>
      <c r="E6" s="459"/>
      <c r="F6" s="129"/>
      <c r="I6" s="130"/>
      <c r="J6" s="131"/>
      <c r="K6" s="130"/>
      <c r="L6" s="131"/>
    </row>
    <row r="7" spans="1:12" ht="16.5" thickBot="1" x14ac:dyDescent="0.5">
      <c r="A7" s="460"/>
      <c r="B7" s="461"/>
      <c r="C7" s="461"/>
      <c r="D7" s="461"/>
      <c r="E7" s="462"/>
      <c r="F7" s="129"/>
      <c r="I7" s="130"/>
      <c r="J7" s="131"/>
      <c r="K7" s="130"/>
      <c r="L7" s="131"/>
    </row>
    <row r="8" spans="1:12" ht="64" x14ac:dyDescent="0.45">
      <c r="A8" s="133" t="s">
        <v>307</v>
      </c>
      <c r="B8" s="134" t="s">
        <v>308</v>
      </c>
      <c r="C8" s="135" t="s">
        <v>309</v>
      </c>
      <c r="D8" s="134" t="s">
        <v>310</v>
      </c>
      <c r="E8" s="136" t="s">
        <v>311</v>
      </c>
      <c r="F8" s="129"/>
      <c r="I8" s="130"/>
      <c r="J8" s="131"/>
      <c r="K8" s="130"/>
      <c r="L8" s="131"/>
    </row>
    <row r="9" spans="1:12" x14ac:dyDescent="0.45">
      <c r="A9" s="137" t="s">
        <v>312</v>
      </c>
      <c r="B9" s="138">
        <v>1121.33</v>
      </c>
      <c r="C9" s="138">
        <f>D6</f>
        <v>220</v>
      </c>
      <c r="D9" s="139">
        <f>B9*6%</f>
        <v>67.279799999999994</v>
      </c>
      <c r="E9" s="140">
        <f>C9-D9</f>
        <v>152.72020000000001</v>
      </c>
      <c r="F9" s="129"/>
      <c r="I9" s="130"/>
      <c r="J9" s="131"/>
      <c r="K9" s="130"/>
      <c r="L9" s="131"/>
    </row>
    <row r="10" spans="1:12" x14ac:dyDescent="0.45">
      <c r="A10" s="148" t="s">
        <v>319</v>
      </c>
      <c r="B10" s="150">
        <v>1121.33</v>
      </c>
      <c r="C10" s="151">
        <f>D6</f>
        <v>220</v>
      </c>
      <c r="D10" s="152">
        <f>B10*6%</f>
        <v>67.279799999999994</v>
      </c>
      <c r="E10" s="153">
        <f>C10-D10</f>
        <v>152.72020000000001</v>
      </c>
      <c r="F10" s="129"/>
      <c r="H10" s="129"/>
    </row>
    <row r="11" spans="1:12" x14ac:dyDescent="0.45">
      <c r="A11" s="149" t="s">
        <v>8</v>
      </c>
      <c r="B11" s="154">
        <v>2242.66</v>
      </c>
      <c r="C11" s="152">
        <f>D6</f>
        <v>220</v>
      </c>
      <c r="D11" s="155">
        <f>B11*6%</f>
        <v>134.55959999999999</v>
      </c>
      <c r="E11" s="156">
        <f>C11-D11</f>
        <v>85.440400000000011</v>
      </c>
    </row>
  </sheetData>
  <mergeCells count="10">
    <mergeCell ref="D5:E5"/>
    <mergeCell ref="A6:C6"/>
    <mergeCell ref="D6:E6"/>
    <mergeCell ref="A7:E7"/>
    <mergeCell ref="A1:E1"/>
    <mergeCell ref="A2:A3"/>
    <mergeCell ref="B2:B3"/>
    <mergeCell ref="C2:C3"/>
    <mergeCell ref="D2:E3"/>
    <mergeCell ref="D4:E4"/>
  </mergeCells>
  <pageMargins left="0.511811024" right="0.511811024" top="0.85708333333333331" bottom="1.0828125" header="0.31496062000000002" footer="0.31496062000000002"/>
  <pageSetup paperSize="9" scale="68" orientation="portrait" r:id="rId1"/>
  <headerFooter>
    <oddHeader>&amp;C&amp;G</oddHeader>
    <oddFooter>&amp;LCNPJ: 08.247.960/0001-62
Fone: (61) 3363-7575 - (61) 3052-2579
comercial@realdp.com.br&amp;RCFDF 07.478.593/001-20
SIBS QD. 01 CONJ. B LOTE 16
CEP: 71.736-102
NÚCLEO BANDEIRANTE - BRASÍLIA - DF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7"/>
  <sheetViews>
    <sheetView view="pageBreakPreview" zoomScale="110" zoomScaleNormal="100" zoomScaleSheetLayoutView="110" workbookViewId="0">
      <selection activeCell="I23" sqref="I23"/>
    </sheetView>
  </sheetViews>
  <sheetFormatPr defaultColWidth="9.1796875" defaultRowHeight="16" x14ac:dyDescent="0.45"/>
  <cols>
    <col min="1" max="1" width="22.1796875" style="141" customWidth="1"/>
    <col min="2" max="2" width="15" style="142" customWidth="1"/>
    <col min="3" max="3" width="9" style="126" customWidth="1"/>
    <col min="4" max="4" width="26.81640625" style="126" customWidth="1"/>
    <col min="5" max="6" width="9.1796875" style="126"/>
    <col min="7" max="7" width="14.81640625" style="126" customWidth="1"/>
    <col min="8" max="8" width="9.1796875" style="126"/>
    <col min="9" max="9" width="11" style="126" bestFit="1" customWidth="1"/>
    <col min="10" max="10" width="10" style="126" bestFit="1" customWidth="1"/>
    <col min="11" max="16384" width="9.1796875" style="126"/>
  </cols>
  <sheetData>
    <row r="1" spans="1:10" ht="14.25" customHeight="1" x14ac:dyDescent="0.45">
      <c r="A1" s="475" t="s">
        <v>313</v>
      </c>
      <c r="B1" s="476"/>
      <c r="C1" s="476"/>
      <c r="D1" s="477"/>
    </row>
    <row r="2" spans="1:10" ht="14.25" customHeight="1" x14ac:dyDescent="0.45">
      <c r="A2" s="478" t="s">
        <v>314</v>
      </c>
      <c r="B2" s="478" t="s">
        <v>315</v>
      </c>
      <c r="C2" s="478" t="s">
        <v>316</v>
      </c>
      <c r="D2" s="480" t="s">
        <v>317</v>
      </c>
    </row>
    <row r="3" spans="1:10" x14ac:dyDescent="0.45">
      <c r="A3" s="479"/>
      <c r="B3" s="479"/>
      <c r="C3" s="479"/>
      <c r="D3" s="481"/>
    </row>
    <row r="4" spans="1:10" x14ac:dyDescent="0.45">
      <c r="A4" s="143"/>
      <c r="B4" s="143"/>
      <c r="C4" s="143"/>
      <c r="D4" s="144"/>
    </row>
    <row r="5" spans="1:10" x14ac:dyDescent="0.45">
      <c r="A5" s="145" t="s">
        <v>318</v>
      </c>
      <c r="B5" s="128">
        <v>29.5</v>
      </c>
      <c r="C5" s="27">
        <v>22</v>
      </c>
      <c r="D5" s="146">
        <f>B5*C5</f>
        <v>649</v>
      </c>
      <c r="G5" s="130"/>
      <c r="H5" s="131"/>
      <c r="I5" s="130"/>
      <c r="J5" s="131"/>
    </row>
    <row r="6" spans="1:10" x14ac:dyDescent="0.45">
      <c r="A6" s="472"/>
      <c r="B6" s="473"/>
      <c r="C6" s="473"/>
      <c r="D6" s="474"/>
      <c r="G6" s="130"/>
      <c r="H6" s="147"/>
      <c r="I6" s="130"/>
      <c r="J6" s="131"/>
    </row>
    <row r="7" spans="1:10" x14ac:dyDescent="0.45">
      <c r="F7" s="129"/>
    </row>
  </sheetData>
  <mergeCells count="6">
    <mergeCell ref="A6:D6"/>
    <mergeCell ref="A1:D1"/>
    <mergeCell ref="A2:A3"/>
    <mergeCell ref="B2:B3"/>
    <mergeCell ref="C2:C3"/>
    <mergeCell ref="D2:D3"/>
  </mergeCells>
  <pageMargins left="0.511811024" right="0.511811024" top="0.85708333333333331" bottom="1.0828125" header="0.31496062000000002" footer="0.31496062000000002"/>
  <pageSetup paperSize="9" scale="68" orientation="portrait" r:id="rId1"/>
  <headerFooter>
    <oddHeader>&amp;C&amp;G</oddHeader>
    <oddFooter>&amp;LCNPJ: 08.247.960/0001-62
Fone: (61) 3363-7575 - (61) 3052-2579
comercial@realdp.com.br&amp;RCFDF 07.478.593/001-20
SIBS QD. 01 CONJ. B LOTE 16
CEP: 71.736-102
NÚCLEO BANDEIRANTE - BRASÍLIA - DF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8"/>
  <sheetViews>
    <sheetView view="pageBreakPreview" zoomScaleNormal="100" zoomScaleSheetLayoutView="100" workbookViewId="0">
      <selection activeCell="F22" sqref="F22"/>
    </sheetView>
  </sheetViews>
  <sheetFormatPr defaultColWidth="9.1796875" defaultRowHeight="16.5" x14ac:dyDescent="0.35"/>
  <cols>
    <col min="1" max="1" width="40.1796875" style="50" customWidth="1"/>
    <col min="2" max="2" width="23.54296875" style="50" customWidth="1"/>
    <col min="3" max="3" width="23.81640625" style="34" customWidth="1"/>
    <col min="4" max="4" width="12.1796875" style="34" bestFit="1" customWidth="1"/>
    <col min="5" max="5" width="17.453125" style="34" customWidth="1"/>
    <col min="6" max="6" width="20.1796875" style="34" customWidth="1"/>
    <col min="7" max="7" width="0.1796875" style="34" customWidth="1"/>
    <col min="8" max="9" width="9.1796875" style="21" customWidth="1"/>
    <col min="10" max="10" width="9.453125" style="21" bestFit="1" customWidth="1"/>
    <col min="11" max="16384" width="9.1796875" style="34"/>
  </cols>
  <sheetData>
    <row r="1" spans="1:11" x14ac:dyDescent="0.35">
      <c r="A1" s="323" t="s">
        <v>420</v>
      </c>
      <c r="B1" s="324"/>
      <c r="C1" s="324"/>
      <c r="D1" s="324"/>
      <c r="E1" s="324"/>
      <c r="F1" s="324"/>
    </row>
    <row r="2" spans="1:11" x14ac:dyDescent="0.35">
      <c r="A2" s="325"/>
      <c r="B2" s="326"/>
      <c r="C2" s="326"/>
      <c r="D2" s="326"/>
      <c r="E2" s="326"/>
      <c r="F2" s="326"/>
    </row>
    <row r="3" spans="1:11" ht="33" x14ac:dyDescent="0.35">
      <c r="A3" s="35" t="s">
        <v>23</v>
      </c>
      <c r="B3" s="35" t="s">
        <v>22</v>
      </c>
      <c r="C3" s="33" t="s">
        <v>9</v>
      </c>
      <c r="D3" s="33" t="s">
        <v>21</v>
      </c>
      <c r="E3" s="33" t="s">
        <v>10</v>
      </c>
      <c r="F3" s="33" t="s">
        <v>11</v>
      </c>
      <c r="G3" s="16"/>
    </row>
    <row r="4" spans="1:11" x14ac:dyDescent="0.35">
      <c r="A4" s="327" t="s">
        <v>257</v>
      </c>
      <c r="B4" s="328"/>
      <c r="C4" s="328"/>
      <c r="D4" s="328"/>
      <c r="E4" s="328"/>
      <c r="F4" s="328"/>
      <c r="G4" s="16"/>
    </row>
    <row r="5" spans="1:11" x14ac:dyDescent="0.35">
      <c r="A5" s="320" t="s">
        <v>12</v>
      </c>
      <c r="B5" s="321"/>
      <c r="C5" s="321"/>
      <c r="D5" s="321"/>
      <c r="E5" s="321"/>
      <c r="F5" s="321"/>
      <c r="G5" s="16"/>
      <c r="I5" s="37"/>
      <c r="J5" s="37"/>
    </row>
    <row r="6" spans="1:11" x14ac:dyDescent="0.35">
      <c r="A6" s="51"/>
      <c r="B6" s="42"/>
      <c r="C6" s="43">
        <v>12624.71</v>
      </c>
      <c r="D6" s="36" t="s">
        <v>432</v>
      </c>
      <c r="E6" s="19">
        <v>985</v>
      </c>
      <c r="F6" s="43">
        <f>(C6/E6)</f>
        <v>12.816964467005075</v>
      </c>
      <c r="G6" s="16"/>
      <c r="I6" s="37"/>
    </row>
    <row r="7" spans="1:11" s="46" customFormat="1" x14ac:dyDescent="0.35">
      <c r="A7" s="38" t="s">
        <v>5</v>
      </c>
      <c r="B7" s="38" t="s">
        <v>13</v>
      </c>
      <c r="C7" s="39">
        <f>C6</f>
        <v>12624.71</v>
      </c>
      <c r="D7" s="40"/>
      <c r="E7" s="41"/>
      <c r="F7" s="32">
        <f>F6</f>
        <v>12.816964467005075</v>
      </c>
      <c r="G7" s="44"/>
      <c r="H7" s="45"/>
      <c r="I7" s="45"/>
      <c r="J7" s="45"/>
    </row>
    <row r="8" spans="1:11" s="46" customFormat="1" x14ac:dyDescent="0.35">
      <c r="A8" s="320" t="s">
        <v>295</v>
      </c>
      <c r="B8" s="321"/>
      <c r="C8" s="321"/>
      <c r="D8" s="321"/>
      <c r="E8" s="321"/>
      <c r="F8" s="321"/>
      <c r="G8" s="44"/>
      <c r="H8" s="45"/>
      <c r="I8" s="45"/>
      <c r="J8" s="45"/>
    </row>
    <row r="9" spans="1:11" x14ac:dyDescent="0.35">
      <c r="A9" s="17"/>
      <c r="B9" s="17"/>
      <c r="C9" s="18">
        <v>1544.27</v>
      </c>
      <c r="D9" s="36" t="s">
        <v>432</v>
      </c>
      <c r="E9" s="20">
        <v>300</v>
      </c>
      <c r="F9" s="18">
        <f>(C9/E9)/30</f>
        <v>0.17158555555555555</v>
      </c>
      <c r="G9" s="16"/>
      <c r="I9" s="37"/>
    </row>
    <row r="10" spans="1:11" x14ac:dyDescent="0.35">
      <c r="A10" s="38" t="s">
        <v>6</v>
      </c>
      <c r="B10" s="38" t="s">
        <v>13</v>
      </c>
      <c r="C10" s="39">
        <f>SUM(C9:C9)</f>
        <v>1544.27</v>
      </c>
      <c r="D10" s="40"/>
      <c r="E10" s="41"/>
      <c r="F10" s="32">
        <f>SUM(F9:F9)</f>
        <v>0.17158555555555555</v>
      </c>
      <c r="G10" s="16"/>
      <c r="K10" s="69"/>
    </row>
    <row r="11" spans="1:11" x14ac:dyDescent="0.35">
      <c r="A11" s="52" t="s">
        <v>25</v>
      </c>
      <c r="B11" s="53"/>
      <c r="C11" s="54"/>
      <c r="D11" s="55"/>
      <c r="E11" s="60"/>
      <c r="F11" s="70">
        <f>ROUND(F7+F10,0)</f>
        <v>13</v>
      </c>
      <c r="G11" s="16"/>
      <c r="I11" s="37"/>
      <c r="K11" s="69"/>
    </row>
    <row r="12" spans="1:11" x14ac:dyDescent="0.35">
      <c r="A12" s="327" t="s">
        <v>258</v>
      </c>
      <c r="B12" s="328"/>
      <c r="C12" s="328"/>
      <c r="D12" s="328"/>
      <c r="E12" s="328"/>
      <c r="F12" s="328"/>
      <c r="G12" s="22"/>
      <c r="H12" s="23"/>
    </row>
    <row r="13" spans="1:11" x14ac:dyDescent="0.35">
      <c r="A13" s="320" t="s">
        <v>12</v>
      </c>
      <c r="B13" s="321"/>
      <c r="C13" s="321"/>
      <c r="D13" s="321"/>
      <c r="E13" s="321"/>
      <c r="F13" s="321"/>
      <c r="G13" s="22"/>
      <c r="H13" s="23"/>
      <c r="I13" s="37"/>
    </row>
    <row r="14" spans="1:11" x14ac:dyDescent="0.35">
      <c r="A14" s="17"/>
      <c r="B14" s="17"/>
      <c r="C14" s="18">
        <v>2144.9299999999998</v>
      </c>
      <c r="D14" s="36" t="s">
        <v>432</v>
      </c>
      <c r="E14" s="20">
        <v>1450</v>
      </c>
      <c r="F14" s="18">
        <f>(C14/E14)</f>
        <v>1.4792620689655172</v>
      </c>
      <c r="G14" s="22"/>
      <c r="H14" s="23"/>
    </row>
    <row r="15" spans="1:11" x14ac:dyDescent="0.35">
      <c r="A15" s="38" t="s">
        <v>5</v>
      </c>
      <c r="B15" s="38" t="s">
        <v>13</v>
      </c>
      <c r="C15" s="39">
        <f>SUM(C14:C14)</f>
        <v>2144.9299999999998</v>
      </c>
      <c r="D15" s="40"/>
      <c r="E15" s="41"/>
      <c r="F15" s="32">
        <f>SUM(F14:F14)</f>
        <v>1.4792620689655172</v>
      </c>
      <c r="G15" s="22"/>
      <c r="H15" s="23"/>
    </row>
    <row r="16" spans="1:11" x14ac:dyDescent="0.35">
      <c r="A16" s="320" t="s">
        <v>256</v>
      </c>
      <c r="B16" s="321"/>
      <c r="C16" s="321"/>
      <c r="D16" s="321"/>
      <c r="E16" s="321"/>
      <c r="F16" s="321"/>
      <c r="G16" s="22"/>
      <c r="H16" s="23"/>
    </row>
    <row r="17" spans="1:9" x14ac:dyDescent="0.35">
      <c r="A17" s="17"/>
      <c r="B17" s="17"/>
      <c r="C17" s="18">
        <v>5626.21</v>
      </c>
      <c r="D17" s="36" t="s">
        <v>432</v>
      </c>
      <c r="E17" s="20">
        <v>2500</v>
      </c>
      <c r="F17" s="18">
        <f>(C17/E17)</f>
        <v>2.2504840000000002</v>
      </c>
      <c r="G17" s="22"/>
      <c r="H17" s="23"/>
    </row>
    <row r="18" spans="1:9" x14ac:dyDescent="0.35">
      <c r="A18" s="38" t="s">
        <v>5</v>
      </c>
      <c r="B18" s="38" t="s">
        <v>13</v>
      </c>
      <c r="C18" s="39">
        <f>SUM(C17:C17)</f>
        <v>5626.21</v>
      </c>
      <c r="D18" s="40"/>
      <c r="E18" s="41"/>
      <c r="F18" s="32">
        <f>SUM(F17:F17)</f>
        <v>2.2504840000000002</v>
      </c>
      <c r="G18" s="22"/>
      <c r="H18" s="23"/>
    </row>
    <row r="19" spans="1:9" x14ac:dyDescent="0.35">
      <c r="A19" s="320" t="s">
        <v>294</v>
      </c>
      <c r="B19" s="321"/>
      <c r="C19" s="321"/>
      <c r="D19" s="321"/>
      <c r="E19" s="321"/>
      <c r="F19" s="321"/>
      <c r="G19" s="22"/>
      <c r="H19" s="37"/>
    </row>
    <row r="20" spans="1:9" x14ac:dyDescent="0.35">
      <c r="A20" s="17"/>
      <c r="B20" s="17"/>
      <c r="C20" s="18">
        <v>2346.79</v>
      </c>
      <c r="D20" s="36" t="s">
        <v>432</v>
      </c>
      <c r="E20" s="20">
        <v>300</v>
      </c>
      <c r="F20" s="18">
        <f>(C20/E20)/30</f>
        <v>0.26075444444444446</v>
      </c>
      <c r="G20" s="22"/>
      <c r="H20" s="23"/>
    </row>
    <row r="21" spans="1:9" x14ac:dyDescent="0.35">
      <c r="A21" s="38" t="s">
        <v>5</v>
      </c>
      <c r="B21" s="38" t="s">
        <v>13</v>
      </c>
      <c r="C21" s="39">
        <f>SUM(C20:C20)</f>
        <v>2346.79</v>
      </c>
      <c r="D21" s="40"/>
      <c r="E21" s="41"/>
      <c r="F21" s="32">
        <f>SUM(F20:F20)</f>
        <v>0.26075444444444446</v>
      </c>
      <c r="G21" s="22"/>
      <c r="H21" s="23"/>
    </row>
    <row r="22" spans="1:9" x14ac:dyDescent="0.35">
      <c r="A22" s="52" t="s">
        <v>25</v>
      </c>
      <c r="B22" s="53"/>
      <c r="C22" s="54"/>
      <c r="D22" s="55"/>
      <c r="E22" s="56"/>
      <c r="F22" s="57">
        <f>ROUND(F15+F18+F21,0)</f>
        <v>4</v>
      </c>
      <c r="G22" s="22"/>
      <c r="H22" s="23"/>
    </row>
    <row r="23" spans="1:9" ht="33" x14ac:dyDescent="0.35">
      <c r="A23" s="35" t="s">
        <v>8</v>
      </c>
      <c r="B23" s="35"/>
      <c r="C23" s="33" t="s">
        <v>9</v>
      </c>
      <c r="D23" s="33"/>
      <c r="E23" s="33" t="s">
        <v>14</v>
      </c>
      <c r="F23" s="285" t="s">
        <v>11</v>
      </c>
      <c r="I23" s="37"/>
    </row>
    <row r="24" spans="1:9" x14ac:dyDescent="0.35">
      <c r="A24" s="47" t="s">
        <v>431</v>
      </c>
      <c r="B24" s="47"/>
      <c r="C24" s="24"/>
      <c r="D24" s="24"/>
      <c r="E24" s="24"/>
      <c r="F24" s="297"/>
      <c r="G24" s="25"/>
      <c r="H24" s="23"/>
      <c r="I24" s="23"/>
    </row>
    <row r="25" spans="1:9" x14ac:dyDescent="0.35">
      <c r="A25" s="322" t="s">
        <v>24</v>
      </c>
      <c r="B25" s="322"/>
      <c r="C25" s="322"/>
      <c r="D25" s="322"/>
      <c r="E25" s="322"/>
      <c r="F25" s="286">
        <v>1</v>
      </c>
    </row>
    <row r="26" spans="1:9" x14ac:dyDescent="0.35">
      <c r="A26" s="296"/>
      <c r="B26" s="48"/>
      <c r="C26" s="48"/>
      <c r="D26" s="48"/>
      <c r="E26" s="48"/>
      <c r="F26" s="48"/>
    </row>
    <row r="27" spans="1:9" x14ac:dyDescent="0.35">
      <c r="A27" s="322" t="s">
        <v>15</v>
      </c>
      <c r="B27" s="322"/>
      <c r="C27" s="322"/>
      <c r="D27" s="322"/>
      <c r="E27" s="322"/>
      <c r="F27" s="284">
        <f>F11+F22+F25</f>
        <v>18</v>
      </c>
      <c r="G27" s="49"/>
    </row>
    <row r="28" spans="1:9" x14ac:dyDescent="0.35">
      <c r="A28" s="319"/>
      <c r="B28" s="319"/>
      <c r="C28" s="319"/>
      <c r="D28" s="319"/>
      <c r="E28" s="319"/>
      <c r="F28" s="319"/>
    </row>
  </sheetData>
  <mergeCells count="12">
    <mergeCell ref="A1:F1"/>
    <mergeCell ref="A2:F2"/>
    <mergeCell ref="A4:F4"/>
    <mergeCell ref="A27:E27"/>
    <mergeCell ref="A5:F5"/>
    <mergeCell ref="A12:F12"/>
    <mergeCell ref="A28:F28"/>
    <mergeCell ref="A8:F8"/>
    <mergeCell ref="A25:E25"/>
    <mergeCell ref="A19:F19"/>
    <mergeCell ref="A13:F13"/>
    <mergeCell ref="A16:F16"/>
  </mergeCells>
  <pageMargins left="0.7" right="0.7" top="0.75" bottom="0.75" header="0.3" footer="0.3"/>
  <pageSetup paperSize="9" scale="63"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4"/>
  <sheetViews>
    <sheetView view="pageBreakPreview" topLeftCell="A100" zoomScaleNormal="85" zoomScaleSheetLayoutView="100" workbookViewId="0">
      <selection activeCell="D107" sqref="D107"/>
    </sheetView>
  </sheetViews>
  <sheetFormatPr defaultColWidth="9.1796875" defaultRowHeight="13" x14ac:dyDescent="0.35"/>
  <cols>
    <col min="1" max="1" width="4.7265625" style="71" customWidth="1"/>
    <col min="2" max="2" width="29.453125" style="71" customWidth="1"/>
    <col min="3" max="3" width="20.26953125" style="71" customWidth="1"/>
    <col min="4" max="4" width="16.7265625" style="71" customWidth="1"/>
    <col min="5" max="5" width="25.36328125" style="71" customWidth="1"/>
    <col min="6" max="16384" width="9.1796875" style="71"/>
  </cols>
  <sheetData>
    <row r="1" spans="1:7" x14ac:dyDescent="0.35">
      <c r="A1" s="351" t="s">
        <v>418</v>
      </c>
      <c r="B1" s="351"/>
      <c r="C1" s="351"/>
      <c r="D1" s="351"/>
      <c r="E1" s="351"/>
    </row>
    <row r="2" spans="1:7" x14ac:dyDescent="0.35">
      <c r="A2" s="329"/>
      <c r="B2" s="329"/>
      <c r="C2" s="329"/>
      <c r="D2" s="329"/>
      <c r="E2" s="329"/>
    </row>
    <row r="3" spans="1:7" x14ac:dyDescent="0.35">
      <c r="A3" s="350" t="s">
        <v>29</v>
      </c>
      <c r="B3" s="350"/>
      <c r="C3" s="350"/>
      <c r="D3" s="350"/>
      <c r="E3" s="350"/>
    </row>
    <row r="4" spans="1:7" x14ac:dyDescent="0.35">
      <c r="A4" s="101" t="s">
        <v>30</v>
      </c>
      <c r="B4" s="280" t="s">
        <v>31</v>
      </c>
      <c r="C4" s="280"/>
      <c r="D4" s="280"/>
      <c r="E4" s="73"/>
    </row>
    <row r="5" spans="1:7" x14ac:dyDescent="0.35">
      <c r="A5" s="101" t="s">
        <v>32</v>
      </c>
      <c r="B5" s="280" t="s">
        <v>33</v>
      </c>
      <c r="C5" s="280"/>
      <c r="D5" s="280"/>
      <c r="E5" s="101" t="s">
        <v>142</v>
      </c>
    </row>
    <row r="6" spans="1:7" x14ac:dyDescent="0.35">
      <c r="A6" s="101" t="s">
        <v>34</v>
      </c>
      <c r="B6" s="280" t="s">
        <v>35</v>
      </c>
      <c r="C6" s="280"/>
      <c r="D6" s="280"/>
      <c r="E6" s="291" t="s">
        <v>389</v>
      </c>
    </row>
    <row r="7" spans="1:7" x14ac:dyDescent="0.35">
      <c r="A7" s="101" t="s">
        <v>36</v>
      </c>
      <c r="B7" s="280" t="s">
        <v>37</v>
      </c>
      <c r="C7" s="280"/>
      <c r="D7" s="280"/>
      <c r="E7" s="101">
        <v>12</v>
      </c>
    </row>
    <row r="8" spans="1:7" ht="12.75" customHeight="1" x14ac:dyDescent="0.35">
      <c r="A8" s="330"/>
      <c r="B8" s="330"/>
      <c r="C8" s="330"/>
      <c r="D8" s="330"/>
      <c r="E8" s="330"/>
    </row>
    <row r="9" spans="1:7" x14ac:dyDescent="0.35">
      <c r="A9" s="350" t="s">
        <v>38</v>
      </c>
      <c r="B9" s="350"/>
      <c r="C9" s="350"/>
      <c r="D9" s="350"/>
      <c r="E9" s="350"/>
    </row>
    <row r="10" spans="1:7" ht="28.5" customHeight="1" x14ac:dyDescent="0.35">
      <c r="A10" s="280" t="s">
        <v>39</v>
      </c>
      <c r="B10" s="280"/>
      <c r="C10" s="280" t="s">
        <v>40</v>
      </c>
      <c r="D10" s="352" t="s">
        <v>41</v>
      </c>
      <c r="E10" s="352"/>
    </row>
    <row r="11" spans="1:7" ht="14.5" customHeight="1" x14ac:dyDescent="0.35">
      <c r="A11" s="355" t="s">
        <v>204</v>
      </c>
      <c r="B11" s="356"/>
      <c r="C11" s="101" t="s">
        <v>42</v>
      </c>
      <c r="D11" s="353">
        <f>('Anexo II A.2 - PRODUTIVIDADE'!F11+'Anexo II A.2 - PRODUTIVIDADE'!F22)</f>
        <v>17</v>
      </c>
      <c r="E11" s="354"/>
    </row>
    <row r="12" spans="1:7" x14ac:dyDescent="0.35">
      <c r="A12" s="330"/>
      <c r="B12" s="330"/>
      <c r="C12" s="330"/>
      <c r="D12" s="330"/>
      <c r="E12" s="330"/>
    </row>
    <row r="13" spans="1:7" ht="46.5" customHeight="1" x14ac:dyDescent="0.35">
      <c r="A13" s="350" t="s">
        <v>43</v>
      </c>
      <c r="B13" s="350"/>
      <c r="C13" s="350"/>
      <c r="D13" s="350"/>
      <c r="E13" s="350"/>
      <c r="G13" s="71">
        <v>5</v>
      </c>
    </row>
    <row r="14" spans="1:7" x14ac:dyDescent="0.35">
      <c r="A14" s="101">
        <v>1</v>
      </c>
      <c r="B14" s="331" t="s">
        <v>44</v>
      </c>
      <c r="C14" s="331"/>
      <c r="D14" s="331"/>
      <c r="E14" s="101" t="s">
        <v>16</v>
      </c>
    </row>
    <row r="15" spans="1:7" ht="12.75" customHeight="1" x14ac:dyDescent="0.35">
      <c r="A15" s="101">
        <v>2</v>
      </c>
      <c r="B15" s="331" t="s">
        <v>45</v>
      </c>
      <c r="C15" s="331"/>
      <c r="D15" s="331"/>
      <c r="E15" s="278"/>
    </row>
    <row r="16" spans="1:7" ht="12.75" customHeight="1" x14ac:dyDescent="0.35">
      <c r="A16" s="101">
        <v>3</v>
      </c>
      <c r="B16" s="331" t="s">
        <v>46</v>
      </c>
      <c r="C16" s="331"/>
      <c r="D16" s="331"/>
      <c r="E16" s="72">
        <v>1416.75</v>
      </c>
    </row>
    <row r="17" spans="1:5" ht="12.75" customHeight="1" x14ac:dyDescent="0.35">
      <c r="A17" s="101">
        <v>4</v>
      </c>
      <c r="B17" s="331" t="s">
        <v>47</v>
      </c>
      <c r="C17" s="331"/>
      <c r="D17" s="331"/>
      <c r="E17" s="101" t="str">
        <f>E14</f>
        <v>SERVENTE</v>
      </c>
    </row>
    <row r="18" spans="1:5" x14ac:dyDescent="0.35">
      <c r="A18" s="101">
        <v>5</v>
      </c>
      <c r="B18" s="331" t="s">
        <v>48</v>
      </c>
      <c r="C18" s="331"/>
      <c r="D18" s="331"/>
      <c r="E18" s="73">
        <v>44562</v>
      </c>
    </row>
    <row r="19" spans="1:5" ht="12.75" customHeight="1" x14ac:dyDescent="0.35">
      <c r="A19" s="330"/>
      <c r="B19" s="330"/>
      <c r="C19" s="330"/>
      <c r="D19" s="330"/>
      <c r="E19" s="330"/>
    </row>
    <row r="20" spans="1:5" ht="12.75" customHeight="1" x14ac:dyDescent="0.35">
      <c r="A20" s="336" t="s">
        <v>49</v>
      </c>
      <c r="B20" s="336"/>
      <c r="C20" s="336"/>
      <c r="D20" s="336"/>
      <c r="E20" s="336"/>
    </row>
    <row r="21" spans="1:5" ht="12.75" customHeight="1" x14ac:dyDescent="0.35">
      <c r="A21" s="277">
        <v>1</v>
      </c>
      <c r="B21" s="329" t="s">
        <v>50</v>
      </c>
      <c r="C21" s="329"/>
      <c r="D21" s="277" t="s">
        <v>51</v>
      </c>
      <c r="E21" s="277" t="s">
        <v>52</v>
      </c>
    </row>
    <row r="22" spans="1:5" ht="12.75" customHeight="1" x14ac:dyDescent="0.35">
      <c r="A22" s="277" t="s">
        <v>30</v>
      </c>
      <c r="B22" s="331" t="s">
        <v>53</v>
      </c>
      <c r="C22" s="331"/>
      <c r="D22" s="74"/>
      <c r="E22" s="75">
        <f>E16</f>
        <v>1416.75</v>
      </c>
    </row>
    <row r="23" spans="1:5" ht="12.75" customHeight="1" x14ac:dyDescent="0.35">
      <c r="A23" s="277" t="s">
        <v>32</v>
      </c>
      <c r="B23" s="331" t="s">
        <v>54</v>
      </c>
      <c r="C23" s="331"/>
      <c r="D23" s="76"/>
      <c r="E23" s="77">
        <v>0</v>
      </c>
    </row>
    <row r="24" spans="1:5" ht="12.75" customHeight="1" x14ac:dyDescent="0.35">
      <c r="A24" s="277" t="s">
        <v>34</v>
      </c>
      <c r="B24" s="331" t="s">
        <v>55</v>
      </c>
      <c r="C24" s="331"/>
      <c r="D24" s="76"/>
      <c r="E24" s="77">
        <f>D24*E22</f>
        <v>0</v>
      </c>
    </row>
    <row r="25" spans="1:5" ht="12.75" customHeight="1" x14ac:dyDescent="0.35">
      <c r="A25" s="277" t="s">
        <v>36</v>
      </c>
      <c r="B25" s="331" t="s">
        <v>56</v>
      </c>
      <c r="C25" s="331"/>
      <c r="D25" s="76"/>
      <c r="E25" s="77">
        <v>0</v>
      </c>
    </row>
    <row r="26" spans="1:5" x14ac:dyDescent="0.35">
      <c r="A26" s="78" t="s">
        <v>57</v>
      </c>
      <c r="B26" s="331" t="s">
        <v>58</v>
      </c>
      <c r="C26" s="331"/>
      <c r="D26" s="79"/>
      <c r="E26" s="77">
        <v>0</v>
      </c>
    </row>
    <row r="27" spans="1:5" x14ac:dyDescent="0.35">
      <c r="A27" s="277" t="s">
        <v>59</v>
      </c>
      <c r="B27" s="331" t="s">
        <v>60</v>
      </c>
      <c r="C27" s="331"/>
      <c r="D27" s="79"/>
      <c r="E27" s="77">
        <v>0</v>
      </c>
    </row>
    <row r="28" spans="1:5" x14ac:dyDescent="0.35">
      <c r="A28" s="78" t="s">
        <v>61</v>
      </c>
      <c r="B28" s="331" t="s">
        <v>62</v>
      </c>
      <c r="C28" s="331"/>
      <c r="D28" s="76"/>
      <c r="E28" s="77">
        <v>0</v>
      </c>
    </row>
    <row r="29" spans="1:5" ht="12.75" customHeight="1" x14ac:dyDescent="0.35">
      <c r="A29" s="329" t="s">
        <v>63</v>
      </c>
      <c r="B29" s="329"/>
      <c r="C29" s="329"/>
      <c r="D29" s="329"/>
      <c r="E29" s="80">
        <f>TRUNC(SUM(E22:E28),2)</f>
        <v>1416.75</v>
      </c>
    </row>
    <row r="30" spans="1:5" ht="12.75" customHeight="1" x14ac:dyDescent="0.35">
      <c r="A30" s="329"/>
      <c r="B30" s="329"/>
      <c r="C30" s="329"/>
      <c r="D30" s="329"/>
      <c r="E30" s="329"/>
    </row>
    <row r="31" spans="1:5" ht="12.75" customHeight="1" x14ac:dyDescent="0.35">
      <c r="A31" s="336" t="s">
        <v>64</v>
      </c>
      <c r="B31" s="336"/>
      <c r="C31" s="336"/>
      <c r="D31" s="336"/>
      <c r="E31" s="336"/>
    </row>
    <row r="32" spans="1:5" ht="12.75" customHeight="1" x14ac:dyDescent="0.35">
      <c r="A32" s="329" t="s">
        <v>65</v>
      </c>
      <c r="B32" s="329"/>
      <c r="C32" s="329"/>
      <c r="D32" s="277" t="s">
        <v>51</v>
      </c>
      <c r="E32" s="277" t="s">
        <v>52</v>
      </c>
    </row>
    <row r="33" spans="1:5" ht="12.75" customHeight="1" x14ac:dyDescent="0.35">
      <c r="A33" s="277" t="s">
        <v>30</v>
      </c>
      <c r="B33" s="331" t="s">
        <v>66</v>
      </c>
      <c r="C33" s="331"/>
      <c r="D33" s="81">
        <v>8.3299999999999999E-2</v>
      </c>
      <c r="E33" s="75">
        <f>E22*D33</f>
        <v>118.015275</v>
      </c>
    </row>
    <row r="34" spans="1:5" ht="12.75" customHeight="1" x14ac:dyDescent="0.35">
      <c r="A34" s="277" t="s">
        <v>32</v>
      </c>
      <c r="B34" s="331" t="s">
        <v>67</v>
      </c>
      <c r="C34" s="331"/>
      <c r="D34" s="82">
        <v>0.121</v>
      </c>
      <c r="E34" s="75">
        <f>D34*E29</f>
        <v>171.42675</v>
      </c>
    </row>
    <row r="35" spans="1:5" ht="12.75" customHeight="1" x14ac:dyDescent="0.35">
      <c r="A35" s="329" t="s">
        <v>68</v>
      </c>
      <c r="B35" s="329"/>
      <c r="C35" s="329"/>
      <c r="D35" s="83">
        <f>TRUNC(SUM(D33:D34),4)</f>
        <v>0.20430000000000001</v>
      </c>
      <c r="E35" s="80">
        <f>TRUNC(SUM(E33:E34),2)</f>
        <v>289.44</v>
      </c>
    </row>
    <row r="36" spans="1:5" ht="12.75" customHeight="1" x14ac:dyDescent="0.35">
      <c r="A36" s="335"/>
      <c r="B36" s="335"/>
      <c r="C36" s="335"/>
      <c r="D36" s="335"/>
      <c r="E36" s="335"/>
    </row>
    <row r="37" spans="1:5" ht="12.75" customHeight="1" x14ac:dyDescent="0.35">
      <c r="A37" s="329" t="s">
        <v>69</v>
      </c>
      <c r="B37" s="329"/>
      <c r="C37" s="329"/>
      <c r="D37" s="277" t="s">
        <v>51</v>
      </c>
      <c r="E37" s="277" t="s">
        <v>52</v>
      </c>
    </row>
    <row r="38" spans="1:5" ht="12.75" customHeight="1" x14ac:dyDescent="0.35">
      <c r="A38" s="277" t="s">
        <v>30</v>
      </c>
      <c r="B38" s="331" t="s">
        <v>70</v>
      </c>
      <c r="C38" s="331"/>
      <c r="D38" s="81">
        <v>0.2</v>
      </c>
      <c r="E38" s="93">
        <f>D38*(E29+E35)</f>
        <v>341.23800000000006</v>
      </c>
    </row>
    <row r="39" spans="1:5" ht="12.75" customHeight="1" x14ac:dyDescent="0.35">
      <c r="A39" s="277" t="s">
        <v>32</v>
      </c>
      <c r="B39" s="331" t="s">
        <v>71</v>
      </c>
      <c r="C39" s="331"/>
      <c r="D39" s="81">
        <v>2.5000000000000001E-2</v>
      </c>
      <c r="E39" s="93">
        <f>D39*(E29+E35)</f>
        <v>42.654750000000007</v>
      </c>
    </row>
    <row r="40" spans="1:5" ht="12.75" customHeight="1" x14ac:dyDescent="0.35">
      <c r="A40" s="277" t="s">
        <v>34</v>
      </c>
      <c r="B40" s="331" t="s">
        <v>72</v>
      </c>
      <c r="C40" s="331"/>
      <c r="D40" s="81">
        <v>0.03</v>
      </c>
      <c r="E40" s="93">
        <f>D40*(E29+E35)</f>
        <v>51.185699999999997</v>
      </c>
    </row>
    <row r="41" spans="1:5" ht="12.75" customHeight="1" x14ac:dyDescent="0.35">
      <c r="A41" s="277" t="s">
        <v>36</v>
      </c>
      <c r="B41" s="331" t="s">
        <v>73</v>
      </c>
      <c r="C41" s="331"/>
      <c r="D41" s="81">
        <v>1.4999999999999999E-2</v>
      </c>
      <c r="E41" s="93">
        <f>D41*(E29+E35)</f>
        <v>25.592849999999999</v>
      </c>
    </row>
    <row r="42" spans="1:5" x14ac:dyDescent="0.35">
      <c r="A42" s="277" t="s">
        <v>57</v>
      </c>
      <c r="B42" s="331" t="s">
        <v>74</v>
      </c>
      <c r="C42" s="331"/>
      <c r="D42" s="81">
        <v>0.01</v>
      </c>
      <c r="E42" s="93">
        <f>D42*(E29+E35)</f>
        <v>17.061900000000001</v>
      </c>
    </row>
    <row r="43" spans="1:5" x14ac:dyDescent="0.35">
      <c r="A43" s="277" t="s">
        <v>59</v>
      </c>
      <c r="B43" s="331" t="s">
        <v>75</v>
      </c>
      <c r="C43" s="331"/>
      <c r="D43" s="81">
        <v>6.0000000000000001E-3</v>
      </c>
      <c r="E43" s="93">
        <f>D43*(E29+E35)</f>
        <v>10.23714</v>
      </c>
    </row>
    <row r="44" spans="1:5" x14ac:dyDescent="0.35">
      <c r="A44" s="277" t="s">
        <v>61</v>
      </c>
      <c r="B44" s="331" t="s">
        <v>76</v>
      </c>
      <c r="C44" s="331"/>
      <c r="D44" s="81">
        <v>2E-3</v>
      </c>
      <c r="E44" s="93">
        <f>D44*(E29+E35)</f>
        <v>3.4123800000000002</v>
      </c>
    </row>
    <row r="45" spans="1:5" x14ac:dyDescent="0.35">
      <c r="A45" s="277" t="s">
        <v>77</v>
      </c>
      <c r="B45" s="331" t="s">
        <v>78</v>
      </c>
      <c r="C45" s="331"/>
      <c r="D45" s="81">
        <v>0.08</v>
      </c>
      <c r="E45" s="93">
        <f>D45*(E29+E35)</f>
        <v>136.49520000000001</v>
      </c>
    </row>
    <row r="46" spans="1:5" x14ac:dyDescent="0.35">
      <c r="A46" s="329" t="s">
        <v>79</v>
      </c>
      <c r="B46" s="329"/>
      <c r="C46" s="329"/>
      <c r="D46" s="83">
        <f>SUM(D38:D45)</f>
        <v>0.36800000000000005</v>
      </c>
      <c r="E46" s="177">
        <f>TRUNC(SUM(E38:E45),2)</f>
        <v>627.87</v>
      </c>
    </row>
    <row r="47" spans="1:5" x14ac:dyDescent="0.35">
      <c r="A47" s="329"/>
      <c r="B47" s="329"/>
      <c r="C47" s="329"/>
      <c r="D47" s="329"/>
      <c r="E47" s="329"/>
    </row>
    <row r="48" spans="1:5" ht="12.75" customHeight="1" x14ac:dyDescent="0.35">
      <c r="A48" s="329" t="s">
        <v>80</v>
      </c>
      <c r="B48" s="329"/>
      <c r="C48" s="329"/>
      <c r="D48" s="83"/>
      <c r="E48" s="277" t="s">
        <v>52</v>
      </c>
    </row>
    <row r="49" spans="1:5" x14ac:dyDescent="0.35">
      <c r="A49" s="277" t="s">
        <v>30</v>
      </c>
      <c r="B49" s="349" t="s">
        <v>81</v>
      </c>
      <c r="C49" s="349"/>
      <c r="D49" s="94" t="s">
        <v>13</v>
      </c>
      <c r="E49" s="175">
        <f>(11*22)-(E22*6%)</f>
        <v>156.995</v>
      </c>
    </row>
    <row r="50" spans="1:5" x14ac:dyDescent="0.35">
      <c r="A50" s="277" t="s">
        <v>32</v>
      </c>
      <c r="B50" s="338" t="s">
        <v>82</v>
      </c>
      <c r="C50" s="338"/>
      <c r="D50" s="101" t="s">
        <v>13</v>
      </c>
      <c r="E50" s="174">
        <f>38*22</f>
        <v>836</v>
      </c>
    </row>
    <row r="51" spans="1:5" ht="12.75" customHeight="1" x14ac:dyDescent="0.35">
      <c r="A51" s="277" t="s">
        <v>34</v>
      </c>
      <c r="B51" s="338" t="s">
        <v>143</v>
      </c>
      <c r="C51" s="338"/>
      <c r="D51" s="101" t="s">
        <v>13</v>
      </c>
      <c r="E51" s="175">
        <v>2.5</v>
      </c>
    </row>
    <row r="52" spans="1:5" customFormat="1" ht="14.5" x14ac:dyDescent="0.35">
      <c r="A52" s="277" t="s">
        <v>36</v>
      </c>
      <c r="B52" s="342" t="s">
        <v>144</v>
      </c>
      <c r="C52" s="342"/>
      <c r="D52" s="101" t="s">
        <v>13</v>
      </c>
      <c r="E52" s="176">
        <v>11.27</v>
      </c>
    </row>
    <row r="53" spans="1:5" customFormat="1" ht="14.5" x14ac:dyDescent="0.35">
      <c r="A53" s="277" t="s">
        <v>57</v>
      </c>
      <c r="B53" s="342" t="s">
        <v>145</v>
      </c>
      <c r="C53" s="342"/>
      <c r="D53" s="101"/>
      <c r="E53" s="176">
        <v>169.67</v>
      </c>
    </row>
    <row r="54" spans="1:5" x14ac:dyDescent="0.35">
      <c r="A54" s="329" t="s">
        <v>83</v>
      </c>
      <c r="B54" s="329"/>
      <c r="C54" s="329"/>
      <c r="D54" s="329"/>
      <c r="E54" s="177">
        <f>TRUNC(SUM(E49:E53),2)</f>
        <v>1176.43</v>
      </c>
    </row>
    <row r="55" spans="1:5" ht="12" customHeight="1" x14ac:dyDescent="0.35">
      <c r="A55" s="335"/>
      <c r="B55" s="335"/>
      <c r="C55" s="335"/>
      <c r="D55" s="335"/>
      <c r="E55" s="335"/>
    </row>
    <row r="56" spans="1:5" x14ac:dyDescent="0.35">
      <c r="A56" s="340" t="s">
        <v>84</v>
      </c>
      <c r="B56" s="340"/>
      <c r="C56" s="340"/>
      <c r="D56" s="340"/>
      <c r="E56" s="340"/>
    </row>
    <row r="57" spans="1:5" x14ac:dyDescent="0.35">
      <c r="A57" s="329" t="s">
        <v>85</v>
      </c>
      <c r="B57" s="329"/>
      <c r="C57" s="329"/>
      <c r="D57" s="329"/>
      <c r="E57" s="277" t="s">
        <v>52</v>
      </c>
    </row>
    <row r="58" spans="1:5" x14ac:dyDescent="0.35">
      <c r="A58" s="277" t="s">
        <v>86</v>
      </c>
      <c r="B58" s="331" t="s">
        <v>87</v>
      </c>
      <c r="C58" s="331"/>
      <c r="D58" s="331"/>
      <c r="E58" s="75">
        <f>E35</f>
        <v>289.44</v>
      </c>
    </row>
    <row r="59" spans="1:5" x14ac:dyDescent="0.35">
      <c r="A59" s="78" t="s">
        <v>88</v>
      </c>
      <c r="B59" s="331" t="s">
        <v>89</v>
      </c>
      <c r="C59" s="331"/>
      <c r="D59" s="331"/>
      <c r="E59" s="89">
        <f>E46</f>
        <v>627.87</v>
      </c>
    </row>
    <row r="60" spans="1:5" x14ac:dyDescent="0.35">
      <c r="A60" s="78" t="s">
        <v>90</v>
      </c>
      <c r="B60" s="331" t="s">
        <v>91</v>
      </c>
      <c r="C60" s="331"/>
      <c r="D60" s="331"/>
      <c r="E60" s="89">
        <f>E54</f>
        <v>1176.43</v>
      </c>
    </row>
    <row r="61" spans="1:5" x14ac:dyDescent="0.35">
      <c r="A61" s="329" t="s">
        <v>92</v>
      </c>
      <c r="B61" s="329"/>
      <c r="C61" s="329"/>
      <c r="D61" s="329"/>
      <c r="E61" s="90">
        <f>TRUNC(SUM(E58:E60),2)</f>
        <v>2093.7399999999998</v>
      </c>
    </row>
    <row r="62" spans="1:5" x14ac:dyDescent="0.35">
      <c r="A62" s="335"/>
      <c r="B62" s="335"/>
      <c r="C62" s="335"/>
      <c r="D62" s="335"/>
      <c r="E62" s="335"/>
    </row>
    <row r="63" spans="1:5" x14ac:dyDescent="0.35">
      <c r="A63" s="336" t="s">
        <v>93</v>
      </c>
      <c r="B63" s="336"/>
      <c r="C63" s="336"/>
      <c r="D63" s="336"/>
      <c r="E63" s="336"/>
    </row>
    <row r="64" spans="1:5" x14ac:dyDescent="0.35">
      <c r="A64" s="277">
        <v>3</v>
      </c>
      <c r="B64" s="329" t="s">
        <v>94</v>
      </c>
      <c r="C64" s="329"/>
      <c r="D64" s="277" t="s">
        <v>51</v>
      </c>
      <c r="E64" s="277" t="s">
        <v>52</v>
      </c>
    </row>
    <row r="65" spans="1:5" x14ac:dyDescent="0.35">
      <c r="A65" s="303" t="s">
        <v>30</v>
      </c>
      <c r="B65" s="341" t="s">
        <v>95</v>
      </c>
      <c r="C65" s="341"/>
      <c r="D65" s="88">
        <v>4.1999999999999997E-3</v>
      </c>
      <c r="E65" s="89">
        <f>E29*D65</f>
        <v>5.9503499999999994</v>
      </c>
    </row>
    <row r="66" spans="1:5" x14ac:dyDescent="0.35">
      <c r="A66" s="303" t="s">
        <v>32</v>
      </c>
      <c r="B66" s="342" t="s">
        <v>96</v>
      </c>
      <c r="C66" s="342"/>
      <c r="D66" s="88">
        <f>0.08*D65</f>
        <v>3.3599999999999998E-4</v>
      </c>
      <c r="E66" s="75">
        <f>D66*E29</f>
        <v>0.47602799999999995</v>
      </c>
    </row>
    <row r="67" spans="1:5" x14ac:dyDescent="0.35">
      <c r="A67" s="303" t="s">
        <v>34</v>
      </c>
      <c r="B67" s="342" t="s">
        <v>97</v>
      </c>
      <c r="C67" s="342"/>
      <c r="D67" s="81">
        <v>1.9400000000000001E-2</v>
      </c>
      <c r="E67" s="75">
        <f>E29*D67</f>
        <v>27.484950000000001</v>
      </c>
    </row>
    <row r="68" spans="1:5" ht="25.5" customHeight="1" x14ac:dyDescent="0.35">
      <c r="A68" s="303" t="s">
        <v>36</v>
      </c>
      <c r="B68" s="342" t="s">
        <v>98</v>
      </c>
      <c r="C68" s="342"/>
      <c r="D68" s="82">
        <f>D46*D67</f>
        <v>7.1392000000000009E-3</v>
      </c>
      <c r="E68" s="75">
        <f>E29*D68</f>
        <v>10.114461600000002</v>
      </c>
    </row>
    <row r="69" spans="1:5" ht="45.5" customHeight="1" x14ac:dyDescent="0.35">
      <c r="A69" s="303" t="s">
        <v>57</v>
      </c>
      <c r="B69" s="343" t="s">
        <v>433</v>
      </c>
      <c r="C69" s="344"/>
      <c r="D69" s="88">
        <v>0.04</v>
      </c>
      <c r="E69" s="75">
        <f>(E29)*D69</f>
        <v>56.67</v>
      </c>
    </row>
    <row r="70" spans="1:5" x14ac:dyDescent="0.35">
      <c r="A70" s="329" t="s">
        <v>99</v>
      </c>
      <c r="B70" s="329"/>
      <c r="C70" s="329"/>
      <c r="D70" s="83">
        <f>TRUNC(SUM(D65:D69),4)</f>
        <v>7.0999999999999994E-2</v>
      </c>
      <c r="E70" s="80">
        <f>TRUNC(SUM(E65:E69),2)</f>
        <v>100.69</v>
      </c>
    </row>
    <row r="71" spans="1:5" ht="53" customHeight="1" x14ac:dyDescent="0.35">
      <c r="A71" s="345" t="s">
        <v>429</v>
      </c>
      <c r="B71" s="346"/>
      <c r="C71" s="346"/>
      <c r="D71" s="346"/>
      <c r="E71" s="347"/>
    </row>
    <row r="72" spans="1:5" x14ac:dyDescent="0.35">
      <c r="A72" s="336" t="s">
        <v>100</v>
      </c>
      <c r="B72" s="336"/>
      <c r="C72" s="336"/>
      <c r="D72" s="336"/>
      <c r="E72" s="336"/>
    </row>
    <row r="73" spans="1:5" x14ac:dyDescent="0.35">
      <c r="A73" s="329" t="s">
        <v>430</v>
      </c>
      <c r="B73" s="329"/>
      <c r="C73" s="329"/>
      <c r="D73" s="277" t="s">
        <v>51</v>
      </c>
      <c r="E73" s="277" t="s">
        <v>52</v>
      </c>
    </row>
    <row r="74" spans="1:5" x14ac:dyDescent="0.35">
      <c r="A74" s="277" t="s">
        <v>30</v>
      </c>
      <c r="B74" s="331" t="s">
        <v>101</v>
      </c>
      <c r="C74" s="331"/>
      <c r="D74" s="81">
        <v>1.6199999999999999E-2</v>
      </c>
      <c r="E74" s="75">
        <f>D74*(E29)</f>
        <v>22.951349999999998</v>
      </c>
    </row>
    <row r="75" spans="1:5" x14ac:dyDescent="0.35">
      <c r="A75" s="78" t="s">
        <v>32</v>
      </c>
      <c r="B75" s="348" t="s">
        <v>102</v>
      </c>
      <c r="C75" s="348"/>
      <c r="D75" s="88">
        <v>2.8E-3</v>
      </c>
      <c r="E75" s="75">
        <f>D75*(E29)</f>
        <v>3.9668999999999999</v>
      </c>
    </row>
    <row r="76" spans="1:5" x14ac:dyDescent="0.35">
      <c r="A76" s="78" t="s">
        <v>34</v>
      </c>
      <c r="B76" s="348" t="s">
        <v>103</v>
      </c>
      <c r="C76" s="348"/>
      <c r="D76" s="88">
        <v>1E-4</v>
      </c>
      <c r="E76" s="75">
        <f>D76*(E29)</f>
        <v>0.141675</v>
      </c>
    </row>
    <row r="77" spans="1:5" x14ac:dyDescent="0.35">
      <c r="A77" s="78" t="s">
        <v>36</v>
      </c>
      <c r="B77" s="348" t="s">
        <v>104</v>
      </c>
      <c r="C77" s="348"/>
      <c r="D77" s="88">
        <v>4.1999999999999997E-3</v>
      </c>
      <c r="E77" s="75">
        <f>D77*(E29)</f>
        <v>5.9503499999999994</v>
      </c>
    </row>
    <row r="78" spans="1:5" x14ac:dyDescent="0.35">
      <c r="A78" s="78" t="s">
        <v>57</v>
      </c>
      <c r="B78" s="331" t="s">
        <v>105</v>
      </c>
      <c r="C78" s="331"/>
      <c r="D78" s="88">
        <v>2.0000000000000001E-4</v>
      </c>
      <c r="E78" s="75">
        <f>D78*(E29)</f>
        <v>0.28334999999999999</v>
      </c>
    </row>
    <row r="79" spans="1:5" ht="12.75" customHeight="1" x14ac:dyDescent="0.35">
      <c r="A79" s="277" t="s">
        <v>59</v>
      </c>
      <c r="B79" s="348" t="s">
        <v>62</v>
      </c>
      <c r="C79" s="348"/>
      <c r="D79" s="88">
        <v>0</v>
      </c>
      <c r="E79" s="75">
        <f>D79*(E29)</f>
        <v>0</v>
      </c>
    </row>
    <row r="80" spans="1:5" x14ac:dyDescent="0.35">
      <c r="A80" s="329" t="s">
        <v>106</v>
      </c>
      <c r="B80" s="329"/>
      <c r="C80" s="329"/>
      <c r="D80" s="83">
        <f>TRUNC(SUM(D74:D79),4)</f>
        <v>2.35E-2</v>
      </c>
      <c r="E80" s="80">
        <f>SUM(E74:E79)</f>
        <v>33.293624999999992</v>
      </c>
    </row>
    <row r="81" spans="1:5" x14ac:dyDescent="0.35">
      <c r="A81" s="335"/>
      <c r="B81" s="335"/>
      <c r="C81" s="335"/>
      <c r="D81" s="335"/>
      <c r="E81" s="335"/>
    </row>
    <row r="82" spans="1:5" x14ac:dyDescent="0.35">
      <c r="A82" s="329" t="s">
        <v>107</v>
      </c>
      <c r="B82" s="329"/>
      <c r="C82" s="329"/>
      <c r="D82" s="277" t="s">
        <v>51</v>
      </c>
      <c r="E82" s="277" t="s">
        <v>52</v>
      </c>
    </row>
    <row r="83" spans="1:5" ht="12.75" customHeight="1" x14ac:dyDescent="0.35">
      <c r="A83" s="277" t="s">
        <v>30</v>
      </c>
      <c r="B83" s="331" t="s">
        <v>108</v>
      </c>
      <c r="C83" s="331"/>
      <c r="D83" s="81">
        <v>0</v>
      </c>
      <c r="E83" s="75">
        <f>E29*D83</f>
        <v>0</v>
      </c>
    </row>
    <row r="84" spans="1:5" x14ac:dyDescent="0.35">
      <c r="A84" s="329" t="s">
        <v>109</v>
      </c>
      <c r="B84" s="329"/>
      <c r="C84" s="329"/>
      <c r="D84" s="83">
        <f>TRUNC(SUM(D83),4)</f>
        <v>0</v>
      </c>
      <c r="E84" s="80">
        <f>TRUNC(SUM(E83),2)</f>
        <v>0</v>
      </c>
    </row>
    <row r="85" spans="1:5" x14ac:dyDescent="0.35">
      <c r="A85" s="335"/>
      <c r="B85" s="335"/>
      <c r="C85" s="335"/>
      <c r="D85" s="335"/>
      <c r="E85" s="335"/>
    </row>
    <row r="86" spans="1:5" x14ac:dyDescent="0.35">
      <c r="A86" s="340" t="s">
        <v>110</v>
      </c>
      <c r="B86" s="340"/>
      <c r="C86" s="340"/>
      <c r="D86" s="340"/>
      <c r="E86" s="340"/>
    </row>
    <row r="87" spans="1:5" x14ac:dyDescent="0.35">
      <c r="A87" s="329" t="s">
        <v>111</v>
      </c>
      <c r="B87" s="329"/>
      <c r="C87" s="329"/>
      <c r="D87" s="329"/>
      <c r="E87" s="277" t="s">
        <v>52</v>
      </c>
    </row>
    <row r="88" spans="1:5" x14ac:dyDescent="0.35">
      <c r="A88" s="277" t="s">
        <v>112</v>
      </c>
      <c r="B88" s="331" t="s">
        <v>102</v>
      </c>
      <c r="C88" s="331"/>
      <c r="D88" s="331"/>
      <c r="E88" s="75">
        <f>E80</f>
        <v>33.293624999999992</v>
      </c>
    </row>
    <row r="89" spans="1:5" x14ac:dyDescent="0.35">
      <c r="A89" s="78" t="s">
        <v>113</v>
      </c>
      <c r="B89" s="331" t="s">
        <v>114</v>
      </c>
      <c r="C89" s="331"/>
      <c r="D89" s="331"/>
      <c r="E89" s="89">
        <f>E84</f>
        <v>0</v>
      </c>
    </row>
    <row r="90" spans="1:5" x14ac:dyDescent="0.35">
      <c r="A90" s="329" t="s">
        <v>115</v>
      </c>
      <c r="B90" s="329"/>
      <c r="C90" s="329"/>
      <c r="D90" s="329"/>
      <c r="E90" s="90">
        <f>TRUNC(SUM(E88:E89),2)</f>
        <v>33.29</v>
      </c>
    </row>
    <row r="91" spans="1:5" x14ac:dyDescent="0.35">
      <c r="A91" s="335"/>
      <c r="B91" s="335"/>
      <c r="C91" s="335"/>
      <c r="D91" s="335"/>
      <c r="E91" s="335"/>
    </row>
    <row r="92" spans="1:5" x14ac:dyDescent="0.35">
      <c r="A92" s="336" t="s">
        <v>116</v>
      </c>
      <c r="B92" s="336"/>
      <c r="C92" s="336"/>
      <c r="D92" s="336"/>
      <c r="E92" s="336"/>
    </row>
    <row r="93" spans="1:5" x14ac:dyDescent="0.35">
      <c r="A93" s="277">
        <v>5</v>
      </c>
      <c r="B93" s="329" t="s">
        <v>117</v>
      </c>
      <c r="C93" s="329"/>
      <c r="D93" s="277"/>
      <c r="E93" s="277" t="s">
        <v>52</v>
      </c>
    </row>
    <row r="94" spans="1:5" x14ac:dyDescent="0.35">
      <c r="A94" s="277" t="s">
        <v>30</v>
      </c>
      <c r="B94" s="338" t="s">
        <v>118</v>
      </c>
      <c r="C94" s="338"/>
      <c r="D94" s="101" t="s">
        <v>13</v>
      </c>
      <c r="E94" s="75">
        <f>'Anexo II G - UNIFORME'!D8</f>
        <v>52.833333333333336</v>
      </c>
    </row>
    <row r="95" spans="1:5" x14ac:dyDescent="0.35">
      <c r="A95" s="277" t="s">
        <v>32</v>
      </c>
      <c r="B95" s="338" t="s">
        <v>119</v>
      </c>
      <c r="C95" s="338"/>
      <c r="D95" s="101" t="s">
        <v>13</v>
      </c>
      <c r="E95" s="75">
        <f>'Anexo II E - MATERIAL DE LIMPEZ'!G44</f>
        <v>237.70823529411757</v>
      </c>
    </row>
    <row r="96" spans="1:5" x14ac:dyDescent="0.35">
      <c r="A96" s="281" t="s">
        <v>34</v>
      </c>
      <c r="B96" s="338" t="s">
        <v>120</v>
      </c>
      <c r="C96" s="338"/>
      <c r="D96" s="101" t="s">
        <v>13</v>
      </c>
      <c r="E96" s="75">
        <f>'Anexo II F - EQUIPAMENTOS'!G35</f>
        <v>30.083208333333328</v>
      </c>
    </row>
    <row r="97" spans="1:5" x14ac:dyDescent="0.35">
      <c r="A97" s="281" t="s">
        <v>36</v>
      </c>
      <c r="B97" s="339" t="s">
        <v>296</v>
      </c>
      <c r="C97" s="339"/>
      <c r="D97" s="101"/>
      <c r="E97" s="75">
        <v>0</v>
      </c>
    </row>
    <row r="98" spans="1:5" x14ac:dyDescent="0.35">
      <c r="A98" s="329" t="s">
        <v>122</v>
      </c>
      <c r="B98" s="329"/>
      <c r="C98" s="329"/>
      <c r="D98" s="83" t="s">
        <v>13</v>
      </c>
      <c r="E98" s="80">
        <f>TRUNC(SUM(E94:E97),2)</f>
        <v>320.62</v>
      </c>
    </row>
    <row r="99" spans="1:5" x14ac:dyDescent="0.35">
      <c r="A99" s="335"/>
      <c r="B99" s="335"/>
      <c r="C99" s="335"/>
      <c r="D99" s="335"/>
      <c r="E99" s="335"/>
    </row>
    <row r="100" spans="1:5" ht="12.75" customHeight="1" x14ac:dyDescent="0.35">
      <c r="A100" s="336" t="s">
        <v>123</v>
      </c>
      <c r="B100" s="336"/>
      <c r="C100" s="336"/>
      <c r="D100" s="336"/>
      <c r="E100" s="336"/>
    </row>
    <row r="101" spans="1:5" x14ac:dyDescent="0.35">
      <c r="A101" s="277">
        <v>6</v>
      </c>
      <c r="B101" s="329" t="s">
        <v>124</v>
      </c>
      <c r="C101" s="329"/>
      <c r="D101" s="277" t="s">
        <v>51</v>
      </c>
      <c r="E101" s="277" t="s">
        <v>52</v>
      </c>
    </row>
    <row r="102" spans="1:5" ht="12.75" customHeight="1" x14ac:dyDescent="0.35">
      <c r="A102" s="277" t="s">
        <v>30</v>
      </c>
      <c r="B102" s="331" t="s">
        <v>125</v>
      </c>
      <c r="C102" s="331"/>
      <c r="D102" s="91">
        <v>0.03</v>
      </c>
      <c r="E102" s="77">
        <f>TRUNC(D102*E126,2)</f>
        <v>118.95</v>
      </c>
    </row>
    <row r="103" spans="1:5" x14ac:dyDescent="0.35">
      <c r="A103" s="78" t="s">
        <v>32</v>
      </c>
      <c r="B103" s="331" t="s">
        <v>126</v>
      </c>
      <c r="C103" s="331"/>
      <c r="D103" s="275">
        <v>0.06</v>
      </c>
      <c r="E103" s="77">
        <f>TRUNC(D103*(E102+E126),2)</f>
        <v>245.04</v>
      </c>
    </row>
    <row r="104" spans="1:5" ht="12.75" customHeight="1" x14ac:dyDescent="0.35">
      <c r="A104" s="277" t="s">
        <v>34</v>
      </c>
      <c r="B104" s="337" t="s">
        <v>7</v>
      </c>
      <c r="C104" s="337"/>
      <c r="D104" s="76"/>
      <c r="E104" s="85"/>
    </row>
    <row r="105" spans="1:5" x14ac:dyDescent="0.35">
      <c r="A105" s="78"/>
      <c r="B105" s="331" t="s">
        <v>127</v>
      </c>
      <c r="C105" s="331"/>
      <c r="D105" s="92">
        <v>1.6500000000000001E-2</v>
      </c>
      <c r="E105" s="86">
        <f>TRUNC(D105*E115,2)</f>
        <v>83.3</v>
      </c>
    </row>
    <row r="106" spans="1:5" x14ac:dyDescent="0.35">
      <c r="A106" s="78"/>
      <c r="B106" s="331" t="s">
        <v>128</v>
      </c>
      <c r="C106" s="331"/>
      <c r="D106" s="92">
        <v>7.5999999999999998E-2</v>
      </c>
      <c r="E106" s="86">
        <f>TRUNC(D106*E115,2)</f>
        <v>383.68</v>
      </c>
    </row>
    <row r="107" spans="1:5" x14ac:dyDescent="0.35">
      <c r="A107" s="78"/>
      <c r="B107" s="331" t="s">
        <v>129</v>
      </c>
      <c r="C107" s="331"/>
      <c r="D107" s="92">
        <v>0.05</v>
      </c>
      <c r="E107" s="86">
        <f>TRUNC(D107*E115,2)</f>
        <v>252.42</v>
      </c>
    </row>
    <row r="108" spans="1:5" x14ac:dyDescent="0.35">
      <c r="A108" s="329" t="s">
        <v>130</v>
      </c>
      <c r="B108" s="329"/>
      <c r="C108" s="329"/>
      <c r="D108" s="92">
        <f>SUM(D102:D107)</f>
        <v>0.23249999999999998</v>
      </c>
      <c r="E108" s="87">
        <f>TRUNC(SUM(E102:E107),2)</f>
        <v>1083.3900000000001</v>
      </c>
    </row>
    <row r="109" spans="1:5" x14ac:dyDescent="0.35">
      <c r="A109" s="330"/>
      <c r="B109" s="330"/>
      <c r="C109" s="330"/>
      <c r="D109" s="330"/>
      <c r="E109" s="330"/>
    </row>
    <row r="110" spans="1:5" x14ac:dyDescent="0.35">
      <c r="A110" s="279" t="s">
        <v>131</v>
      </c>
      <c r="B110" s="333" t="s">
        <v>132</v>
      </c>
      <c r="C110" s="333"/>
      <c r="D110" s="292">
        <f>TRUNC(D105+D106+D107,4)</f>
        <v>0.14249999999999999</v>
      </c>
      <c r="E110" s="293"/>
    </row>
    <row r="111" spans="1:5" x14ac:dyDescent="0.35">
      <c r="A111" s="279"/>
      <c r="B111" s="332">
        <v>100</v>
      </c>
      <c r="C111" s="333"/>
      <c r="D111" s="292"/>
      <c r="E111" s="293"/>
    </row>
    <row r="112" spans="1:5" x14ac:dyDescent="0.35">
      <c r="A112" s="294"/>
      <c r="B112" s="295"/>
      <c r="C112" s="295"/>
      <c r="D112" s="292"/>
      <c r="E112" s="293"/>
    </row>
    <row r="113" spans="1:5" x14ac:dyDescent="0.35">
      <c r="A113" s="279" t="s">
        <v>133</v>
      </c>
      <c r="B113" s="333" t="s">
        <v>134</v>
      </c>
      <c r="C113" s="333"/>
      <c r="D113" s="292"/>
      <c r="E113" s="293">
        <f>TRUNC(E126+E102+E103,2)</f>
        <v>4329.08</v>
      </c>
    </row>
    <row r="114" spans="1:5" x14ac:dyDescent="0.35">
      <c r="A114" s="279"/>
      <c r="B114" s="295"/>
      <c r="C114" s="295"/>
      <c r="D114" s="292"/>
      <c r="E114" s="293"/>
    </row>
    <row r="115" spans="1:5" x14ac:dyDescent="0.35">
      <c r="A115" s="279" t="s">
        <v>135</v>
      </c>
      <c r="B115" s="333" t="s">
        <v>136</v>
      </c>
      <c r="C115" s="333"/>
      <c r="D115" s="292"/>
      <c r="E115" s="293">
        <f>E113/(1-D110)</f>
        <v>5048.4897959183672</v>
      </c>
    </row>
    <row r="116" spans="1:5" x14ac:dyDescent="0.35">
      <c r="A116" s="279"/>
      <c r="B116" s="295"/>
      <c r="C116" s="295"/>
      <c r="D116" s="292"/>
      <c r="E116" s="293"/>
    </row>
    <row r="117" spans="1:5" x14ac:dyDescent="0.35">
      <c r="A117" s="279"/>
      <c r="B117" s="333" t="s">
        <v>137</v>
      </c>
      <c r="C117" s="333"/>
      <c r="D117" s="292"/>
      <c r="E117" s="293">
        <f>TRUNC(E115-E113,2)</f>
        <v>719.4</v>
      </c>
    </row>
    <row r="118" spans="1:5" x14ac:dyDescent="0.35">
      <c r="A118" s="330"/>
      <c r="B118" s="330"/>
      <c r="C118" s="330"/>
      <c r="D118" s="330"/>
      <c r="E118" s="330"/>
    </row>
    <row r="119" spans="1:5" x14ac:dyDescent="0.35">
      <c r="A119" s="334" t="s">
        <v>138</v>
      </c>
      <c r="B119" s="334"/>
      <c r="C119" s="334"/>
      <c r="D119" s="334"/>
      <c r="E119" s="334"/>
    </row>
    <row r="120" spans="1:5" ht="15" customHeight="1" x14ac:dyDescent="0.35">
      <c r="A120" s="329" t="s">
        <v>139</v>
      </c>
      <c r="B120" s="329"/>
      <c r="C120" s="329"/>
      <c r="D120" s="329"/>
      <c r="E120" s="277" t="s">
        <v>52</v>
      </c>
    </row>
    <row r="121" spans="1:5" ht="15" customHeight="1" x14ac:dyDescent="0.35">
      <c r="A121" s="101" t="s">
        <v>30</v>
      </c>
      <c r="B121" s="331" t="str">
        <f>A20</f>
        <v>MÓDULO 1 - COMPOSIÇÃO DA REMUNERAÇÃO</v>
      </c>
      <c r="C121" s="331"/>
      <c r="D121" s="331"/>
      <c r="E121" s="93">
        <f>E29</f>
        <v>1416.75</v>
      </c>
    </row>
    <row r="122" spans="1:5" ht="15" customHeight="1" x14ac:dyDescent="0.35">
      <c r="A122" s="94" t="s">
        <v>32</v>
      </c>
      <c r="B122" s="331" t="str">
        <f>A31</f>
        <v>MÓDULO 2 – ENCARGOS E BENEFÍCIOS ANUAIS, MENSAIS E DIÁRIOS</v>
      </c>
      <c r="C122" s="331"/>
      <c r="D122" s="331"/>
      <c r="E122" s="95">
        <f>E61</f>
        <v>2093.7399999999998</v>
      </c>
    </row>
    <row r="123" spans="1:5" ht="12.75" customHeight="1" x14ac:dyDescent="0.35">
      <c r="A123" s="94" t="s">
        <v>34</v>
      </c>
      <c r="B123" s="331" t="str">
        <f>A63</f>
        <v>MÓDULO 3 – PROVISÃO PARA RESCISÃO</v>
      </c>
      <c r="C123" s="331"/>
      <c r="D123" s="331"/>
      <c r="E123" s="95">
        <f>E70</f>
        <v>100.69</v>
      </c>
    </row>
    <row r="124" spans="1:5" ht="15" customHeight="1" x14ac:dyDescent="0.35">
      <c r="A124" s="101" t="s">
        <v>36</v>
      </c>
      <c r="B124" s="331" t="str">
        <f>A72</f>
        <v>MÓDULO 4 – CUSTO DE REPOSIÇÃO DO PROFISSIONAL AUSENTE</v>
      </c>
      <c r="C124" s="331"/>
      <c r="D124" s="331"/>
      <c r="E124" s="95">
        <f>E90</f>
        <v>33.29</v>
      </c>
    </row>
    <row r="125" spans="1:5" ht="12.75" customHeight="1" x14ac:dyDescent="0.35">
      <c r="A125" s="94" t="s">
        <v>57</v>
      </c>
      <c r="B125" s="331" t="str">
        <f>A92</f>
        <v>MÓDULO 5 – INSUMOS DIVERSOS</v>
      </c>
      <c r="C125" s="331"/>
      <c r="D125" s="331"/>
      <c r="E125" s="95">
        <f>E98</f>
        <v>320.62</v>
      </c>
    </row>
    <row r="126" spans="1:5" ht="15" customHeight="1" x14ac:dyDescent="0.35">
      <c r="A126" s="78"/>
      <c r="B126" s="329" t="s">
        <v>140</v>
      </c>
      <c r="C126" s="329"/>
      <c r="D126" s="329"/>
      <c r="E126" s="96">
        <f>TRUNC(SUM(E121:E125),2)</f>
        <v>3965.09</v>
      </c>
    </row>
    <row r="127" spans="1:5" s="97" customFormat="1" ht="15" customHeight="1" x14ac:dyDescent="0.35">
      <c r="A127" s="101" t="s">
        <v>59</v>
      </c>
      <c r="B127" s="331" t="str">
        <f>A100</f>
        <v>MÓDULO 6 – CUSTOS INDIRETOS, TRIBUTOS E LUCRO</v>
      </c>
      <c r="C127" s="331"/>
      <c r="D127" s="331"/>
      <c r="E127" s="93">
        <f>E108</f>
        <v>1083.3900000000001</v>
      </c>
    </row>
    <row r="128" spans="1:5" s="97" customFormat="1" ht="15" customHeight="1" x14ac:dyDescent="0.35">
      <c r="A128" s="329" t="s">
        <v>141</v>
      </c>
      <c r="B128" s="329"/>
      <c r="C128" s="329"/>
      <c r="D128" s="329"/>
      <c r="E128" s="96">
        <f>TRUNC(SUM(E126:E127),2)</f>
        <v>5048.4799999999996</v>
      </c>
    </row>
    <row r="129" spans="1:3" ht="30" customHeight="1" x14ac:dyDescent="0.35">
      <c r="A129" s="98"/>
      <c r="B129" s="98"/>
      <c r="C129" s="98"/>
    </row>
    <row r="130" spans="1:3" x14ac:dyDescent="0.35">
      <c r="A130" s="98"/>
      <c r="B130" s="98"/>
      <c r="C130" s="98"/>
    </row>
    <row r="131" spans="1:3" x14ac:dyDescent="0.35">
      <c r="A131" s="98"/>
      <c r="B131" s="98"/>
      <c r="C131" s="98"/>
    </row>
    <row r="132" spans="1:3" x14ac:dyDescent="0.35">
      <c r="A132" s="98"/>
      <c r="B132" s="98"/>
      <c r="C132" s="98"/>
    </row>
    <row r="133" spans="1:3" x14ac:dyDescent="0.35">
      <c r="A133" s="98"/>
      <c r="B133" s="98"/>
      <c r="C133" s="98"/>
    </row>
    <row r="134" spans="1:3" x14ac:dyDescent="0.35">
      <c r="A134" s="98"/>
      <c r="B134" s="98"/>
      <c r="C134" s="98"/>
    </row>
  </sheetData>
  <mergeCells count="122">
    <mergeCell ref="A8:E8"/>
    <mergeCell ref="A12:E12"/>
    <mergeCell ref="A2:E2"/>
    <mergeCell ref="A1:E1"/>
    <mergeCell ref="B25:C25"/>
    <mergeCell ref="B26:C26"/>
    <mergeCell ref="B27:C27"/>
    <mergeCell ref="B28:C28"/>
    <mergeCell ref="A29:D29"/>
    <mergeCell ref="A3:E3"/>
    <mergeCell ref="A9:E9"/>
    <mergeCell ref="D10:E10"/>
    <mergeCell ref="D11:E11"/>
    <mergeCell ref="A11:B11"/>
    <mergeCell ref="A31:E31"/>
    <mergeCell ref="A19:E19"/>
    <mergeCell ref="A20:E20"/>
    <mergeCell ref="B21:C21"/>
    <mergeCell ref="B22:C22"/>
    <mergeCell ref="B23:C23"/>
    <mergeCell ref="B24:C24"/>
    <mergeCell ref="A13:E13"/>
    <mergeCell ref="B14:D14"/>
    <mergeCell ref="B15:D15"/>
    <mergeCell ref="B16:D16"/>
    <mergeCell ref="B17:D17"/>
    <mergeCell ref="B18:D18"/>
    <mergeCell ref="A30:E30"/>
    <mergeCell ref="B38:C38"/>
    <mergeCell ref="B39:C39"/>
    <mergeCell ref="B40:C40"/>
    <mergeCell ref="B41:C41"/>
    <mergeCell ref="B42:C42"/>
    <mergeCell ref="B43:C43"/>
    <mergeCell ref="A32:C32"/>
    <mergeCell ref="B33:C33"/>
    <mergeCell ref="B34:C34"/>
    <mergeCell ref="A35:C35"/>
    <mergeCell ref="A36:E36"/>
    <mergeCell ref="A37:C37"/>
    <mergeCell ref="A48:C48"/>
    <mergeCell ref="B49:C49"/>
    <mergeCell ref="B50:C50"/>
    <mergeCell ref="B51:C51"/>
    <mergeCell ref="B52:C52"/>
    <mergeCell ref="B44:C44"/>
    <mergeCell ref="B45:C45"/>
    <mergeCell ref="A46:C46"/>
    <mergeCell ref="A47:E47"/>
    <mergeCell ref="B58:D58"/>
    <mergeCell ref="B53:C53"/>
    <mergeCell ref="A54:D54"/>
    <mergeCell ref="A55:E55"/>
    <mergeCell ref="A56:E56"/>
    <mergeCell ref="A57:D57"/>
    <mergeCell ref="B59:D59"/>
    <mergeCell ref="B60:D60"/>
    <mergeCell ref="A61:D61"/>
    <mergeCell ref="B83:C83"/>
    <mergeCell ref="A84:C84"/>
    <mergeCell ref="A70:C70"/>
    <mergeCell ref="A71:E71"/>
    <mergeCell ref="A72:E72"/>
    <mergeCell ref="A73:C73"/>
    <mergeCell ref="B74:C74"/>
    <mergeCell ref="B75:C75"/>
    <mergeCell ref="B76:C76"/>
    <mergeCell ref="B77:C77"/>
    <mergeCell ref="B78:C78"/>
    <mergeCell ref="B79:C79"/>
    <mergeCell ref="A80:C80"/>
    <mergeCell ref="A81:E81"/>
    <mergeCell ref="A62:E62"/>
    <mergeCell ref="A63:E63"/>
    <mergeCell ref="B64:C64"/>
    <mergeCell ref="B65:C65"/>
    <mergeCell ref="B66:C66"/>
    <mergeCell ref="B67:C67"/>
    <mergeCell ref="B68:C68"/>
    <mergeCell ref="B69:C69"/>
    <mergeCell ref="A82:C82"/>
    <mergeCell ref="B88:D88"/>
    <mergeCell ref="B89:D89"/>
    <mergeCell ref="A90:D90"/>
    <mergeCell ref="A91:E91"/>
    <mergeCell ref="A92:E92"/>
    <mergeCell ref="B93:C93"/>
    <mergeCell ref="B97:C97"/>
    <mergeCell ref="A85:E85"/>
    <mergeCell ref="A86:E86"/>
    <mergeCell ref="A87:D87"/>
    <mergeCell ref="A99:E99"/>
    <mergeCell ref="A100:E100"/>
    <mergeCell ref="B101:C101"/>
    <mergeCell ref="B102:C102"/>
    <mergeCell ref="B103:C103"/>
    <mergeCell ref="B104:C104"/>
    <mergeCell ref="B94:C94"/>
    <mergeCell ref="B95:C95"/>
    <mergeCell ref="B96:C96"/>
    <mergeCell ref="A98:C98"/>
    <mergeCell ref="B111:C111"/>
    <mergeCell ref="B113:C113"/>
    <mergeCell ref="B115:C115"/>
    <mergeCell ref="B117:C117"/>
    <mergeCell ref="A119:E119"/>
    <mergeCell ref="A120:D120"/>
    <mergeCell ref="B105:C105"/>
    <mergeCell ref="B106:C106"/>
    <mergeCell ref="B107:C107"/>
    <mergeCell ref="A108:C108"/>
    <mergeCell ref="A109:E109"/>
    <mergeCell ref="B110:C110"/>
    <mergeCell ref="A128:D128"/>
    <mergeCell ref="A118:E118"/>
    <mergeCell ref="B127:D127"/>
    <mergeCell ref="B121:D121"/>
    <mergeCell ref="B122:D122"/>
    <mergeCell ref="B123:D123"/>
    <mergeCell ref="B124:D124"/>
    <mergeCell ref="B125:D125"/>
    <mergeCell ref="B126:D126"/>
  </mergeCells>
  <phoneticPr fontId="48" type="noConversion"/>
  <pageMargins left="0.7" right="0.7" top="0.75" bottom="0.75" header="0.3" footer="0.3"/>
  <pageSetup paperSize="9" scale="91" fitToHeight="0" orientation="portrait" r:id="rId1"/>
  <headerFooter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35"/>
  <sheetViews>
    <sheetView view="pageBreakPreview" topLeftCell="A64" zoomScaleNormal="100" zoomScaleSheetLayoutView="100" workbookViewId="0">
      <selection activeCell="A65" sqref="A65:A69"/>
    </sheetView>
  </sheetViews>
  <sheetFormatPr defaultColWidth="9.1796875" defaultRowHeight="13" x14ac:dyDescent="0.35"/>
  <cols>
    <col min="1" max="1" width="4.7265625" style="71" customWidth="1"/>
    <col min="2" max="2" width="29.453125" style="71" customWidth="1"/>
    <col min="3" max="3" width="20.26953125" style="71" customWidth="1"/>
    <col min="4" max="4" width="16.7265625" style="71" customWidth="1"/>
    <col min="5" max="5" width="17.7265625" style="71" bestFit="1" customWidth="1"/>
    <col min="6" max="16384" width="9.1796875" style="71"/>
  </cols>
  <sheetData>
    <row r="1" spans="1:5" x14ac:dyDescent="0.35">
      <c r="A1" s="351" t="s">
        <v>425</v>
      </c>
      <c r="B1" s="351"/>
      <c r="C1" s="351"/>
      <c r="D1" s="351"/>
      <c r="E1" s="351"/>
    </row>
    <row r="2" spans="1:5" x14ac:dyDescent="0.35">
      <c r="A2" s="329"/>
      <c r="B2" s="329"/>
      <c r="C2" s="329"/>
      <c r="D2" s="329"/>
      <c r="E2" s="329"/>
    </row>
    <row r="3" spans="1:5" x14ac:dyDescent="0.35">
      <c r="A3" s="350" t="s">
        <v>29</v>
      </c>
      <c r="B3" s="350"/>
      <c r="C3" s="350"/>
      <c r="D3" s="350"/>
      <c r="E3" s="350"/>
    </row>
    <row r="4" spans="1:5" x14ac:dyDescent="0.35">
      <c r="A4" s="101" t="s">
        <v>30</v>
      </c>
      <c r="B4" s="280" t="s">
        <v>31</v>
      </c>
      <c r="C4" s="280"/>
      <c r="D4" s="280"/>
      <c r="E4" s="73">
        <v>44793</v>
      </c>
    </row>
    <row r="5" spans="1:5" x14ac:dyDescent="0.35">
      <c r="A5" s="101" t="s">
        <v>32</v>
      </c>
      <c r="B5" s="280" t="s">
        <v>33</v>
      </c>
      <c r="C5" s="280"/>
      <c r="D5" s="280"/>
      <c r="E5" s="101" t="s">
        <v>142</v>
      </c>
    </row>
    <row r="6" spans="1:5" x14ac:dyDescent="0.35">
      <c r="A6" s="101" t="s">
        <v>34</v>
      </c>
      <c r="B6" s="280" t="s">
        <v>35</v>
      </c>
      <c r="C6" s="280"/>
      <c r="D6" s="280"/>
      <c r="E6" s="291" t="s">
        <v>389</v>
      </c>
    </row>
    <row r="7" spans="1:5" x14ac:dyDescent="0.35">
      <c r="A7" s="101" t="s">
        <v>36</v>
      </c>
      <c r="B7" s="280" t="s">
        <v>37</v>
      </c>
      <c r="C7" s="280"/>
      <c r="D7" s="280"/>
      <c r="E7" s="101">
        <v>12</v>
      </c>
    </row>
    <row r="8" spans="1:5" ht="12.75" customHeight="1" x14ac:dyDescent="0.35">
      <c r="A8" s="330"/>
      <c r="B8" s="330"/>
      <c r="C8" s="330"/>
      <c r="D8" s="330"/>
      <c r="E8" s="330"/>
    </row>
    <row r="9" spans="1:5" x14ac:dyDescent="0.35">
      <c r="A9" s="350" t="s">
        <v>38</v>
      </c>
      <c r="B9" s="350"/>
      <c r="C9" s="350"/>
      <c r="D9" s="350"/>
      <c r="E9" s="350"/>
    </row>
    <row r="10" spans="1:5" ht="28.5" customHeight="1" x14ac:dyDescent="0.35">
      <c r="A10" s="280" t="s">
        <v>39</v>
      </c>
      <c r="B10" s="280"/>
      <c r="C10" s="280" t="s">
        <v>40</v>
      </c>
      <c r="D10" s="352" t="s">
        <v>41</v>
      </c>
      <c r="E10" s="352"/>
    </row>
    <row r="11" spans="1:5" x14ac:dyDescent="0.35">
      <c r="A11" s="280"/>
      <c r="B11" s="280" t="s">
        <v>326</v>
      </c>
      <c r="C11" s="302" t="s">
        <v>42</v>
      </c>
      <c r="D11" s="354">
        <v>1</v>
      </c>
      <c r="E11" s="354"/>
    </row>
    <row r="12" spans="1:5" x14ac:dyDescent="0.35">
      <c r="A12" s="330"/>
      <c r="B12" s="330"/>
      <c r="C12" s="330"/>
      <c r="D12" s="330"/>
      <c r="E12" s="330"/>
    </row>
    <row r="13" spans="1:5" ht="42" customHeight="1" x14ac:dyDescent="0.35">
      <c r="A13" s="350" t="s">
        <v>43</v>
      </c>
      <c r="B13" s="350"/>
      <c r="C13" s="350"/>
      <c r="D13" s="350"/>
      <c r="E13" s="350"/>
    </row>
    <row r="14" spans="1:5" x14ac:dyDescent="0.35">
      <c r="A14" s="101">
        <v>1</v>
      </c>
      <c r="B14" s="331" t="s">
        <v>44</v>
      </c>
      <c r="C14" s="331"/>
      <c r="D14" s="331"/>
      <c r="E14" s="101" t="s">
        <v>326</v>
      </c>
    </row>
    <row r="15" spans="1:5" ht="12.75" customHeight="1" x14ac:dyDescent="0.35">
      <c r="A15" s="101">
        <v>2</v>
      </c>
      <c r="B15" s="331" t="s">
        <v>45</v>
      </c>
      <c r="C15" s="331"/>
      <c r="D15" s="331"/>
      <c r="E15" s="278"/>
    </row>
    <row r="16" spans="1:5" ht="12.75" customHeight="1" x14ac:dyDescent="0.35">
      <c r="A16" s="101">
        <v>3</v>
      </c>
      <c r="B16" s="331" t="s">
        <v>46</v>
      </c>
      <c r="C16" s="331"/>
      <c r="D16" s="331"/>
      <c r="E16" s="72">
        <v>2833.5</v>
      </c>
    </row>
    <row r="17" spans="1:5" ht="12.75" customHeight="1" x14ac:dyDescent="0.35">
      <c r="A17" s="101">
        <v>4</v>
      </c>
      <c r="B17" s="331" t="s">
        <v>47</v>
      </c>
      <c r="C17" s="331"/>
      <c r="D17" s="331"/>
      <c r="E17" s="101" t="str">
        <f t="shared" ref="E17" si="0">E14</f>
        <v xml:space="preserve">ENCARREGADO </v>
      </c>
    </row>
    <row r="18" spans="1:5" x14ac:dyDescent="0.35">
      <c r="A18" s="101">
        <v>5</v>
      </c>
      <c r="B18" s="331" t="s">
        <v>48</v>
      </c>
      <c r="C18" s="331"/>
      <c r="D18" s="331"/>
      <c r="E18" s="73">
        <v>44562</v>
      </c>
    </row>
    <row r="19" spans="1:5" ht="12.75" customHeight="1" x14ac:dyDescent="0.35">
      <c r="A19" s="330"/>
      <c r="B19" s="330"/>
      <c r="C19" s="330"/>
      <c r="D19" s="330"/>
      <c r="E19" s="330"/>
    </row>
    <row r="20" spans="1:5" ht="12.75" customHeight="1" x14ac:dyDescent="0.35">
      <c r="A20" s="181" t="s">
        <v>49</v>
      </c>
      <c r="B20" s="181"/>
      <c r="C20" s="181"/>
      <c r="D20" s="181"/>
      <c r="E20" s="181"/>
    </row>
    <row r="21" spans="1:5" ht="12.75" customHeight="1" x14ac:dyDescent="0.35">
      <c r="A21" s="277">
        <v>1</v>
      </c>
      <c r="B21" s="329" t="s">
        <v>50</v>
      </c>
      <c r="C21" s="329"/>
      <c r="D21" s="277" t="s">
        <v>51</v>
      </c>
      <c r="E21" s="277" t="s">
        <v>52</v>
      </c>
    </row>
    <row r="22" spans="1:5" ht="12.75" customHeight="1" x14ac:dyDescent="0.35">
      <c r="A22" s="277" t="s">
        <v>30</v>
      </c>
      <c r="B22" s="331" t="s">
        <v>53</v>
      </c>
      <c r="C22" s="331"/>
      <c r="D22" s="74"/>
      <c r="E22" s="75">
        <v>2833.5</v>
      </c>
    </row>
    <row r="23" spans="1:5" ht="12.75" customHeight="1" x14ac:dyDescent="0.35">
      <c r="A23" s="277" t="s">
        <v>32</v>
      </c>
      <c r="B23" s="331" t="s">
        <v>54</v>
      </c>
      <c r="C23" s="331"/>
      <c r="D23" s="76"/>
      <c r="E23" s="77">
        <v>0</v>
      </c>
    </row>
    <row r="24" spans="1:5" ht="12.75" customHeight="1" x14ac:dyDescent="0.35">
      <c r="A24" s="277" t="s">
        <v>34</v>
      </c>
      <c r="B24" s="331" t="s">
        <v>55</v>
      </c>
      <c r="C24" s="331"/>
      <c r="D24" s="76"/>
      <c r="E24" s="77">
        <f>D24*E22</f>
        <v>0</v>
      </c>
    </row>
    <row r="25" spans="1:5" ht="12.75" customHeight="1" x14ac:dyDescent="0.35">
      <c r="A25" s="277" t="s">
        <v>36</v>
      </c>
      <c r="B25" s="331" t="s">
        <v>56</v>
      </c>
      <c r="C25" s="331"/>
      <c r="D25" s="76"/>
      <c r="E25" s="77">
        <v>0</v>
      </c>
    </row>
    <row r="26" spans="1:5" x14ac:dyDescent="0.35">
      <c r="A26" s="78" t="s">
        <v>57</v>
      </c>
      <c r="B26" s="331" t="s">
        <v>58</v>
      </c>
      <c r="C26" s="331"/>
      <c r="D26" s="79"/>
      <c r="E26" s="77">
        <v>0</v>
      </c>
    </row>
    <row r="27" spans="1:5" x14ac:dyDescent="0.35">
      <c r="A27" s="277" t="s">
        <v>59</v>
      </c>
      <c r="B27" s="331" t="s">
        <v>60</v>
      </c>
      <c r="C27" s="331"/>
      <c r="D27" s="79"/>
      <c r="E27" s="77">
        <v>0</v>
      </c>
    </row>
    <row r="28" spans="1:5" x14ac:dyDescent="0.35">
      <c r="A28" s="78" t="s">
        <v>61</v>
      </c>
      <c r="B28" s="331" t="s">
        <v>62</v>
      </c>
      <c r="C28" s="331"/>
      <c r="D28" s="76"/>
      <c r="E28" s="77">
        <v>0</v>
      </c>
    </row>
    <row r="29" spans="1:5" ht="12.75" customHeight="1" x14ac:dyDescent="0.35">
      <c r="A29" s="329" t="s">
        <v>63</v>
      </c>
      <c r="B29" s="329"/>
      <c r="C29" s="329"/>
      <c r="D29" s="329"/>
      <c r="E29" s="80">
        <f>TRUNC(SUM(E22:E28),2)</f>
        <v>2833.5</v>
      </c>
    </row>
    <row r="30" spans="1:5" ht="12.75" customHeight="1" x14ac:dyDescent="0.35">
      <c r="A30" s="329"/>
      <c r="B30" s="329"/>
      <c r="C30" s="329"/>
      <c r="D30" s="329"/>
      <c r="E30" s="329"/>
    </row>
    <row r="31" spans="1:5" ht="12.75" customHeight="1" x14ac:dyDescent="0.35">
      <c r="A31" s="181" t="s">
        <v>64</v>
      </c>
      <c r="B31" s="181"/>
      <c r="C31" s="181"/>
      <c r="D31" s="181"/>
      <c r="E31" s="181"/>
    </row>
    <row r="32" spans="1:5" ht="12.75" customHeight="1" x14ac:dyDescent="0.35">
      <c r="A32" s="329" t="s">
        <v>65</v>
      </c>
      <c r="B32" s="329"/>
      <c r="C32" s="329"/>
      <c r="D32" s="277" t="s">
        <v>51</v>
      </c>
      <c r="E32" s="277" t="s">
        <v>52</v>
      </c>
    </row>
    <row r="33" spans="1:5" ht="12.75" customHeight="1" x14ac:dyDescent="0.35">
      <c r="A33" s="277" t="s">
        <v>30</v>
      </c>
      <c r="B33" s="331" t="s">
        <v>66</v>
      </c>
      <c r="C33" s="331"/>
      <c r="D33" s="81">
        <v>8.3299999999999999E-2</v>
      </c>
      <c r="E33" s="77">
        <f>E22*D33</f>
        <v>236.03055000000001</v>
      </c>
    </row>
    <row r="34" spans="1:5" ht="12.75" customHeight="1" x14ac:dyDescent="0.35">
      <c r="A34" s="277" t="s">
        <v>32</v>
      </c>
      <c r="B34" s="331" t="s">
        <v>67</v>
      </c>
      <c r="C34" s="331"/>
      <c r="D34" s="82">
        <v>0.121</v>
      </c>
      <c r="E34" s="77">
        <f>D34*E29</f>
        <v>342.8535</v>
      </c>
    </row>
    <row r="35" spans="1:5" ht="12.75" customHeight="1" x14ac:dyDescent="0.35">
      <c r="A35" s="329" t="s">
        <v>68</v>
      </c>
      <c r="B35" s="329"/>
      <c r="C35" s="329"/>
      <c r="D35" s="83">
        <f>TRUNC(SUM(D33:D34),4)</f>
        <v>0.20430000000000001</v>
      </c>
      <c r="E35" s="84">
        <f>TRUNC(SUM(E33:E34),2)</f>
        <v>578.88</v>
      </c>
    </row>
    <row r="36" spans="1:5" ht="12.75" customHeight="1" x14ac:dyDescent="0.35">
      <c r="A36" s="335"/>
      <c r="B36" s="335"/>
      <c r="C36" s="335"/>
      <c r="D36" s="335"/>
      <c r="E36" s="335"/>
    </row>
    <row r="37" spans="1:5" ht="12.75" customHeight="1" x14ac:dyDescent="0.35">
      <c r="A37" s="329" t="s">
        <v>69</v>
      </c>
      <c r="B37" s="329"/>
      <c r="C37" s="329"/>
      <c r="D37" s="277" t="s">
        <v>51</v>
      </c>
      <c r="E37" s="277" t="s">
        <v>52</v>
      </c>
    </row>
    <row r="38" spans="1:5" ht="12.75" customHeight="1" x14ac:dyDescent="0.35">
      <c r="A38" s="277" t="s">
        <v>30</v>
      </c>
      <c r="B38" s="331" t="s">
        <v>70</v>
      </c>
      <c r="C38" s="331"/>
      <c r="D38" s="81">
        <v>0.2</v>
      </c>
      <c r="E38" s="93">
        <f>D38*(E29+E35)</f>
        <v>682.47600000000011</v>
      </c>
    </row>
    <row r="39" spans="1:5" ht="12.75" customHeight="1" x14ac:dyDescent="0.35">
      <c r="A39" s="277" t="s">
        <v>32</v>
      </c>
      <c r="B39" s="331" t="s">
        <v>71</v>
      </c>
      <c r="C39" s="331"/>
      <c r="D39" s="81">
        <v>2.5000000000000001E-2</v>
      </c>
      <c r="E39" s="93">
        <f>D39*(E29+E35)</f>
        <v>85.309500000000014</v>
      </c>
    </row>
    <row r="40" spans="1:5" ht="12.75" customHeight="1" x14ac:dyDescent="0.35">
      <c r="A40" s="277" t="s">
        <v>34</v>
      </c>
      <c r="B40" s="331" t="s">
        <v>72</v>
      </c>
      <c r="C40" s="331"/>
      <c r="D40" s="81">
        <v>0.03</v>
      </c>
      <c r="E40" s="93">
        <f>D40*(E29+E35)</f>
        <v>102.37139999999999</v>
      </c>
    </row>
    <row r="41" spans="1:5" ht="12.75" customHeight="1" x14ac:dyDescent="0.35">
      <c r="A41" s="277" t="s">
        <v>36</v>
      </c>
      <c r="B41" s="331" t="s">
        <v>73</v>
      </c>
      <c r="C41" s="331"/>
      <c r="D41" s="81">
        <v>1.4999999999999999E-2</v>
      </c>
      <c r="E41" s="93">
        <f>D41*(E29+E35)</f>
        <v>51.185699999999997</v>
      </c>
    </row>
    <row r="42" spans="1:5" x14ac:dyDescent="0.35">
      <c r="A42" s="277" t="s">
        <v>57</v>
      </c>
      <c r="B42" s="331" t="s">
        <v>74</v>
      </c>
      <c r="C42" s="331"/>
      <c r="D42" s="81">
        <v>0.01</v>
      </c>
      <c r="E42" s="93">
        <f>D42*(E29+E35)</f>
        <v>34.123800000000003</v>
      </c>
    </row>
    <row r="43" spans="1:5" x14ac:dyDescent="0.35">
      <c r="A43" s="277" t="s">
        <v>59</v>
      </c>
      <c r="B43" s="331" t="s">
        <v>75</v>
      </c>
      <c r="C43" s="331"/>
      <c r="D43" s="81">
        <v>6.0000000000000001E-3</v>
      </c>
      <c r="E43" s="93">
        <f>D43*(E29+E35)</f>
        <v>20.47428</v>
      </c>
    </row>
    <row r="44" spans="1:5" x14ac:dyDescent="0.35">
      <c r="A44" s="277" t="s">
        <v>61</v>
      </c>
      <c r="B44" s="331" t="s">
        <v>76</v>
      </c>
      <c r="C44" s="331"/>
      <c r="D44" s="81">
        <v>2E-3</v>
      </c>
      <c r="E44" s="93">
        <f>D44*(E29+E35)</f>
        <v>6.8247600000000004</v>
      </c>
    </row>
    <row r="45" spans="1:5" x14ac:dyDescent="0.35">
      <c r="A45" s="277" t="s">
        <v>77</v>
      </c>
      <c r="B45" s="331" t="s">
        <v>78</v>
      </c>
      <c r="C45" s="331"/>
      <c r="D45" s="81">
        <v>0.08</v>
      </c>
      <c r="E45" s="93">
        <f>D45*(E29+E35)</f>
        <v>272.99040000000002</v>
      </c>
    </row>
    <row r="46" spans="1:5" x14ac:dyDescent="0.35">
      <c r="A46" s="329" t="s">
        <v>79</v>
      </c>
      <c r="B46" s="329"/>
      <c r="C46" s="329"/>
      <c r="D46" s="83">
        <f>SUM(D38:D45)</f>
        <v>0.36800000000000005</v>
      </c>
      <c r="E46" s="177">
        <f>TRUNC(SUM(E38:E45),2)</f>
        <v>1255.75</v>
      </c>
    </row>
    <row r="47" spans="1:5" x14ac:dyDescent="0.35">
      <c r="A47" s="329"/>
      <c r="B47" s="329"/>
      <c r="C47" s="329"/>
      <c r="D47" s="329"/>
      <c r="E47" s="329"/>
    </row>
    <row r="48" spans="1:5" ht="12.75" customHeight="1" x14ac:dyDescent="0.35">
      <c r="A48" s="329" t="s">
        <v>80</v>
      </c>
      <c r="B48" s="329"/>
      <c r="C48" s="329"/>
      <c r="D48" s="83"/>
      <c r="E48" s="277" t="s">
        <v>52</v>
      </c>
    </row>
    <row r="49" spans="1:5" x14ac:dyDescent="0.35">
      <c r="A49" s="277" t="s">
        <v>30</v>
      </c>
      <c r="B49" s="349" t="s">
        <v>81</v>
      </c>
      <c r="C49" s="349"/>
      <c r="D49" s="94" t="s">
        <v>13</v>
      </c>
      <c r="E49" s="175">
        <f>(11*22)-(E22*6%)</f>
        <v>71.990000000000009</v>
      </c>
    </row>
    <row r="50" spans="1:5" x14ac:dyDescent="0.35">
      <c r="A50" s="277" t="s">
        <v>32</v>
      </c>
      <c r="B50" s="338" t="s">
        <v>82</v>
      </c>
      <c r="C50" s="338"/>
      <c r="D50" s="101" t="s">
        <v>13</v>
      </c>
      <c r="E50" s="174">
        <f>38*22</f>
        <v>836</v>
      </c>
    </row>
    <row r="51" spans="1:5" ht="12.75" customHeight="1" x14ac:dyDescent="0.35">
      <c r="A51" s="277" t="s">
        <v>34</v>
      </c>
      <c r="B51" s="338" t="s">
        <v>143</v>
      </c>
      <c r="C51" s="338"/>
      <c r="D51" s="101" t="s">
        <v>13</v>
      </c>
      <c r="E51" s="175">
        <v>2.5</v>
      </c>
    </row>
    <row r="52" spans="1:5" customFormat="1" ht="14.5" x14ac:dyDescent="0.35">
      <c r="A52" s="277" t="s">
        <v>36</v>
      </c>
      <c r="B52" s="342" t="s">
        <v>144</v>
      </c>
      <c r="C52" s="342"/>
      <c r="D52" s="101" t="s">
        <v>13</v>
      </c>
      <c r="E52" s="176">
        <v>11.27</v>
      </c>
    </row>
    <row r="53" spans="1:5" customFormat="1" ht="14.5" x14ac:dyDescent="0.35">
      <c r="A53" s="277" t="s">
        <v>57</v>
      </c>
      <c r="B53" s="342" t="s">
        <v>145</v>
      </c>
      <c r="C53" s="342"/>
      <c r="D53" s="101"/>
      <c r="E53" s="176">
        <v>169.67</v>
      </c>
    </row>
    <row r="54" spans="1:5" x14ac:dyDescent="0.35">
      <c r="A54" s="329" t="s">
        <v>83</v>
      </c>
      <c r="B54" s="329"/>
      <c r="C54" s="329"/>
      <c r="D54" s="329"/>
      <c r="E54" s="177">
        <f>TRUNC(SUM(E49:E53),2)</f>
        <v>1091.43</v>
      </c>
    </row>
    <row r="55" spans="1:5" ht="13.5" customHeight="1" x14ac:dyDescent="0.35">
      <c r="A55" s="335"/>
      <c r="B55" s="335"/>
      <c r="C55" s="335"/>
      <c r="D55" s="335"/>
      <c r="E55" s="335"/>
    </row>
    <row r="56" spans="1:5" x14ac:dyDescent="0.35">
      <c r="A56" s="340" t="s">
        <v>84</v>
      </c>
      <c r="B56" s="340"/>
      <c r="C56" s="340"/>
      <c r="D56" s="340"/>
      <c r="E56" s="340"/>
    </row>
    <row r="57" spans="1:5" ht="15" customHeight="1" x14ac:dyDescent="0.35">
      <c r="A57" s="329" t="s">
        <v>85</v>
      </c>
      <c r="B57" s="329"/>
      <c r="C57" s="329"/>
      <c r="D57" s="329"/>
      <c r="E57" s="277" t="s">
        <v>52</v>
      </c>
    </row>
    <row r="58" spans="1:5" ht="15" customHeight="1" x14ac:dyDescent="0.35">
      <c r="A58" s="277" t="s">
        <v>86</v>
      </c>
      <c r="B58" s="331" t="s">
        <v>87</v>
      </c>
      <c r="C58" s="331"/>
      <c r="D58" s="331"/>
      <c r="E58" s="75">
        <f>E35</f>
        <v>578.88</v>
      </c>
    </row>
    <row r="59" spans="1:5" ht="15" customHeight="1" x14ac:dyDescent="0.35">
      <c r="A59" s="78" t="s">
        <v>88</v>
      </c>
      <c r="B59" s="331" t="s">
        <v>89</v>
      </c>
      <c r="C59" s="331"/>
      <c r="D59" s="331"/>
      <c r="E59" s="89">
        <f>E46</f>
        <v>1255.75</v>
      </c>
    </row>
    <row r="60" spans="1:5" ht="15" customHeight="1" x14ac:dyDescent="0.35">
      <c r="A60" s="78" t="s">
        <v>90</v>
      </c>
      <c r="B60" s="331" t="s">
        <v>91</v>
      </c>
      <c r="C60" s="331"/>
      <c r="D60" s="331"/>
      <c r="E60" s="89">
        <f>E54</f>
        <v>1091.43</v>
      </c>
    </row>
    <row r="61" spans="1:5" ht="15" customHeight="1" x14ac:dyDescent="0.35">
      <c r="A61" s="329" t="s">
        <v>92</v>
      </c>
      <c r="B61" s="329"/>
      <c r="C61" s="329"/>
      <c r="D61" s="329"/>
      <c r="E61" s="90">
        <f>TRUNC(SUM(E58:E60),2)</f>
        <v>2926.06</v>
      </c>
    </row>
    <row r="62" spans="1:5" x14ac:dyDescent="0.35">
      <c r="A62" s="335"/>
      <c r="B62" s="335"/>
      <c r="C62" s="335"/>
      <c r="D62" s="335"/>
      <c r="E62" s="335"/>
    </row>
    <row r="63" spans="1:5" x14ac:dyDescent="0.35">
      <c r="A63" s="336" t="s">
        <v>93</v>
      </c>
      <c r="B63" s="336"/>
      <c r="C63" s="336"/>
      <c r="D63" s="336"/>
      <c r="E63" s="336"/>
    </row>
    <row r="64" spans="1:5" x14ac:dyDescent="0.35">
      <c r="A64" s="277">
        <v>3</v>
      </c>
      <c r="B64" s="329" t="s">
        <v>94</v>
      </c>
      <c r="C64" s="329"/>
      <c r="D64" s="277" t="s">
        <v>51</v>
      </c>
      <c r="E64" s="277" t="s">
        <v>52</v>
      </c>
    </row>
    <row r="65" spans="1:5" x14ac:dyDescent="0.35">
      <c r="A65" s="303" t="s">
        <v>30</v>
      </c>
      <c r="B65" s="341" t="s">
        <v>95</v>
      </c>
      <c r="C65" s="341"/>
      <c r="D65" s="88">
        <v>4.1999999999999997E-3</v>
      </c>
      <c r="E65" s="89">
        <f>(E29)*D65</f>
        <v>11.900699999999999</v>
      </c>
    </row>
    <row r="66" spans="1:5" ht="13.5" customHeight="1" x14ac:dyDescent="0.35">
      <c r="A66" s="303" t="s">
        <v>32</v>
      </c>
      <c r="B66" s="342" t="s">
        <v>96</v>
      </c>
      <c r="C66" s="342"/>
      <c r="D66" s="88">
        <f>0.08*D65</f>
        <v>3.3599999999999998E-4</v>
      </c>
      <c r="E66" s="75">
        <f>D66*E29</f>
        <v>0.9520559999999999</v>
      </c>
    </row>
    <row r="67" spans="1:5" x14ac:dyDescent="0.35">
      <c r="A67" s="303" t="s">
        <v>34</v>
      </c>
      <c r="B67" s="342" t="s">
        <v>97</v>
      </c>
      <c r="C67" s="342"/>
      <c r="D67" s="81">
        <v>1.9400000000000001E-2</v>
      </c>
      <c r="E67" s="75">
        <f>(E29)*D67</f>
        <v>54.969900000000003</v>
      </c>
    </row>
    <row r="68" spans="1:5" ht="25.5" customHeight="1" x14ac:dyDescent="0.35">
      <c r="A68" s="303" t="s">
        <v>36</v>
      </c>
      <c r="B68" s="342" t="s">
        <v>98</v>
      </c>
      <c r="C68" s="342"/>
      <c r="D68" s="82">
        <f>D46*D67</f>
        <v>7.1392000000000009E-3</v>
      </c>
      <c r="E68" s="75">
        <f>E29*D68</f>
        <v>20.228923200000004</v>
      </c>
    </row>
    <row r="69" spans="1:5" ht="26.25" customHeight="1" x14ac:dyDescent="0.35">
      <c r="A69" s="303" t="s">
        <v>57</v>
      </c>
      <c r="B69" s="343" t="s">
        <v>433</v>
      </c>
      <c r="C69" s="344"/>
      <c r="D69" s="88">
        <v>0.04</v>
      </c>
      <c r="E69" s="75">
        <f>(E29)*D69</f>
        <v>113.34</v>
      </c>
    </row>
    <row r="70" spans="1:5" x14ac:dyDescent="0.35">
      <c r="A70" s="329" t="s">
        <v>99</v>
      </c>
      <c r="B70" s="329"/>
      <c r="C70" s="329"/>
      <c r="D70" s="83">
        <f>TRUNC(SUM(D65:D69),4)</f>
        <v>7.0999999999999994E-2</v>
      </c>
      <c r="E70" s="80">
        <f>TRUNC(SUM(E65:E69),2)</f>
        <v>201.39</v>
      </c>
    </row>
    <row r="71" spans="1:5" ht="71.5" customHeight="1" x14ac:dyDescent="0.35">
      <c r="A71" s="345" t="s">
        <v>429</v>
      </c>
      <c r="B71" s="346"/>
      <c r="C71" s="346"/>
      <c r="D71" s="346"/>
      <c r="E71" s="347"/>
    </row>
    <row r="72" spans="1:5" x14ac:dyDescent="0.35">
      <c r="A72" s="336" t="s">
        <v>100</v>
      </c>
      <c r="B72" s="336"/>
      <c r="C72" s="336"/>
      <c r="D72" s="336"/>
      <c r="E72" s="336"/>
    </row>
    <row r="73" spans="1:5" x14ac:dyDescent="0.35">
      <c r="A73" s="329" t="s">
        <v>430</v>
      </c>
      <c r="B73" s="329"/>
      <c r="C73" s="329"/>
      <c r="D73" s="277" t="s">
        <v>51</v>
      </c>
      <c r="E73" s="277" t="s">
        <v>52</v>
      </c>
    </row>
    <row r="74" spans="1:5" x14ac:dyDescent="0.35">
      <c r="A74" s="277" t="s">
        <v>30</v>
      </c>
      <c r="B74" s="331" t="s">
        <v>101</v>
      </c>
      <c r="C74" s="331"/>
      <c r="D74" s="81">
        <v>1.6199999999999999E-2</v>
      </c>
      <c r="E74" s="75">
        <f>D74*(E29)</f>
        <v>45.902699999999996</v>
      </c>
    </row>
    <row r="75" spans="1:5" x14ac:dyDescent="0.35">
      <c r="A75" s="78" t="s">
        <v>32</v>
      </c>
      <c r="B75" s="348" t="s">
        <v>102</v>
      </c>
      <c r="C75" s="348"/>
      <c r="D75" s="88">
        <v>2.8E-3</v>
      </c>
      <c r="E75" s="75">
        <f>D75*(E29)</f>
        <v>7.9337999999999997</v>
      </c>
    </row>
    <row r="76" spans="1:5" x14ac:dyDescent="0.35">
      <c r="A76" s="78" t="s">
        <v>34</v>
      </c>
      <c r="B76" s="348" t="s">
        <v>103</v>
      </c>
      <c r="C76" s="348"/>
      <c r="D76" s="88">
        <v>1E-4</v>
      </c>
      <c r="E76" s="75">
        <f>D76*(E29)</f>
        <v>0.28334999999999999</v>
      </c>
    </row>
    <row r="77" spans="1:5" x14ac:dyDescent="0.35">
      <c r="A77" s="78" t="s">
        <v>36</v>
      </c>
      <c r="B77" s="348" t="s">
        <v>104</v>
      </c>
      <c r="C77" s="348"/>
      <c r="D77" s="88">
        <v>4.1999999999999997E-3</v>
      </c>
      <c r="E77" s="75">
        <f>D77*(E29)</f>
        <v>11.900699999999999</v>
      </c>
    </row>
    <row r="78" spans="1:5" x14ac:dyDescent="0.35">
      <c r="A78" s="78" t="s">
        <v>57</v>
      </c>
      <c r="B78" s="331" t="s">
        <v>105</v>
      </c>
      <c r="C78" s="331"/>
      <c r="D78" s="88">
        <v>2.0000000000000001E-4</v>
      </c>
      <c r="E78" s="75">
        <f>D78*(E29)</f>
        <v>0.56669999999999998</v>
      </c>
    </row>
    <row r="79" spans="1:5" ht="12.75" customHeight="1" x14ac:dyDescent="0.35">
      <c r="A79" s="277" t="s">
        <v>59</v>
      </c>
      <c r="B79" s="348" t="s">
        <v>62</v>
      </c>
      <c r="C79" s="348"/>
      <c r="D79" s="88">
        <v>0</v>
      </c>
      <c r="E79" s="75">
        <f>D79*(E29)</f>
        <v>0</v>
      </c>
    </row>
    <row r="80" spans="1:5" x14ac:dyDescent="0.35">
      <c r="A80" s="329" t="s">
        <v>106</v>
      </c>
      <c r="B80" s="329"/>
      <c r="C80" s="329"/>
      <c r="D80" s="83">
        <f>TRUNC(SUM(D74:D79),4)</f>
        <v>2.35E-2</v>
      </c>
      <c r="E80" s="80">
        <f>SUM(E74:E79)</f>
        <v>66.587249999999983</v>
      </c>
    </row>
    <row r="81" spans="1:5" x14ac:dyDescent="0.35">
      <c r="A81" s="335"/>
      <c r="B81" s="335"/>
      <c r="C81" s="335"/>
      <c r="D81" s="335"/>
      <c r="E81" s="335"/>
    </row>
    <row r="82" spans="1:5" x14ac:dyDescent="0.35">
      <c r="A82" s="329" t="s">
        <v>107</v>
      </c>
      <c r="B82" s="329"/>
      <c r="C82" s="329"/>
      <c r="D82" s="277" t="s">
        <v>51</v>
      </c>
      <c r="E82" s="277" t="s">
        <v>52</v>
      </c>
    </row>
    <row r="83" spans="1:5" ht="12.75" customHeight="1" x14ac:dyDescent="0.35">
      <c r="A83" s="277" t="s">
        <v>30</v>
      </c>
      <c r="B83" s="331" t="s">
        <v>108</v>
      </c>
      <c r="C83" s="331"/>
      <c r="D83" s="81">
        <v>0</v>
      </c>
      <c r="E83" s="75">
        <f>E29*D83</f>
        <v>0</v>
      </c>
    </row>
    <row r="84" spans="1:5" x14ac:dyDescent="0.35">
      <c r="A84" s="329" t="s">
        <v>109</v>
      </c>
      <c r="B84" s="329"/>
      <c r="C84" s="329"/>
      <c r="D84" s="83">
        <f>TRUNC(SUM(D83),4)</f>
        <v>0</v>
      </c>
      <c r="E84" s="80">
        <f>TRUNC(SUM(E83),2)</f>
        <v>0</v>
      </c>
    </row>
    <row r="85" spans="1:5" x14ac:dyDescent="0.35">
      <c r="A85" s="335"/>
      <c r="B85" s="335"/>
      <c r="C85" s="335"/>
      <c r="D85" s="335"/>
      <c r="E85" s="335"/>
    </row>
    <row r="86" spans="1:5" x14ac:dyDescent="0.35">
      <c r="A86" s="340" t="s">
        <v>110</v>
      </c>
      <c r="B86" s="340"/>
      <c r="C86" s="340"/>
      <c r="D86" s="340"/>
      <c r="E86" s="340"/>
    </row>
    <row r="87" spans="1:5" ht="15" customHeight="1" x14ac:dyDescent="0.35">
      <c r="A87" s="329" t="s">
        <v>111</v>
      </c>
      <c r="B87" s="329"/>
      <c r="C87" s="329"/>
      <c r="D87" s="329"/>
      <c r="E87" s="277" t="s">
        <v>52</v>
      </c>
    </row>
    <row r="88" spans="1:5" ht="15" customHeight="1" x14ac:dyDescent="0.35">
      <c r="A88" s="277" t="s">
        <v>112</v>
      </c>
      <c r="B88" s="331" t="s">
        <v>102</v>
      </c>
      <c r="C88" s="331"/>
      <c r="D88" s="331"/>
      <c r="E88" s="75">
        <f>E80</f>
        <v>66.587249999999983</v>
      </c>
    </row>
    <row r="89" spans="1:5" ht="15" customHeight="1" x14ac:dyDescent="0.35">
      <c r="A89" s="78" t="s">
        <v>113</v>
      </c>
      <c r="B89" s="331" t="s">
        <v>114</v>
      </c>
      <c r="C89" s="331"/>
      <c r="D89" s="331"/>
      <c r="E89" s="89">
        <f>E84</f>
        <v>0</v>
      </c>
    </row>
    <row r="90" spans="1:5" ht="15" customHeight="1" x14ac:dyDescent="0.35">
      <c r="A90" s="329" t="s">
        <v>115</v>
      </c>
      <c r="B90" s="329"/>
      <c r="C90" s="329"/>
      <c r="D90" s="329"/>
      <c r="E90" s="90">
        <f>TRUNC(SUM(E88:E89),2)</f>
        <v>66.58</v>
      </c>
    </row>
    <row r="91" spans="1:5" x14ac:dyDescent="0.35">
      <c r="A91" s="335"/>
      <c r="B91" s="335"/>
      <c r="C91" s="335"/>
      <c r="D91" s="335"/>
      <c r="E91" s="335"/>
    </row>
    <row r="92" spans="1:5" x14ac:dyDescent="0.35">
      <c r="A92" s="336" t="s">
        <v>116</v>
      </c>
      <c r="B92" s="336"/>
      <c r="C92" s="336"/>
      <c r="D92" s="336"/>
      <c r="E92" s="336"/>
    </row>
    <row r="93" spans="1:5" x14ac:dyDescent="0.35">
      <c r="A93" s="277">
        <v>5</v>
      </c>
      <c r="B93" s="329" t="s">
        <v>117</v>
      </c>
      <c r="C93" s="329"/>
      <c r="D93" s="277"/>
      <c r="E93" s="277" t="s">
        <v>52</v>
      </c>
    </row>
    <row r="94" spans="1:5" x14ac:dyDescent="0.35">
      <c r="A94" s="277" t="s">
        <v>30</v>
      </c>
      <c r="B94" s="338" t="s">
        <v>118</v>
      </c>
      <c r="C94" s="338"/>
      <c r="D94" s="101" t="s">
        <v>13</v>
      </c>
      <c r="E94" s="75">
        <f>'Anexo II G - UNIFORME'!D28</f>
        <v>114.8</v>
      </c>
    </row>
    <row r="95" spans="1:5" x14ac:dyDescent="0.35">
      <c r="A95" s="277" t="s">
        <v>32</v>
      </c>
      <c r="B95" s="338" t="s">
        <v>119</v>
      </c>
      <c r="C95" s="338"/>
      <c r="D95" s="101" t="s">
        <v>13</v>
      </c>
      <c r="E95" s="75">
        <v>0</v>
      </c>
    </row>
    <row r="96" spans="1:5" x14ac:dyDescent="0.35">
      <c r="A96" s="281" t="s">
        <v>34</v>
      </c>
      <c r="B96" s="338" t="s">
        <v>120</v>
      </c>
      <c r="C96" s="338"/>
      <c r="D96" s="101" t="s">
        <v>13</v>
      </c>
      <c r="E96" s="75">
        <v>0</v>
      </c>
    </row>
    <row r="97" spans="1:5" x14ac:dyDescent="0.35">
      <c r="A97" s="281" t="s">
        <v>36</v>
      </c>
      <c r="B97" s="331" t="s">
        <v>146</v>
      </c>
      <c r="C97" s="331"/>
      <c r="D97" s="101"/>
      <c r="E97" s="75">
        <v>0</v>
      </c>
    </row>
    <row r="98" spans="1:5" x14ac:dyDescent="0.35">
      <c r="A98" s="281" t="s">
        <v>57</v>
      </c>
      <c r="B98" s="338" t="s">
        <v>121</v>
      </c>
      <c r="C98" s="338"/>
      <c r="D98" s="101" t="s">
        <v>13</v>
      </c>
      <c r="E98" s="75">
        <v>0</v>
      </c>
    </row>
    <row r="99" spans="1:5" x14ac:dyDescent="0.35">
      <c r="A99" s="329" t="s">
        <v>122</v>
      </c>
      <c r="B99" s="329"/>
      <c r="C99" s="329"/>
      <c r="D99" s="83" t="s">
        <v>13</v>
      </c>
      <c r="E99" s="80">
        <f>TRUNC(SUM(E94:E98),2)</f>
        <v>114.8</v>
      </c>
    </row>
    <row r="100" spans="1:5" x14ac:dyDescent="0.35">
      <c r="A100" s="335"/>
      <c r="B100" s="335"/>
      <c r="C100" s="335"/>
      <c r="D100" s="335"/>
      <c r="E100" s="335"/>
    </row>
    <row r="101" spans="1:5" ht="12.75" customHeight="1" x14ac:dyDescent="0.35">
      <c r="A101" s="336" t="s">
        <v>123</v>
      </c>
      <c r="B101" s="336"/>
      <c r="C101" s="336"/>
      <c r="D101" s="336"/>
      <c r="E101" s="336"/>
    </row>
    <row r="102" spans="1:5" x14ac:dyDescent="0.35">
      <c r="A102" s="277">
        <v>6</v>
      </c>
      <c r="B102" s="329" t="s">
        <v>124</v>
      </c>
      <c r="C102" s="329"/>
      <c r="D102" s="277" t="s">
        <v>51</v>
      </c>
      <c r="E102" s="277" t="s">
        <v>52</v>
      </c>
    </row>
    <row r="103" spans="1:5" ht="12.75" customHeight="1" x14ac:dyDescent="0.35">
      <c r="A103" s="277" t="s">
        <v>30</v>
      </c>
      <c r="B103" s="331" t="s">
        <v>125</v>
      </c>
      <c r="C103" s="331"/>
      <c r="D103" s="91">
        <v>0.03</v>
      </c>
      <c r="E103" s="75">
        <f>TRUNC(D103*E127,2)</f>
        <v>184.26</v>
      </c>
    </row>
    <row r="104" spans="1:5" x14ac:dyDescent="0.35">
      <c r="A104" s="78" t="s">
        <v>32</v>
      </c>
      <c r="B104" s="331" t="s">
        <v>126</v>
      </c>
      <c r="C104" s="331"/>
      <c r="D104" s="276">
        <v>0.06</v>
      </c>
      <c r="E104" s="75">
        <f>TRUNC(D104*(E103+E127),2)</f>
        <v>379.59</v>
      </c>
    </row>
    <row r="105" spans="1:5" ht="12.75" customHeight="1" x14ac:dyDescent="0.35">
      <c r="A105" s="277" t="s">
        <v>34</v>
      </c>
      <c r="B105" s="337" t="s">
        <v>7</v>
      </c>
      <c r="C105" s="337"/>
      <c r="D105" s="76"/>
      <c r="E105" s="93"/>
    </row>
    <row r="106" spans="1:5" x14ac:dyDescent="0.35">
      <c r="A106" s="78"/>
      <c r="B106" s="331" t="s">
        <v>127</v>
      </c>
      <c r="C106" s="331"/>
      <c r="D106" s="92">
        <v>1.6500000000000001E-2</v>
      </c>
      <c r="E106" s="89">
        <f>TRUNC(D106*E116,2)</f>
        <v>129.04</v>
      </c>
    </row>
    <row r="107" spans="1:5" x14ac:dyDescent="0.35">
      <c r="A107" s="78"/>
      <c r="B107" s="331" t="s">
        <v>128</v>
      </c>
      <c r="C107" s="331"/>
      <c r="D107" s="92">
        <v>7.5999999999999998E-2</v>
      </c>
      <c r="E107" s="89">
        <f>TRUNC(D107*E116,2)</f>
        <v>594.36</v>
      </c>
    </row>
    <row r="108" spans="1:5" x14ac:dyDescent="0.35">
      <c r="A108" s="78"/>
      <c r="B108" s="331" t="s">
        <v>129</v>
      </c>
      <c r="C108" s="331"/>
      <c r="D108" s="92">
        <v>0.05</v>
      </c>
      <c r="E108" s="89">
        <f>TRUNC(D108*E116,2)</f>
        <v>391.03</v>
      </c>
    </row>
    <row r="109" spans="1:5" x14ac:dyDescent="0.35">
      <c r="A109" s="329" t="s">
        <v>130</v>
      </c>
      <c r="B109" s="329"/>
      <c r="C109" s="329"/>
      <c r="D109" s="92">
        <f>SUM(D103:D108)</f>
        <v>0.23249999999999998</v>
      </c>
      <c r="E109" s="90">
        <f>TRUNC(SUM(E103:E108),2)</f>
        <v>1678.28</v>
      </c>
    </row>
    <row r="110" spans="1:5" x14ac:dyDescent="0.35">
      <c r="A110" s="277"/>
      <c r="B110" s="277"/>
      <c r="C110" s="277"/>
      <c r="D110" s="92"/>
      <c r="E110" s="87"/>
    </row>
    <row r="111" spans="1:5" x14ac:dyDescent="0.35">
      <c r="A111" s="279" t="s">
        <v>131</v>
      </c>
      <c r="B111" s="333" t="s">
        <v>132</v>
      </c>
      <c r="C111" s="333"/>
      <c r="D111" s="292">
        <f>TRUNC(D106+D107+D108,4)</f>
        <v>0.14249999999999999</v>
      </c>
      <c r="E111" s="293"/>
    </row>
    <row r="112" spans="1:5" x14ac:dyDescent="0.35">
      <c r="A112" s="279"/>
      <c r="B112" s="332">
        <v>100</v>
      </c>
      <c r="C112" s="333"/>
      <c r="D112" s="292"/>
      <c r="E112" s="293"/>
    </row>
    <row r="113" spans="1:5" x14ac:dyDescent="0.35">
      <c r="A113" s="294"/>
      <c r="B113" s="295"/>
      <c r="C113" s="295"/>
      <c r="D113" s="292"/>
      <c r="E113" s="293"/>
    </row>
    <row r="114" spans="1:5" x14ac:dyDescent="0.35">
      <c r="A114" s="279" t="s">
        <v>133</v>
      </c>
      <c r="B114" s="333" t="s">
        <v>134</v>
      </c>
      <c r="C114" s="333"/>
      <c r="D114" s="292"/>
      <c r="E114" s="293">
        <f>TRUNC(E127+E103+E104,2)</f>
        <v>6706.18</v>
      </c>
    </row>
    <row r="115" spans="1:5" x14ac:dyDescent="0.35">
      <c r="A115" s="279"/>
      <c r="B115" s="295"/>
      <c r="C115" s="295"/>
      <c r="D115" s="292"/>
      <c r="E115" s="293"/>
    </row>
    <row r="116" spans="1:5" x14ac:dyDescent="0.35">
      <c r="A116" s="279" t="s">
        <v>135</v>
      </c>
      <c r="B116" s="333" t="s">
        <v>136</v>
      </c>
      <c r="C116" s="333"/>
      <c r="D116" s="292"/>
      <c r="E116" s="293">
        <f>E114/(1-D111)</f>
        <v>7820.618075801749</v>
      </c>
    </row>
    <row r="117" spans="1:5" x14ac:dyDescent="0.35">
      <c r="A117" s="279"/>
      <c r="B117" s="295"/>
      <c r="C117" s="295"/>
      <c r="D117" s="292"/>
      <c r="E117" s="293"/>
    </row>
    <row r="118" spans="1:5" x14ac:dyDescent="0.35">
      <c r="A118" s="279"/>
      <c r="B118" s="333" t="s">
        <v>137</v>
      </c>
      <c r="C118" s="333"/>
      <c r="D118" s="292"/>
      <c r="E118" s="293">
        <f>TRUNC(E116-E114,2)</f>
        <v>1114.43</v>
      </c>
    </row>
    <row r="119" spans="1:5" x14ac:dyDescent="0.35">
      <c r="A119" s="330"/>
      <c r="B119" s="330"/>
      <c r="C119" s="330"/>
      <c r="D119" s="330"/>
      <c r="E119" s="330"/>
    </row>
    <row r="120" spans="1:5" x14ac:dyDescent="0.35">
      <c r="A120" s="334" t="s">
        <v>138</v>
      </c>
      <c r="B120" s="334"/>
      <c r="C120" s="334"/>
      <c r="D120" s="334"/>
      <c r="E120" s="334"/>
    </row>
    <row r="121" spans="1:5" ht="15" customHeight="1" x14ac:dyDescent="0.35">
      <c r="A121" s="329" t="s">
        <v>139</v>
      </c>
      <c r="B121" s="329"/>
      <c r="C121" s="329"/>
      <c r="D121" s="329"/>
      <c r="E121" s="277" t="s">
        <v>52</v>
      </c>
    </row>
    <row r="122" spans="1:5" ht="15" customHeight="1" x14ac:dyDescent="0.35">
      <c r="A122" s="101" t="s">
        <v>30</v>
      </c>
      <c r="B122" s="331" t="str">
        <f>A20</f>
        <v>MÓDULO 1 - COMPOSIÇÃO DA REMUNERAÇÃO</v>
      </c>
      <c r="C122" s="331"/>
      <c r="D122" s="331"/>
      <c r="E122" s="93">
        <f>E29</f>
        <v>2833.5</v>
      </c>
    </row>
    <row r="123" spans="1:5" ht="15" customHeight="1" x14ac:dyDescent="0.35">
      <c r="A123" s="94" t="s">
        <v>32</v>
      </c>
      <c r="B123" s="331" t="str">
        <f>A31</f>
        <v>MÓDULO 2 – ENCARGOS E BENEFÍCIOS ANUAIS, MENSAIS E DIÁRIOS</v>
      </c>
      <c r="C123" s="331"/>
      <c r="D123" s="331"/>
      <c r="E123" s="95">
        <f>E61</f>
        <v>2926.06</v>
      </c>
    </row>
    <row r="124" spans="1:5" ht="12.75" customHeight="1" x14ac:dyDescent="0.35">
      <c r="A124" s="94" t="s">
        <v>34</v>
      </c>
      <c r="B124" s="331" t="str">
        <f>A63</f>
        <v>MÓDULO 3 – PROVISÃO PARA RESCISÃO</v>
      </c>
      <c r="C124" s="331"/>
      <c r="D124" s="331"/>
      <c r="E124" s="95">
        <f>E70</f>
        <v>201.39</v>
      </c>
    </row>
    <row r="125" spans="1:5" ht="15" customHeight="1" x14ac:dyDescent="0.35">
      <c r="A125" s="101" t="s">
        <v>36</v>
      </c>
      <c r="B125" s="331" t="str">
        <f>A72</f>
        <v>MÓDULO 4 – CUSTO DE REPOSIÇÃO DO PROFISSIONAL AUSENTE</v>
      </c>
      <c r="C125" s="331"/>
      <c r="D125" s="331"/>
      <c r="E125" s="95">
        <f>E90</f>
        <v>66.58</v>
      </c>
    </row>
    <row r="126" spans="1:5" ht="12.75" customHeight="1" x14ac:dyDescent="0.35">
      <c r="A126" s="94" t="s">
        <v>57</v>
      </c>
      <c r="B126" s="331" t="str">
        <f>A92</f>
        <v>MÓDULO 5 – INSUMOS DIVERSOS</v>
      </c>
      <c r="C126" s="331"/>
      <c r="D126" s="331"/>
      <c r="E126" s="95">
        <f>E99</f>
        <v>114.8</v>
      </c>
    </row>
    <row r="127" spans="1:5" ht="15" customHeight="1" x14ac:dyDescent="0.35">
      <c r="A127" s="78"/>
      <c r="B127" s="329" t="s">
        <v>140</v>
      </c>
      <c r="C127" s="329"/>
      <c r="D127" s="329"/>
      <c r="E127" s="96">
        <f>TRUNC(SUM(E122:E126),2)</f>
        <v>6142.33</v>
      </c>
    </row>
    <row r="128" spans="1:5" s="97" customFormat="1" ht="15" customHeight="1" x14ac:dyDescent="0.35">
      <c r="A128" s="101" t="s">
        <v>59</v>
      </c>
      <c r="B128" s="331" t="str">
        <f>A101</f>
        <v>MÓDULO 6 – CUSTOS INDIRETOS, TRIBUTOS E LUCRO</v>
      </c>
      <c r="C128" s="331"/>
      <c r="D128" s="331"/>
      <c r="E128" s="93">
        <f>E109</f>
        <v>1678.28</v>
      </c>
    </row>
    <row r="129" spans="1:5" s="97" customFormat="1" ht="15" customHeight="1" x14ac:dyDescent="0.35">
      <c r="A129" s="329" t="s">
        <v>141</v>
      </c>
      <c r="B129" s="329"/>
      <c r="C129" s="329"/>
      <c r="D129" s="329"/>
      <c r="E129" s="96">
        <f>TRUNC(SUM(E127:E128),2)</f>
        <v>7820.61</v>
      </c>
    </row>
    <row r="130" spans="1:5" x14ac:dyDescent="0.35">
      <c r="A130" s="98"/>
      <c r="B130" s="98"/>
      <c r="C130" s="98"/>
    </row>
    <row r="131" spans="1:5" x14ac:dyDescent="0.35">
      <c r="A131" s="98"/>
      <c r="B131" s="98"/>
      <c r="C131" s="98"/>
    </row>
    <row r="132" spans="1:5" x14ac:dyDescent="0.35">
      <c r="A132" s="98"/>
      <c r="B132" s="98"/>
      <c r="C132" s="98"/>
    </row>
    <row r="133" spans="1:5" x14ac:dyDescent="0.35">
      <c r="A133" s="98"/>
      <c r="B133" s="98"/>
      <c r="C133" s="98"/>
    </row>
    <row r="134" spans="1:5" x14ac:dyDescent="0.35">
      <c r="A134" s="98"/>
      <c r="B134" s="98"/>
      <c r="C134" s="98"/>
    </row>
    <row r="135" spans="1:5" x14ac:dyDescent="0.35">
      <c r="A135" s="98"/>
      <c r="B135" s="98"/>
      <c r="C135" s="98"/>
    </row>
  </sheetData>
  <mergeCells count="119">
    <mergeCell ref="A129:D129"/>
    <mergeCell ref="A12:E12"/>
    <mergeCell ref="A8:E8"/>
    <mergeCell ref="A2:E2"/>
    <mergeCell ref="A30:E30"/>
    <mergeCell ref="A119:E119"/>
    <mergeCell ref="A99:C99"/>
    <mergeCell ref="A100:E100"/>
    <mergeCell ref="A101:E101"/>
    <mergeCell ref="B89:D89"/>
    <mergeCell ref="A90:D90"/>
    <mergeCell ref="A91:E91"/>
    <mergeCell ref="A92:E92"/>
    <mergeCell ref="B93:C93"/>
    <mergeCell ref="B94:C94"/>
    <mergeCell ref="B97:C97"/>
    <mergeCell ref="B95:C95"/>
    <mergeCell ref="B96:C96"/>
    <mergeCell ref="B108:C108"/>
    <mergeCell ref="A109:C109"/>
    <mergeCell ref="B111:C111"/>
    <mergeCell ref="B112:C112"/>
    <mergeCell ref="B114:C114"/>
    <mergeCell ref="B128:D128"/>
    <mergeCell ref="B125:D125"/>
    <mergeCell ref="B126:D126"/>
    <mergeCell ref="B127:D127"/>
    <mergeCell ref="B83:C83"/>
    <mergeCell ref="A84:C84"/>
    <mergeCell ref="A85:E85"/>
    <mergeCell ref="A86:E86"/>
    <mergeCell ref="A87:D87"/>
    <mergeCell ref="B88:D88"/>
    <mergeCell ref="B116:C116"/>
    <mergeCell ref="B118:C118"/>
    <mergeCell ref="A120:E120"/>
    <mergeCell ref="A121:D121"/>
    <mergeCell ref="B122:D122"/>
    <mergeCell ref="B123:D123"/>
    <mergeCell ref="B124:D124"/>
    <mergeCell ref="B98:C98"/>
    <mergeCell ref="B102:C102"/>
    <mergeCell ref="B103:C103"/>
    <mergeCell ref="B104:C104"/>
    <mergeCell ref="B105:C105"/>
    <mergeCell ref="B106:C106"/>
    <mergeCell ref="B107:C107"/>
    <mergeCell ref="B77:C77"/>
    <mergeCell ref="B78:C78"/>
    <mergeCell ref="B79:C79"/>
    <mergeCell ref="A80:C80"/>
    <mergeCell ref="A81:E81"/>
    <mergeCell ref="A82:C82"/>
    <mergeCell ref="A71:E71"/>
    <mergeCell ref="A72:E72"/>
    <mergeCell ref="A73:C73"/>
    <mergeCell ref="B74:C74"/>
    <mergeCell ref="B75:C75"/>
    <mergeCell ref="B76:C76"/>
    <mergeCell ref="B66:C66"/>
    <mergeCell ref="B67:C67"/>
    <mergeCell ref="B68:C68"/>
    <mergeCell ref="B69:C69"/>
    <mergeCell ref="A70:C70"/>
    <mergeCell ref="B65:C65"/>
    <mergeCell ref="B60:D60"/>
    <mergeCell ref="A61:D61"/>
    <mergeCell ref="A62:E62"/>
    <mergeCell ref="A63:E63"/>
    <mergeCell ref="B64:C64"/>
    <mergeCell ref="A37:C37"/>
    <mergeCell ref="B25:C25"/>
    <mergeCell ref="B26:C26"/>
    <mergeCell ref="B27:C27"/>
    <mergeCell ref="B28:C28"/>
    <mergeCell ref="A29:D29"/>
    <mergeCell ref="A19:E19"/>
    <mergeCell ref="B21:C21"/>
    <mergeCell ref="B22:C22"/>
    <mergeCell ref="B23:C23"/>
    <mergeCell ref="B24:C24"/>
    <mergeCell ref="A57:D57"/>
    <mergeCell ref="B58:D58"/>
    <mergeCell ref="B59:D59"/>
    <mergeCell ref="B51:C51"/>
    <mergeCell ref="B52:C52"/>
    <mergeCell ref="B44:C44"/>
    <mergeCell ref="B45:C45"/>
    <mergeCell ref="A46:C46"/>
    <mergeCell ref="A47:E47"/>
    <mergeCell ref="B53:C53"/>
    <mergeCell ref="A48:C48"/>
    <mergeCell ref="A54:D54"/>
    <mergeCell ref="A55:E55"/>
    <mergeCell ref="A56:E56"/>
    <mergeCell ref="A1:E1"/>
    <mergeCell ref="B49:C49"/>
    <mergeCell ref="B50:C50"/>
    <mergeCell ref="B14:D14"/>
    <mergeCell ref="B15:D15"/>
    <mergeCell ref="B16:D16"/>
    <mergeCell ref="B17:D17"/>
    <mergeCell ref="B18:D18"/>
    <mergeCell ref="B43:C43"/>
    <mergeCell ref="B38:C38"/>
    <mergeCell ref="B39:C39"/>
    <mergeCell ref="B40:C40"/>
    <mergeCell ref="B41:C41"/>
    <mergeCell ref="B42:C42"/>
    <mergeCell ref="A32:C32"/>
    <mergeCell ref="B33:C33"/>
    <mergeCell ref="B34:C34"/>
    <mergeCell ref="A35:C35"/>
    <mergeCell ref="A3:E3"/>
    <mergeCell ref="A9:E9"/>
    <mergeCell ref="D10:E10"/>
    <mergeCell ref="D11:E11"/>
    <mergeCell ref="A13:E13"/>
    <mergeCell ref="A36:E36"/>
  </mergeCells>
  <phoneticPr fontId="48" type="noConversion"/>
  <pageMargins left="0.7" right="0.7" top="0.75" bottom="0.75" header="0.3" footer="0.3"/>
  <pageSetup paperSize="9" scale="98" fitToHeight="0" orientation="portrait" r:id="rId1"/>
  <headerFooter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35"/>
  <sheetViews>
    <sheetView view="pageBreakPreview" topLeftCell="A64" zoomScale="85" zoomScaleNormal="100" zoomScaleSheetLayoutView="85" workbookViewId="0">
      <selection activeCell="A65" sqref="A65:A69"/>
    </sheetView>
  </sheetViews>
  <sheetFormatPr defaultColWidth="9.1796875" defaultRowHeight="13" x14ac:dyDescent="0.35"/>
  <cols>
    <col min="1" max="1" width="4.7265625" style="71" customWidth="1"/>
    <col min="2" max="2" width="29.453125" style="71" customWidth="1"/>
    <col min="3" max="3" width="20.26953125" style="71" customWidth="1"/>
    <col min="4" max="4" width="16.7265625" style="71" customWidth="1"/>
    <col min="5" max="5" width="19.81640625" style="71" bestFit="1" customWidth="1"/>
    <col min="6" max="16384" width="9.1796875" style="71"/>
  </cols>
  <sheetData>
    <row r="1" spans="1:5" x14ac:dyDescent="0.35">
      <c r="A1" s="351" t="s">
        <v>419</v>
      </c>
      <c r="B1" s="351"/>
      <c r="C1" s="351"/>
      <c r="D1" s="351"/>
      <c r="E1" s="351"/>
    </row>
    <row r="2" spans="1:5" x14ac:dyDescent="0.35">
      <c r="A2" s="329"/>
      <c r="B2" s="329"/>
      <c r="C2" s="329"/>
      <c r="D2" s="329"/>
      <c r="E2" s="329"/>
    </row>
    <row r="3" spans="1:5" x14ac:dyDescent="0.35">
      <c r="A3" s="350" t="s">
        <v>29</v>
      </c>
      <c r="B3" s="350"/>
      <c r="C3" s="350"/>
      <c r="D3" s="350"/>
      <c r="E3" s="350"/>
    </row>
    <row r="4" spans="1:5" x14ac:dyDescent="0.35">
      <c r="A4" s="101" t="s">
        <v>30</v>
      </c>
      <c r="B4" s="280" t="s">
        <v>31</v>
      </c>
      <c r="C4" s="280"/>
      <c r="D4" s="280"/>
      <c r="E4" s="73">
        <v>44793</v>
      </c>
    </row>
    <row r="5" spans="1:5" x14ac:dyDescent="0.35">
      <c r="A5" s="101" t="s">
        <v>32</v>
      </c>
      <c r="B5" s="280" t="s">
        <v>33</v>
      </c>
      <c r="C5" s="280"/>
      <c r="D5" s="280"/>
      <c r="E5" s="101" t="s">
        <v>142</v>
      </c>
    </row>
    <row r="6" spans="1:5" x14ac:dyDescent="0.35">
      <c r="A6" s="101" t="s">
        <v>34</v>
      </c>
      <c r="B6" s="280" t="s">
        <v>35</v>
      </c>
      <c r="C6" s="280"/>
      <c r="D6" s="280"/>
      <c r="E6" s="291" t="s">
        <v>389</v>
      </c>
    </row>
    <row r="7" spans="1:5" x14ac:dyDescent="0.35">
      <c r="A7" s="101" t="s">
        <v>36</v>
      </c>
      <c r="B7" s="280" t="s">
        <v>37</v>
      </c>
      <c r="C7" s="280"/>
      <c r="D7" s="280"/>
      <c r="E7" s="101">
        <v>12</v>
      </c>
    </row>
    <row r="8" spans="1:5" ht="12.75" customHeight="1" x14ac:dyDescent="0.35">
      <c r="A8" s="330"/>
      <c r="B8" s="330"/>
      <c r="C8" s="330"/>
      <c r="D8" s="330"/>
      <c r="E8" s="330"/>
    </row>
    <row r="9" spans="1:5" x14ac:dyDescent="0.35">
      <c r="A9" s="350" t="s">
        <v>38</v>
      </c>
      <c r="B9" s="350"/>
      <c r="C9" s="350"/>
      <c r="D9" s="350"/>
      <c r="E9" s="350"/>
    </row>
    <row r="10" spans="1:5" ht="28.5" customHeight="1" x14ac:dyDescent="0.35">
      <c r="A10" s="280" t="s">
        <v>39</v>
      </c>
      <c r="B10" s="280"/>
      <c r="C10" s="280" t="s">
        <v>40</v>
      </c>
      <c r="D10" s="352" t="s">
        <v>41</v>
      </c>
      <c r="E10" s="352"/>
    </row>
    <row r="11" spans="1:5" x14ac:dyDescent="0.35">
      <c r="A11" s="280"/>
      <c r="B11" s="280" t="s">
        <v>206</v>
      </c>
      <c r="C11" s="101" t="s">
        <v>205</v>
      </c>
      <c r="D11" s="354">
        <v>3</v>
      </c>
      <c r="E11" s="354"/>
    </row>
    <row r="12" spans="1:5" x14ac:dyDescent="0.35">
      <c r="A12" s="330"/>
      <c r="B12" s="330"/>
      <c r="C12" s="330"/>
      <c r="D12" s="330"/>
      <c r="E12" s="330"/>
    </row>
    <row r="13" spans="1:5" ht="45.75" customHeight="1" x14ac:dyDescent="0.35">
      <c r="A13" s="350" t="s">
        <v>43</v>
      </c>
      <c r="B13" s="350"/>
      <c r="C13" s="350"/>
      <c r="D13" s="350"/>
      <c r="E13" s="350"/>
    </row>
    <row r="14" spans="1:5" ht="21.75" customHeight="1" x14ac:dyDescent="0.35">
      <c r="A14" s="101">
        <v>1</v>
      </c>
      <c r="B14" s="331" t="s">
        <v>44</v>
      </c>
      <c r="C14" s="331"/>
      <c r="D14" s="331"/>
      <c r="E14" s="278" t="s">
        <v>206</v>
      </c>
    </row>
    <row r="15" spans="1:5" ht="12.75" customHeight="1" x14ac:dyDescent="0.35">
      <c r="A15" s="101">
        <v>2</v>
      </c>
      <c r="B15" s="331" t="s">
        <v>45</v>
      </c>
      <c r="C15" s="331"/>
      <c r="D15" s="331"/>
      <c r="E15" s="274" t="s">
        <v>382</v>
      </c>
    </row>
    <row r="16" spans="1:5" ht="12.75" customHeight="1" x14ac:dyDescent="0.35">
      <c r="A16" s="101">
        <v>3</v>
      </c>
      <c r="B16" s="331" t="s">
        <v>46</v>
      </c>
      <c r="C16" s="331"/>
      <c r="D16" s="331"/>
      <c r="E16" s="72">
        <v>1416.75</v>
      </c>
    </row>
    <row r="17" spans="1:5" ht="12.75" customHeight="1" x14ac:dyDescent="0.35">
      <c r="A17" s="101">
        <v>4</v>
      </c>
      <c r="B17" s="331" t="s">
        <v>47</v>
      </c>
      <c r="C17" s="331"/>
      <c r="D17" s="331"/>
      <c r="E17" s="101" t="str">
        <f>E14</f>
        <v>CARREGADOR/ESTIVISTA</v>
      </c>
    </row>
    <row r="18" spans="1:5" x14ac:dyDescent="0.35">
      <c r="A18" s="101">
        <v>5</v>
      </c>
      <c r="B18" s="331" t="s">
        <v>48</v>
      </c>
      <c r="C18" s="331"/>
      <c r="D18" s="331"/>
      <c r="E18" s="73">
        <v>44562</v>
      </c>
    </row>
    <row r="19" spans="1:5" ht="12.75" customHeight="1" x14ac:dyDescent="0.35">
      <c r="A19" s="330"/>
      <c r="B19" s="330"/>
      <c r="C19" s="330"/>
      <c r="D19" s="330"/>
      <c r="E19" s="330"/>
    </row>
    <row r="20" spans="1:5" ht="12.75" customHeight="1" x14ac:dyDescent="0.35">
      <c r="A20" s="336" t="s">
        <v>49</v>
      </c>
      <c r="B20" s="336"/>
      <c r="C20" s="336"/>
      <c r="D20" s="336"/>
      <c r="E20" s="336"/>
    </row>
    <row r="21" spans="1:5" ht="12.75" customHeight="1" x14ac:dyDescent="0.35">
      <c r="A21" s="277">
        <v>1</v>
      </c>
      <c r="B21" s="329" t="s">
        <v>50</v>
      </c>
      <c r="C21" s="329"/>
      <c r="D21" s="277" t="s">
        <v>51</v>
      </c>
      <c r="E21" s="277" t="s">
        <v>52</v>
      </c>
    </row>
    <row r="22" spans="1:5" ht="12.75" customHeight="1" x14ac:dyDescent="0.35">
      <c r="A22" s="277" t="s">
        <v>30</v>
      </c>
      <c r="B22" s="331" t="s">
        <v>53</v>
      </c>
      <c r="C22" s="331"/>
      <c r="D22" s="74"/>
      <c r="E22" s="75">
        <f>E16</f>
        <v>1416.75</v>
      </c>
    </row>
    <row r="23" spans="1:5" ht="12.75" customHeight="1" x14ac:dyDescent="0.35">
      <c r="A23" s="277" t="s">
        <v>32</v>
      </c>
      <c r="B23" s="331" t="s">
        <v>54</v>
      </c>
      <c r="C23" s="331"/>
      <c r="D23" s="76"/>
      <c r="E23" s="77">
        <v>0</v>
      </c>
    </row>
    <row r="24" spans="1:5" ht="12.75" customHeight="1" x14ac:dyDescent="0.35">
      <c r="A24" s="277" t="s">
        <v>34</v>
      </c>
      <c r="B24" s="331" t="s">
        <v>55</v>
      </c>
      <c r="C24" s="331"/>
      <c r="D24" s="76"/>
      <c r="E24" s="77">
        <f>D24*E22</f>
        <v>0</v>
      </c>
    </row>
    <row r="25" spans="1:5" ht="12.75" customHeight="1" x14ac:dyDescent="0.35">
      <c r="A25" s="277" t="s">
        <v>36</v>
      </c>
      <c r="B25" s="331" t="s">
        <v>56</v>
      </c>
      <c r="C25" s="331"/>
      <c r="D25" s="76"/>
      <c r="E25" s="77">
        <v>0</v>
      </c>
    </row>
    <row r="26" spans="1:5" x14ac:dyDescent="0.35">
      <c r="A26" s="78" t="s">
        <v>57</v>
      </c>
      <c r="B26" s="331" t="s">
        <v>58</v>
      </c>
      <c r="C26" s="331"/>
      <c r="D26" s="79"/>
      <c r="E26" s="77">
        <v>0</v>
      </c>
    </row>
    <row r="27" spans="1:5" x14ac:dyDescent="0.35">
      <c r="A27" s="277" t="s">
        <v>59</v>
      </c>
      <c r="B27" s="331" t="s">
        <v>60</v>
      </c>
      <c r="C27" s="331"/>
      <c r="D27" s="79"/>
      <c r="E27" s="77">
        <v>0</v>
      </c>
    </row>
    <row r="28" spans="1:5" x14ac:dyDescent="0.35">
      <c r="A28" s="78" t="s">
        <v>61</v>
      </c>
      <c r="B28" s="331" t="s">
        <v>62</v>
      </c>
      <c r="C28" s="331"/>
      <c r="D28" s="76"/>
      <c r="E28" s="77">
        <v>0</v>
      </c>
    </row>
    <row r="29" spans="1:5" ht="12.75" customHeight="1" x14ac:dyDescent="0.35">
      <c r="A29" s="329" t="s">
        <v>63</v>
      </c>
      <c r="B29" s="329"/>
      <c r="C29" s="329"/>
      <c r="D29" s="329"/>
      <c r="E29" s="80">
        <f>TRUNC(SUM(E22:E28),2)</f>
        <v>1416.75</v>
      </c>
    </row>
    <row r="30" spans="1:5" ht="12.75" customHeight="1" x14ac:dyDescent="0.35">
      <c r="A30" s="329"/>
      <c r="B30" s="329"/>
      <c r="C30" s="329"/>
      <c r="D30" s="329"/>
      <c r="E30" s="329"/>
    </row>
    <row r="31" spans="1:5" ht="12.75" customHeight="1" x14ac:dyDescent="0.35">
      <c r="A31" s="336" t="s">
        <v>64</v>
      </c>
      <c r="B31" s="336"/>
      <c r="C31" s="336"/>
      <c r="D31" s="336"/>
      <c r="E31" s="336"/>
    </row>
    <row r="32" spans="1:5" ht="12.75" customHeight="1" x14ac:dyDescent="0.35">
      <c r="A32" s="329" t="s">
        <v>65</v>
      </c>
      <c r="B32" s="329"/>
      <c r="C32" s="329"/>
      <c r="D32" s="277" t="s">
        <v>51</v>
      </c>
      <c r="E32" s="277" t="s">
        <v>52</v>
      </c>
    </row>
    <row r="33" spans="1:5" ht="12.75" customHeight="1" x14ac:dyDescent="0.35">
      <c r="A33" s="277" t="s">
        <v>30</v>
      </c>
      <c r="B33" s="331" t="s">
        <v>66</v>
      </c>
      <c r="C33" s="331"/>
      <c r="D33" s="81">
        <v>8.3299999999999999E-2</v>
      </c>
      <c r="E33" s="75">
        <f>E22*D33</f>
        <v>118.015275</v>
      </c>
    </row>
    <row r="34" spans="1:5" ht="12.75" customHeight="1" x14ac:dyDescent="0.35">
      <c r="A34" s="277" t="s">
        <v>32</v>
      </c>
      <c r="B34" s="331" t="s">
        <v>67</v>
      </c>
      <c r="C34" s="331"/>
      <c r="D34" s="82">
        <v>0.121</v>
      </c>
      <c r="E34" s="75">
        <f>D34*E29</f>
        <v>171.42675</v>
      </c>
    </row>
    <row r="35" spans="1:5" ht="12.75" customHeight="1" x14ac:dyDescent="0.35">
      <c r="A35" s="329" t="s">
        <v>68</v>
      </c>
      <c r="B35" s="329"/>
      <c r="C35" s="329"/>
      <c r="D35" s="83">
        <f>TRUNC(SUM(D33:D34),4)</f>
        <v>0.20430000000000001</v>
      </c>
      <c r="E35" s="80">
        <f>TRUNC(SUM(E33:E34),2)</f>
        <v>289.44</v>
      </c>
    </row>
    <row r="36" spans="1:5" ht="12.75" customHeight="1" x14ac:dyDescent="0.35">
      <c r="A36" s="335"/>
      <c r="B36" s="335"/>
      <c r="C36" s="335"/>
      <c r="D36" s="335"/>
      <c r="E36" s="335"/>
    </row>
    <row r="37" spans="1:5" ht="12.75" customHeight="1" x14ac:dyDescent="0.35">
      <c r="A37" s="329" t="s">
        <v>69</v>
      </c>
      <c r="B37" s="329"/>
      <c r="C37" s="329"/>
      <c r="D37" s="277" t="s">
        <v>51</v>
      </c>
      <c r="E37" s="277" t="s">
        <v>52</v>
      </c>
    </row>
    <row r="38" spans="1:5" ht="12.75" customHeight="1" x14ac:dyDescent="0.35">
      <c r="A38" s="277" t="s">
        <v>30</v>
      </c>
      <c r="B38" s="331" t="s">
        <v>70</v>
      </c>
      <c r="C38" s="331"/>
      <c r="D38" s="81">
        <v>0.2</v>
      </c>
      <c r="E38" s="93">
        <f>D38*(E29+E35)</f>
        <v>341.23800000000006</v>
      </c>
    </row>
    <row r="39" spans="1:5" ht="12.75" customHeight="1" x14ac:dyDescent="0.35">
      <c r="A39" s="277" t="s">
        <v>32</v>
      </c>
      <c r="B39" s="331" t="s">
        <v>71</v>
      </c>
      <c r="C39" s="331"/>
      <c r="D39" s="81">
        <v>2.5000000000000001E-2</v>
      </c>
      <c r="E39" s="93">
        <f>D39*(E29+E35)</f>
        <v>42.654750000000007</v>
      </c>
    </row>
    <row r="40" spans="1:5" ht="12.75" customHeight="1" x14ac:dyDescent="0.35">
      <c r="A40" s="277" t="s">
        <v>34</v>
      </c>
      <c r="B40" s="331" t="s">
        <v>72</v>
      </c>
      <c r="C40" s="331"/>
      <c r="D40" s="81">
        <v>0.03</v>
      </c>
      <c r="E40" s="93">
        <f>D40*(E29+E35)</f>
        <v>51.185699999999997</v>
      </c>
    </row>
    <row r="41" spans="1:5" ht="12.75" customHeight="1" x14ac:dyDescent="0.35">
      <c r="A41" s="277" t="s">
        <v>36</v>
      </c>
      <c r="B41" s="331" t="s">
        <v>73</v>
      </c>
      <c r="C41" s="331"/>
      <c r="D41" s="81">
        <v>1.4999999999999999E-2</v>
      </c>
      <c r="E41" s="93">
        <f>D41*(E29+E35)</f>
        <v>25.592849999999999</v>
      </c>
    </row>
    <row r="42" spans="1:5" x14ac:dyDescent="0.35">
      <c r="A42" s="277" t="s">
        <v>57</v>
      </c>
      <c r="B42" s="331" t="s">
        <v>74</v>
      </c>
      <c r="C42" s="331"/>
      <c r="D42" s="81">
        <v>0.01</v>
      </c>
      <c r="E42" s="93">
        <f>D42*(E29+E35)</f>
        <v>17.061900000000001</v>
      </c>
    </row>
    <row r="43" spans="1:5" x14ac:dyDescent="0.35">
      <c r="A43" s="277" t="s">
        <v>59</v>
      </c>
      <c r="B43" s="331" t="s">
        <v>75</v>
      </c>
      <c r="C43" s="331"/>
      <c r="D43" s="81">
        <v>6.0000000000000001E-3</v>
      </c>
      <c r="E43" s="93">
        <f>D43*(E29+E35)</f>
        <v>10.23714</v>
      </c>
    </row>
    <row r="44" spans="1:5" x14ac:dyDescent="0.35">
      <c r="A44" s="277" t="s">
        <v>61</v>
      </c>
      <c r="B44" s="331" t="s">
        <v>76</v>
      </c>
      <c r="C44" s="331"/>
      <c r="D44" s="81">
        <v>2E-3</v>
      </c>
      <c r="E44" s="93">
        <f>D44*(E29+E35)</f>
        <v>3.4123800000000002</v>
      </c>
    </row>
    <row r="45" spans="1:5" x14ac:dyDescent="0.35">
      <c r="A45" s="277" t="s">
        <v>77</v>
      </c>
      <c r="B45" s="331" t="s">
        <v>78</v>
      </c>
      <c r="C45" s="331"/>
      <c r="D45" s="81">
        <v>0.08</v>
      </c>
      <c r="E45" s="93">
        <f>D45*(E29+E35)</f>
        <v>136.49520000000001</v>
      </c>
    </row>
    <row r="46" spans="1:5" x14ac:dyDescent="0.35">
      <c r="A46" s="329" t="s">
        <v>79</v>
      </c>
      <c r="B46" s="329"/>
      <c r="C46" s="329"/>
      <c r="D46" s="83">
        <f>SUM(D38:D45)</f>
        <v>0.36800000000000005</v>
      </c>
      <c r="E46" s="177">
        <f>TRUNC(SUM(E38:E45),2)</f>
        <v>627.87</v>
      </c>
    </row>
    <row r="47" spans="1:5" x14ac:dyDescent="0.35">
      <c r="A47" s="329"/>
      <c r="B47" s="329"/>
      <c r="C47" s="329"/>
      <c r="D47" s="329"/>
      <c r="E47" s="329"/>
    </row>
    <row r="48" spans="1:5" ht="12.75" customHeight="1" x14ac:dyDescent="0.35">
      <c r="A48" s="329" t="s">
        <v>80</v>
      </c>
      <c r="B48" s="329"/>
      <c r="C48" s="329"/>
      <c r="D48" s="83"/>
      <c r="E48" s="277" t="s">
        <v>52</v>
      </c>
    </row>
    <row r="49" spans="1:5" x14ac:dyDescent="0.35">
      <c r="A49" s="277" t="s">
        <v>30</v>
      </c>
      <c r="B49" s="349" t="s">
        <v>81</v>
      </c>
      <c r="C49" s="349"/>
      <c r="D49" s="94" t="s">
        <v>13</v>
      </c>
      <c r="E49" s="175">
        <f>(11*22)-(E22*6%)</f>
        <v>156.995</v>
      </c>
    </row>
    <row r="50" spans="1:5" x14ac:dyDescent="0.35">
      <c r="A50" s="277" t="s">
        <v>32</v>
      </c>
      <c r="B50" s="338" t="s">
        <v>82</v>
      </c>
      <c r="C50" s="338"/>
      <c r="D50" s="101" t="s">
        <v>13</v>
      </c>
      <c r="E50" s="174">
        <f>38*22</f>
        <v>836</v>
      </c>
    </row>
    <row r="51" spans="1:5" ht="12.75" customHeight="1" x14ac:dyDescent="0.35">
      <c r="A51" s="277" t="s">
        <v>34</v>
      </c>
      <c r="B51" s="338" t="s">
        <v>143</v>
      </c>
      <c r="C51" s="338"/>
      <c r="D51" s="101" t="s">
        <v>13</v>
      </c>
      <c r="E51" s="175">
        <v>2.5</v>
      </c>
    </row>
    <row r="52" spans="1:5" customFormat="1" ht="14.5" x14ac:dyDescent="0.35">
      <c r="A52" s="277" t="s">
        <v>36</v>
      </c>
      <c r="B52" s="342" t="s">
        <v>144</v>
      </c>
      <c r="C52" s="342"/>
      <c r="D52" s="101" t="s">
        <v>13</v>
      </c>
      <c r="E52" s="176">
        <v>11.27</v>
      </c>
    </row>
    <row r="53" spans="1:5" customFormat="1" ht="14.5" x14ac:dyDescent="0.35">
      <c r="A53" s="277" t="s">
        <v>57</v>
      </c>
      <c r="B53" s="342" t="s">
        <v>145</v>
      </c>
      <c r="C53" s="342"/>
      <c r="D53" s="101"/>
      <c r="E53" s="176">
        <v>169.67</v>
      </c>
    </row>
    <row r="54" spans="1:5" x14ac:dyDescent="0.35">
      <c r="A54" s="329" t="s">
        <v>83</v>
      </c>
      <c r="B54" s="329"/>
      <c r="C54" s="329"/>
      <c r="D54" s="329"/>
      <c r="E54" s="177">
        <f>TRUNC(SUM(E49:E53),2)</f>
        <v>1176.43</v>
      </c>
    </row>
    <row r="55" spans="1:5" ht="14" customHeight="1" x14ac:dyDescent="0.35">
      <c r="A55" s="335"/>
      <c r="B55" s="335"/>
      <c r="C55" s="335"/>
      <c r="D55" s="335"/>
      <c r="E55" s="335"/>
    </row>
    <row r="56" spans="1:5" x14ac:dyDescent="0.35">
      <c r="A56" s="340" t="s">
        <v>84</v>
      </c>
      <c r="B56" s="340"/>
      <c r="C56" s="340"/>
      <c r="D56" s="340"/>
      <c r="E56" s="340"/>
    </row>
    <row r="57" spans="1:5" x14ac:dyDescent="0.35">
      <c r="A57" s="329" t="s">
        <v>85</v>
      </c>
      <c r="B57" s="329"/>
      <c r="C57" s="329"/>
      <c r="D57" s="329"/>
      <c r="E57" s="277" t="s">
        <v>52</v>
      </c>
    </row>
    <row r="58" spans="1:5" x14ac:dyDescent="0.35">
      <c r="A58" s="277" t="s">
        <v>86</v>
      </c>
      <c r="B58" s="331" t="s">
        <v>87</v>
      </c>
      <c r="C58" s="331"/>
      <c r="D58" s="331"/>
      <c r="E58" s="75">
        <f>E35</f>
        <v>289.44</v>
      </c>
    </row>
    <row r="59" spans="1:5" x14ac:dyDescent="0.35">
      <c r="A59" s="78" t="s">
        <v>88</v>
      </c>
      <c r="B59" s="331" t="s">
        <v>89</v>
      </c>
      <c r="C59" s="331"/>
      <c r="D59" s="331"/>
      <c r="E59" s="89">
        <f>E46</f>
        <v>627.87</v>
      </c>
    </row>
    <row r="60" spans="1:5" x14ac:dyDescent="0.35">
      <c r="A60" s="78" t="s">
        <v>90</v>
      </c>
      <c r="B60" s="331" t="s">
        <v>91</v>
      </c>
      <c r="C60" s="331"/>
      <c r="D60" s="331"/>
      <c r="E60" s="89">
        <f>E54</f>
        <v>1176.43</v>
      </c>
    </row>
    <row r="61" spans="1:5" x14ac:dyDescent="0.35">
      <c r="A61" s="329" t="s">
        <v>92</v>
      </c>
      <c r="B61" s="329"/>
      <c r="C61" s="329"/>
      <c r="D61" s="329"/>
      <c r="E61" s="90">
        <f>TRUNC(SUM(E58:E60),2)</f>
        <v>2093.7399999999998</v>
      </c>
    </row>
    <row r="62" spans="1:5" x14ac:dyDescent="0.35">
      <c r="A62" s="335"/>
      <c r="B62" s="335"/>
      <c r="C62" s="335"/>
      <c r="D62" s="335"/>
      <c r="E62" s="335"/>
    </row>
    <row r="63" spans="1:5" x14ac:dyDescent="0.35">
      <c r="A63" s="336" t="s">
        <v>93</v>
      </c>
      <c r="B63" s="336"/>
      <c r="C63" s="336"/>
      <c r="D63" s="336"/>
      <c r="E63" s="336"/>
    </row>
    <row r="64" spans="1:5" x14ac:dyDescent="0.35">
      <c r="A64" s="277">
        <v>3</v>
      </c>
      <c r="B64" s="329" t="s">
        <v>94</v>
      </c>
      <c r="C64" s="329"/>
      <c r="D64" s="277" t="s">
        <v>51</v>
      </c>
      <c r="E64" s="277" t="s">
        <v>52</v>
      </c>
    </row>
    <row r="65" spans="1:5" x14ac:dyDescent="0.35">
      <c r="A65" s="277" t="s">
        <v>30</v>
      </c>
      <c r="B65" s="341" t="s">
        <v>95</v>
      </c>
      <c r="C65" s="341"/>
      <c r="D65" s="88">
        <v>4.1999999999999997E-3</v>
      </c>
      <c r="E65" s="89">
        <f>(E29)*D65</f>
        <v>5.9503499999999994</v>
      </c>
    </row>
    <row r="66" spans="1:5" x14ac:dyDescent="0.35">
      <c r="A66" s="277" t="s">
        <v>32</v>
      </c>
      <c r="B66" s="342" t="s">
        <v>96</v>
      </c>
      <c r="C66" s="342"/>
      <c r="D66" s="88">
        <f>0.08*D65</f>
        <v>3.3599999999999998E-4</v>
      </c>
      <c r="E66" s="75">
        <f>D66*E29</f>
        <v>0.47602799999999995</v>
      </c>
    </row>
    <row r="67" spans="1:5" x14ac:dyDescent="0.35">
      <c r="A67" s="277" t="s">
        <v>34</v>
      </c>
      <c r="B67" s="342" t="s">
        <v>97</v>
      </c>
      <c r="C67" s="342"/>
      <c r="D67" s="81">
        <v>1.9400000000000001E-2</v>
      </c>
      <c r="E67" s="75">
        <f>(E29)*D67</f>
        <v>27.484950000000001</v>
      </c>
    </row>
    <row r="68" spans="1:5" ht="25.5" customHeight="1" x14ac:dyDescent="0.35">
      <c r="A68" s="277" t="s">
        <v>36</v>
      </c>
      <c r="B68" s="342" t="s">
        <v>98</v>
      </c>
      <c r="C68" s="342"/>
      <c r="D68" s="82">
        <f>D46*D67</f>
        <v>7.1392000000000009E-3</v>
      </c>
      <c r="E68" s="75">
        <f>E29*D68</f>
        <v>10.114461600000002</v>
      </c>
    </row>
    <row r="69" spans="1:5" ht="38" customHeight="1" x14ac:dyDescent="0.35">
      <c r="A69" s="277" t="s">
        <v>57</v>
      </c>
      <c r="B69" s="343" t="s">
        <v>433</v>
      </c>
      <c r="C69" s="344"/>
      <c r="D69" s="88">
        <v>0.04</v>
      </c>
      <c r="E69" s="75">
        <f>(E29)*D69</f>
        <v>56.67</v>
      </c>
    </row>
    <row r="70" spans="1:5" x14ac:dyDescent="0.35">
      <c r="A70" s="329" t="s">
        <v>99</v>
      </c>
      <c r="B70" s="329"/>
      <c r="C70" s="329"/>
      <c r="D70" s="83">
        <f>TRUNC(SUM(D65:D69),4)</f>
        <v>7.0999999999999994E-2</v>
      </c>
      <c r="E70" s="80">
        <f>TRUNC(SUM(E65:E69),2)</f>
        <v>100.69</v>
      </c>
    </row>
    <row r="71" spans="1:5" ht="69" customHeight="1" x14ac:dyDescent="0.35">
      <c r="A71" s="345" t="s">
        <v>429</v>
      </c>
      <c r="B71" s="346"/>
      <c r="C71" s="346"/>
      <c r="D71" s="346"/>
      <c r="E71" s="347"/>
    </row>
    <row r="72" spans="1:5" x14ac:dyDescent="0.35">
      <c r="A72" s="336" t="s">
        <v>100</v>
      </c>
      <c r="B72" s="336"/>
      <c r="C72" s="336"/>
      <c r="D72" s="336"/>
      <c r="E72" s="336"/>
    </row>
    <row r="73" spans="1:5" x14ac:dyDescent="0.35">
      <c r="A73" s="329" t="s">
        <v>430</v>
      </c>
      <c r="B73" s="329"/>
      <c r="C73" s="329"/>
      <c r="D73" s="277" t="s">
        <v>51</v>
      </c>
      <c r="E73" s="277" t="s">
        <v>52</v>
      </c>
    </row>
    <row r="74" spans="1:5" x14ac:dyDescent="0.35">
      <c r="A74" s="277" t="s">
        <v>30</v>
      </c>
      <c r="B74" s="331" t="s">
        <v>101</v>
      </c>
      <c r="C74" s="331"/>
      <c r="D74" s="81">
        <v>1.6199999999999999E-2</v>
      </c>
      <c r="E74" s="75">
        <f>D74*(E29)</f>
        <v>22.951349999999998</v>
      </c>
    </row>
    <row r="75" spans="1:5" x14ac:dyDescent="0.35">
      <c r="A75" s="78" t="s">
        <v>32</v>
      </c>
      <c r="B75" s="348" t="s">
        <v>102</v>
      </c>
      <c r="C75" s="348"/>
      <c r="D75" s="88">
        <v>2.8E-3</v>
      </c>
      <c r="E75" s="75">
        <f>D75*(E29)</f>
        <v>3.9668999999999999</v>
      </c>
    </row>
    <row r="76" spans="1:5" x14ac:dyDescent="0.35">
      <c r="A76" s="78" t="s">
        <v>34</v>
      </c>
      <c r="B76" s="348" t="s">
        <v>103</v>
      </c>
      <c r="C76" s="348"/>
      <c r="D76" s="88">
        <v>1E-4</v>
      </c>
      <c r="E76" s="75">
        <f>D76*(E29)</f>
        <v>0.141675</v>
      </c>
    </row>
    <row r="77" spans="1:5" x14ac:dyDescent="0.35">
      <c r="A77" s="78" t="s">
        <v>36</v>
      </c>
      <c r="B77" s="348" t="s">
        <v>104</v>
      </c>
      <c r="C77" s="348"/>
      <c r="D77" s="88">
        <v>4.1999999999999997E-3</v>
      </c>
      <c r="E77" s="75">
        <f>D77*(E29)</f>
        <v>5.9503499999999994</v>
      </c>
    </row>
    <row r="78" spans="1:5" x14ac:dyDescent="0.35">
      <c r="A78" s="78" t="s">
        <v>57</v>
      </c>
      <c r="B78" s="331" t="s">
        <v>105</v>
      </c>
      <c r="C78" s="331"/>
      <c r="D78" s="88">
        <v>2.0000000000000001E-4</v>
      </c>
      <c r="E78" s="75">
        <f>D78*(E29)</f>
        <v>0.28334999999999999</v>
      </c>
    </row>
    <row r="79" spans="1:5" ht="12.75" customHeight="1" x14ac:dyDescent="0.35">
      <c r="A79" s="277" t="s">
        <v>59</v>
      </c>
      <c r="B79" s="348" t="s">
        <v>62</v>
      </c>
      <c r="C79" s="348"/>
      <c r="D79" s="88">
        <v>0</v>
      </c>
      <c r="E79" s="75">
        <f>D79*(E29)</f>
        <v>0</v>
      </c>
    </row>
    <row r="80" spans="1:5" x14ac:dyDescent="0.35">
      <c r="A80" s="329" t="s">
        <v>106</v>
      </c>
      <c r="B80" s="329"/>
      <c r="C80" s="329"/>
      <c r="D80" s="83">
        <f>TRUNC(SUM(D74:D79),4)</f>
        <v>2.35E-2</v>
      </c>
      <c r="E80" s="80">
        <f>SUM(E74:E79)</f>
        <v>33.293624999999992</v>
      </c>
    </row>
    <row r="81" spans="1:5" x14ac:dyDescent="0.35">
      <c r="A81" s="335"/>
      <c r="B81" s="335"/>
      <c r="C81" s="335"/>
      <c r="D81" s="335"/>
      <c r="E81" s="335"/>
    </row>
    <row r="82" spans="1:5" x14ac:dyDescent="0.35">
      <c r="A82" s="329" t="s">
        <v>107</v>
      </c>
      <c r="B82" s="329"/>
      <c r="C82" s="329"/>
      <c r="D82" s="277" t="s">
        <v>51</v>
      </c>
      <c r="E82" s="277" t="s">
        <v>52</v>
      </c>
    </row>
    <row r="83" spans="1:5" ht="12.75" customHeight="1" x14ac:dyDescent="0.35">
      <c r="A83" s="277" t="s">
        <v>30</v>
      </c>
      <c r="B83" s="331" t="s">
        <v>108</v>
      </c>
      <c r="C83" s="331"/>
      <c r="D83" s="81">
        <v>0</v>
      </c>
      <c r="E83" s="75">
        <f>E29*D83</f>
        <v>0</v>
      </c>
    </row>
    <row r="84" spans="1:5" x14ac:dyDescent="0.35">
      <c r="A84" s="329" t="s">
        <v>109</v>
      </c>
      <c r="B84" s="329"/>
      <c r="C84" s="329"/>
      <c r="D84" s="83">
        <f>TRUNC(SUM(D83),4)</f>
        <v>0</v>
      </c>
      <c r="E84" s="80">
        <f>TRUNC(SUM(E83),2)</f>
        <v>0</v>
      </c>
    </row>
    <row r="85" spans="1:5" x14ac:dyDescent="0.35">
      <c r="A85" s="335"/>
      <c r="B85" s="335"/>
      <c r="C85" s="335"/>
      <c r="D85" s="335"/>
      <c r="E85" s="335"/>
    </row>
    <row r="86" spans="1:5" x14ac:dyDescent="0.35">
      <c r="A86" s="340" t="s">
        <v>110</v>
      </c>
      <c r="B86" s="340"/>
      <c r="C86" s="340"/>
      <c r="D86" s="340"/>
      <c r="E86" s="340"/>
    </row>
    <row r="87" spans="1:5" x14ac:dyDescent="0.35">
      <c r="A87" s="329" t="s">
        <v>111</v>
      </c>
      <c r="B87" s="329"/>
      <c r="C87" s="329"/>
      <c r="D87" s="329"/>
      <c r="E87" s="277" t="s">
        <v>52</v>
      </c>
    </row>
    <row r="88" spans="1:5" x14ac:dyDescent="0.35">
      <c r="A88" s="277" t="s">
        <v>112</v>
      </c>
      <c r="B88" s="331" t="s">
        <v>102</v>
      </c>
      <c r="C88" s="331"/>
      <c r="D88" s="331"/>
      <c r="E88" s="75">
        <f>E80</f>
        <v>33.293624999999992</v>
      </c>
    </row>
    <row r="89" spans="1:5" x14ac:dyDescent="0.35">
      <c r="A89" s="78" t="s">
        <v>113</v>
      </c>
      <c r="B89" s="331" t="s">
        <v>114</v>
      </c>
      <c r="C89" s="331"/>
      <c r="D89" s="331"/>
      <c r="E89" s="89">
        <f>E84</f>
        <v>0</v>
      </c>
    </row>
    <row r="90" spans="1:5" x14ac:dyDescent="0.35">
      <c r="A90" s="329" t="s">
        <v>115</v>
      </c>
      <c r="B90" s="329"/>
      <c r="C90" s="329"/>
      <c r="D90" s="329"/>
      <c r="E90" s="90">
        <f>TRUNC(SUM(E88:E89),2)</f>
        <v>33.29</v>
      </c>
    </row>
    <row r="91" spans="1:5" x14ac:dyDescent="0.35">
      <c r="A91" s="335"/>
      <c r="B91" s="335"/>
      <c r="C91" s="335"/>
      <c r="D91" s="335"/>
      <c r="E91" s="335"/>
    </row>
    <row r="92" spans="1:5" x14ac:dyDescent="0.35">
      <c r="A92" s="336" t="s">
        <v>116</v>
      </c>
      <c r="B92" s="336"/>
      <c r="C92" s="336"/>
      <c r="D92" s="336"/>
      <c r="E92" s="336"/>
    </row>
    <row r="93" spans="1:5" x14ac:dyDescent="0.35">
      <c r="A93" s="277">
        <v>5</v>
      </c>
      <c r="B93" s="329" t="s">
        <v>117</v>
      </c>
      <c r="C93" s="329"/>
      <c r="D93" s="277"/>
      <c r="E93" s="277" t="s">
        <v>52</v>
      </c>
    </row>
    <row r="94" spans="1:5" x14ac:dyDescent="0.35">
      <c r="A94" s="277" t="s">
        <v>30</v>
      </c>
      <c r="B94" s="338" t="s">
        <v>118</v>
      </c>
      <c r="C94" s="338"/>
      <c r="D94" s="101" t="s">
        <v>13</v>
      </c>
      <c r="E94" s="75">
        <f>'Anexo II G - UNIFORME'!D17</f>
        <v>54.5</v>
      </c>
    </row>
    <row r="95" spans="1:5" x14ac:dyDescent="0.35">
      <c r="A95" s="277" t="s">
        <v>32</v>
      </c>
      <c r="B95" s="338" t="s">
        <v>119</v>
      </c>
      <c r="C95" s="338"/>
      <c r="D95" s="101" t="s">
        <v>13</v>
      </c>
      <c r="E95" s="75">
        <v>0</v>
      </c>
    </row>
    <row r="96" spans="1:5" x14ac:dyDescent="0.35">
      <c r="A96" s="281" t="s">
        <v>34</v>
      </c>
      <c r="B96" s="338" t="s">
        <v>120</v>
      </c>
      <c r="C96" s="338"/>
      <c r="D96" s="101" t="s">
        <v>13</v>
      </c>
      <c r="E96" s="75">
        <f>'Anexo II F - EQUIPAMENTOS'!G35</f>
        <v>30.083208333333328</v>
      </c>
    </row>
    <row r="97" spans="1:5" x14ac:dyDescent="0.35">
      <c r="A97" s="281" t="s">
        <v>57</v>
      </c>
      <c r="B97" s="338" t="s">
        <v>121</v>
      </c>
      <c r="C97" s="338"/>
      <c r="D97" s="101" t="s">
        <v>13</v>
      </c>
      <c r="E97" s="75">
        <v>0</v>
      </c>
    </row>
    <row r="98" spans="1:5" x14ac:dyDescent="0.35">
      <c r="A98" s="329" t="s">
        <v>122</v>
      </c>
      <c r="B98" s="329"/>
      <c r="C98" s="329"/>
      <c r="D98" s="83" t="s">
        <v>13</v>
      </c>
      <c r="E98" s="80">
        <f>TRUNC(SUM(E94:E97),2)</f>
        <v>84.58</v>
      </c>
    </row>
    <row r="99" spans="1:5" x14ac:dyDescent="0.35">
      <c r="A99" s="335"/>
      <c r="B99" s="335"/>
      <c r="C99" s="335"/>
      <c r="D99" s="335"/>
      <c r="E99" s="335"/>
    </row>
    <row r="100" spans="1:5" ht="12.75" customHeight="1" x14ac:dyDescent="0.35">
      <c r="A100" s="336" t="s">
        <v>123</v>
      </c>
      <c r="B100" s="336"/>
      <c r="C100" s="336"/>
      <c r="D100" s="336"/>
      <c r="E100" s="336"/>
    </row>
    <row r="101" spans="1:5" x14ac:dyDescent="0.35">
      <c r="A101" s="277">
        <v>6</v>
      </c>
      <c r="B101" s="329" t="s">
        <v>124</v>
      </c>
      <c r="C101" s="329"/>
      <c r="D101" s="277" t="s">
        <v>51</v>
      </c>
      <c r="E101" s="277" t="s">
        <v>52</v>
      </c>
    </row>
    <row r="102" spans="1:5" ht="12.75" customHeight="1" x14ac:dyDescent="0.35">
      <c r="A102" s="277" t="s">
        <v>30</v>
      </c>
      <c r="B102" s="331" t="s">
        <v>125</v>
      </c>
      <c r="C102" s="331"/>
      <c r="D102" s="91">
        <v>0.03</v>
      </c>
      <c r="E102" s="75">
        <f>TRUNC(D102*E127,2)</f>
        <v>111.87</v>
      </c>
    </row>
    <row r="103" spans="1:5" x14ac:dyDescent="0.35">
      <c r="A103" s="78" t="s">
        <v>32</v>
      </c>
      <c r="B103" s="331" t="s">
        <v>126</v>
      </c>
      <c r="C103" s="331"/>
      <c r="D103" s="276">
        <v>0.06</v>
      </c>
      <c r="E103" s="75">
        <f>TRUNC(D103*(E102+E127),2)</f>
        <v>230.45</v>
      </c>
    </row>
    <row r="104" spans="1:5" ht="12.75" customHeight="1" x14ac:dyDescent="0.35">
      <c r="A104" s="277" t="s">
        <v>34</v>
      </c>
      <c r="B104" s="337" t="s">
        <v>7</v>
      </c>
      <c r="C104" s="337"/>
      <c r="D104" s="76"/>
      <c r="E104" s="93"/>
    </row>
    <row r="105" spans="1:5" x14ac:dyDescent="0.35">
      <c r="A105" s="78"/>
      <c r="B105" s="331" t="s">
        <v>127</v>
      </c>
      <c r="C105" s="331"/>
      <c r="D105" s="92">
        <v>1.6500000000000001E-2</v>
      </c>
      <c r="E105" s="89">
        <f>TRUNC(D105*E116,2)</f>
        <v>78.34</v>
      </c>
    </row>
    <row r="106" spans="1:5" x14ac:dyDescent="0.35">
      <c r="A106" s="78"/>
      <c r="B106" s="331" t="s">
        <v>128</v>
      </c>
      <c r="C106" s="331"/>
      <c r="D106" s="92">
        <v>7.5999999999999998E-2</v>
      </c>
      <c r="E106" s="89">
        <f>TRUNC(D106*E116,2)</f>
        <v>360.84</v>
      </c>
    </row>
    <row r="107" spans="1:5" x14ac:dyDescent="0.35">
      <c r="A107" s="78"/>
      <c r="B107" s="331" t="s">
        <v>129</v>
      </c>
      <c r="C107" s="331"/>
      <c r="D107" s="92">
        <v>0.05</v>
      </c>
      <c r="E107" s="89">
        <f>TRUNC(D107*E116,2)</f>
        <v>237.39</v>
      </c>
    </row>
    <row r="108" spans="1:5" x14ac:dyDescent="0.35">
      <c r="A108" s="329" t="s">
        <v>130</v>
      </c>
      <c r="B108" s="329"/>
      <c r="C108" s="329"/>
      <c r="D108" s="92">
        <f>SUM(D102:D107)</f>
        <v>0.23249999999999998</v>
      </c>
      <c r="E108" s="90">
        <f>TRUNC(SUM(E102:E107),2)</f>
        <v>1018.89</v>
      </c>
    </row>
    <row r="109" spans="1:5" x14ac:dyDescent="0.35">
      <c r="A109" s="277"/>
      <c r="B109" s="277"/>
      <c r="C109" s="277"/>
      <c r="D109" s="92"/>
      <c r="E109" s="87"/>
    </row>
    <row r="110" spans="1:5" x14ac:dyDescent="0.35">
      <c r="A110" s="330"/>
      <c r="B110" s="330"/>
      <c r="C110" s="330"/>
      <c r="D110" s="330"/>
      <c r="E110" s="330"/>
    </row>
    <row r="111" spans="1:5" x14ac:dyDescent="0.35">
      <c r="A111" s="279" t="s">
        <v>131</v>
      </c>
      <c r="B111" s="333" t="s">
        <v>132</v>
      </c>
      <c r="C111" s="333"/>
      <c r="D111" s="292">
        <f>TRUNC(D105+D106+D107,4)</f>
        <v>0.14249999999999999</v>
      </c>
      <c r="E111" s="293"/>
    </row>
    <row r="112" spans="1:5" x14ac:dyDescent="0.35">
      <c r="A112" s="279"/>
      <c r="B112" s="332">
        <v>100</v>
      </c>
      <c r="C112" s="333"/>
      <c r="D112" s="292"/>
      <c r="E112" s="293"/>
    </row>
    <row r="113" spans="1:5" x14ac:dyDescent="0.35">
      <c r="A113" s="294"/>
      <c r="B113" s="295"/>
      <c r="C113" s="295"/>
      <c r="D113" s="292"/>
      <c r="E113" s="293"/>
    </row>
    <row r="114" spans="1:5" x14ac:dyDescent="0.35">
      <c r="A114" s="279" t="s">
        <v>133</v>
      </c>
      <c r="B114" s="333" t="s">
        <v>134</v>
      </c>
      <c r="C114" s="333"/>
      <c r="D114" s="292"/>
      <c r="E114" s="293">
        <f>TRUNC(E127+E102+E103,2)</f>
        <v>4071.37</v>
      </c>
    </row>
    <row r="115" spans="1:5" x14ac:dyDescent="0.35">
      <c r="A115" s="279"/>
      <c r="B115" s="295"/>
      <c r="C115" s="295"/>
      <c r="D115" s="292"/>
      <c r="E115" s="293"/>
    </row>
    <row r="116" spans="1:5" x14ac:dyDescent="0.35">
      <c r="A116" s="279" t="s">
        <v>135</v>
      </c>
      <c r="B116" s="333" t="s">
        <v>136</v>
      </c>
      <c r="C116" s="333"/>
      <c r="D116" s="292"/>
      <c r="E116" s="293">
        <f>E114/(1-D111)</f>
        <v>4747.9533527696785</v>
      </c>
    </row>
    <row r="117" spans="1:5" x14ac:dyDescent="0.35">
      <c r="A117" s="279"/>
      <c r="B117" s="295"/>
      <c r="C117" s="295"/>
      <c r="D117" s="292"/>
      <c r="E117" s="293"/>
    </row>
    <row r="118" spans="1:5" x14ac:dyDescent="0.35">
      <c r="A118" s="279"/>
      <c r="B118" s="333" t="s">
        <v>137</v>
      </c>
      <c r="C118" s="333"/>
      <c r="D118" s="292"/>
      <c r="E118" s="293">
        <f>TRUNC(E116-E114,2)</f>
        <v>676.58</v>
      </c>
    </row>
    <row r="119" spans="1:5" x14ac:dyDescent="0.35">
      <c r="A119" s="330"/>
      <c r="B119" s="330"/>
      <c r="C119" s="330"/>
      <c r="D119" s="330"/>
      <c r="E119" s="330"/>
    </row>
    <row r="120" spans="1:5" x14ac:dyDescent="0.35">
      <c r="A120" s="334" t="s">
        <v>138</v>
      </c>
      <c r="B120" s="334"/>
      <c r="C120" s="334"/>
      <c r="D120" s="334"/>
      <c r="E120" s="334"/>
    </row>
    <row r="121" spans="1:5" ht="15" customHeight="1" x14ac:dyDescent="0.35">
      <c r="A121" s="329" t="s">
        <v>139</v>
      </c>
      <c r="B121" s="329"/>
      <c r="C121" s="329"/>
      <c r="D121" s="329"/>
      <c r="E121" s="277" t="s">
        <v>52</v>
      </c>
    </row>
    <row r="122" spans="1:5" ht="15" customHeight="1" x14ac:dyDescent="0.35">
      <c r="A122" s="101" t="s">
        <v>30</v>
      </c>
      <c r="B122" s="331" t="str">
        <f>A20</f>
        <v>MÓDULO 1 - COMPOSIÇÃO DA REMUNERAÇÃO</v>
      </c>
      <c r="C122" s="331"/>
      <c r="D122" s="331"/>
      <c r="E122" s="93">
        <f>E29</f>
        <v>1416.75</v>
      </c>
    </row>
    <row r="123" spans="1:5" ht="15" customHeight="1" x14ac:dyDescent="0.35">
      <c r="A123" s="94" t="s">
        <v>32</v>
      </c>
      <c r="B123" s="331" t="str">
        <f>A31</f>
        <v>MÓDULO 2 – ENCARGOS E BENEFÍCIOS ANUAIS, MENSAIS E DIÁRIOS</v>
      </c>
      <c r="C123" s="331"/>
      <c r="D123" s="331"/>
      <c r="E123" s="95">
        <f>E61</f>
        <v>2093.7399999999998</v>
      </c>
    </row>
    <row r="124" spans="1:5" ht="12.75" customHeight="1" x14ac:dyDescent="0.35">
      <c r="A124" s="94" t="s">
        <v>34</v>
      </c>
      <c r="B124" s="331" t="str">
        <f>A63</f>
        <v>MÓDULO 3 – PROVISÃO PARA RESCISÃO</v>
      </c>
      <c r="C124" s="331"/>
      <c r="D124" s="331"/>
      <c r="E124" s="95">
        <f>E70</f>
        <v>100.69</v>
      </c>
    </row>
    <row r="125" spans="1:5" ht="15" customHeight="1" x14ac:dyDescent="0.35">
      <c r="A125" s="101" t="s">
        <v>36</v>
      </c>
      <c r="B125" s="331" t="str">
        <f>A72</f>
        <v>MÓDULO 4 – CUSTO DE REPOSIÇÃO DO PROFISSIONAL AUSENTE</v>
      </c>
      <c r="C125" s="331"/>
      <c r="D125" s="331"/>
      <c r="E125" s="95">
        <f>E90</f>
        <v>33.29</v>
      </c>
    </row>
    <row r="126" spans="1:5" ht="12.75" customHeight="1" x14ac:dyDescent="0.35">
      <c r="A126" s="94" t="s">
        <v>57</v>
      </c>
      <c r="B126" s="331" t="str">
        <f>A92</f>
        <v>MÓDULO 5 – INSUMOS DIVERSOS</v>
      </c>
      <c r="C126" s="331"/>
      <c r="D126" s="331"/>
      <c r="E126" s="95">
        <f>E98</f>
        <v>84.58</v>
      </c>
    </row>
    <row r="127" spans="1:5" ht="15" customHeight="1" x14ac:dyDescent="0.35">
      <c r="A127" s="78"/>
      <c r="B127" s="329" t="s">
        <v>140</v>
      </c>
      <c r="C127" s="329"/>
      <c r="D127" s="329"/>
      <c r="E127" s="96">
        <f>TRUNC(SUM(E122:E126),2)</f>
        <v>3729.05</v>
      </c>
    </row>
    <row r="128" spans="1:5" s="97" customFormat="1" ht="15" customHeight="1" x14ac:dyDescent="0.35">
      <c r="A128" s="101" t="s">
        <v>59</v>
      </c>
      <c r="B128" s="331" t="str">
        <f>A100</f>
        <v>MÓDULO 6 – CUSTOS INDIRETOS, TRIBUTOS E LUCRO</v>
      </c>
      <c r="C128" s="331"/>
      <c r="D128" s="331"/>
      <c r="E128" s="93">
        <f>E108</f>
        <v>1018.89</v>
      </c>
    </row>
    <row r="129" spans="1:5" s="97" customFormat="1" ht="15" customHeight="1" x14ac:dyDescent="0.35">
      <c r="A129" s="329" t="s">
        <v>141</v>
      </c>
      <c r="B129" s="329"/>
      <c r="C129" s="329"/>
      <c r="D129" s="329"/>
      <c r="E129" s="96">
        <f>TRUNC(SUM(E127:E128),2)</f>
        <v>4747.9399999999996</v>
      </c>
    </row>
    <row r="130" spans="1:5" ht="30" customHeight="1" x14ac:dyDescent="0.35">
      <c r="A130" s="98"/>
      <c r="B130" s="98"/>
      <c r="C130" s="98"/>
    </row>
    <row r="131" spans="1:5" x14ac:dyDescent="0.35">
      <c r="A131" s="98"/>
      <c r="B131" s="98"/>
      <c r="C131" s="98"/>
    </row>
    <row r="132" spans="1:5" x14ac:dyDescent="0.35">
      <c r="A132" s="98"/>
      <c r="B132" s="98"/>
      <c r="C132" s="98"/>
    </row>
    <row r="133" spans="1:5" x14ac:dyDescent="0.35">
      <c r="A133" s="98"/>
      <c r="B133" s="98"/>
      <c r="C133" s="98"/>
    </row>
    <row r="134" spans="1:5" x14ac:dyDescent="0.35">
      <c r="A134" s="98"/>
      <c r="B134" s="98"/>
      <c r="C134" s="98"/>
    </row>
    <row r="135" spans="1:5" x14ac:dyDescent="0.35">
      <c r="A135" s="98"/>
      <c r="B135" s="98"/>
      <c r="C135" s="98"/>
    </row>
  </sheetData>
  <mergeCells count="121">
    <mergeCell ref="A8:E8"/>
    <mergeCell ref="A2:E2"/>
    <mergeCell ref="A30:E30"/>
    <mergeCell ref="A119:E119"/>
    <mergeCell ref="B18:D18"/>
    <mergeCell ref="B41:C41"/>
    <mergeCell ref="B42:C42"/>
    <mergeCell ref="B28:C28"/>
    <mergeCell ref="A29:D29"/>
    <mergeCell ref="B43:C43"/>
    <mergeCell ref="A32:C32"/>
    <mergeCell ref="B33:C33"/>
    <mergeCell ref="B34:C34"/>
    <mergeCell ref="A35:C35"/>
    <mergeCell ref="A36:E36"/>
    <mergeCell ref="A37:C37"/>
    <mergeCell ref="A48:C48"/>
    <mergeCell ref="B49:C49"/>
    <mergeCell ref="B50:C50"/>
    <mergeCell ref="B51:C51"/>
    <mergeCell ref="B52:C52"/>
    <mergeCell ref="B44:C44"/>
    <mergeCell ref="B45:C45"/>
    <mergeCell ref="A46:C46"/>
    <mergeCell ref="A1:E1"/>
    <mergeCell ref="A31:E31"/>
    <mergeCell ref="B22:C22"/>
    <mergeCell ref="B23:C23"/>
    <mergeCell ref="B24:C24"/>
    <mergeCell ref="B38:C38"/>
    <mergeCell ref="B39:C39"/>
    <mergeCell ref="B40:C40"/>
    <mergeCell ref="A3:E3"/>
    <mergeCell ref="A9:E9"/>
    <mergeCell ref="D10:E10"/>
    <mergeCell ref="D11:E11"/>
    <mergeCell ref="B25:C25"/>
    <mergeCell ref="B26:C26"/>
    <mergeCell ref="B27:C27"/>
    <mergeCell ref="A19:E19"/>
    <mergeCell ref="A20:E20"/>
    <mergeCell ref="B21:C21"/>
    <mergeCell ref="A13:E13"/>
    <mergeCell ref="B14:D14"/>
    <mergeCell ref="B15:D15"/>
    <mergeCell ref="B16:D16"/>
    <mergeCell ref="B17:D17"/>
    <mergeCell ref="A12:E12"/>
    <mergeCell ref="A47:E47"/>
    <mergeCell ref="B59:D59"/>
    <mergeCell ref="B60:D60"/>
    <mergeCell ref="A61:D61"/>
    <mergeCell ref="A62:E62"/>
    <mergeCell ref="A63:E63"/>
    <mergeCell ref="B64:C64"/>
    <mergeCell ref="B53:C53"/>
    <mergeCell ref="A54:D54"/>
    <mergeCell ref="A55:E55"/>
    <mergeCell ref="A56:E56"/>
    <mergeCell ref="A57:D57"/>
    <mergeCell ref="B58:D58"/>
    <mergeCell ref="A70:C70"/>
    <mergeCell ref="A71:E71"/>
    <mergeCell ref="A72:E72"/>
    <mergeCell ref="A73:C73"/>
    <mergeCell ref="B74:C74"/>
    <mergeCell ref="B75:C75"/>
    <mergeCell ref="B65:C65"/>
    <mergeCell ref="B66:C66"/>
    <mergeCell ref="B67:C67"/>
    <mergeCell ref="B68:C68"/>
    <mergeCell ref="B69:C69"/>
    <mergeCell ref="A82:C82"/>
    <mergeCell ref="B83:C83"/>
    <mergeCell ref="A84:C84"/>
    <mergeCell ref="A85:E85"/>
    <mergeCell ref="A86:E86"/>
    <mergeCell ref="A87:D87"/>
    <mergeCell ref="B76:C76"/>
    <mergeCell ref="B77:C77"/>
    <mergeCell ref="B78:C78"/>
    <mergeCell ref="B79:C79"/>
    <mergeCell ref="A80:C80"/>
    <mergeCell ref="A81:E81"/>
    <mergeCell ref="B94:C94"/>
    <mergeCell ref="B95:C95"/>
    <mergeCell ref="B96:C96"/>
    <mergeCell ref="B97:C97"/>
    <mergeCell ref="A98:C98"/>
    <mergeCell ref="B88:D88"/>
    <mergeCell ref="B89:D89"/>
    <mergeCell ref="A90:D90"/>
    <mergeCell ref="A91:E91"/>
    <mergeCell ref="A92:E92"/>
    <mergeCell ref="B93:C93"/>
    <mergeCell ref="B105:C105"/>
    <mergeCell ref="B106:C106"/>
    <mergeCell ref="B107:C107"/>
    <mergeCell ref="A108:C108"/>
    <mergeCell ref="A110:E110"/>
    <mergeCell ref="B111:C111"/>
    <mergeCell ref="A99:E99"/>
    <mergeCell ref="A100:E100"/>
    <mergeCell ref="B101:C101"/>
    <mergeCell ref="B102:C102"/>
    <mergeCell ref="B103:C103"/>
    <mergeCell ref="B104:C104"/>
    <mergeCell ref="A129:D129"/>
    <mergeCell ref="B128:D128"/>
    <mergeCell ref="B122:D122"/>
    <mergeCell ref="B123:D123"/>
    <mergeCell ref="B124:D124"/>
    <mergeCell ref="B125:D125"/>
    <mergeCell ref="B126:D126"/>
    <mergeCell ref="B127:D127"/>
    <mergeCell ref="B112:C112"/>
    <mergeCell ref="B114:C114"/>
    <mergeCell ref="B116:C116"/>
    <mergeCell ref="B118:C118"/>
    <mergeCell ref="A120:E120"/>
    <mergeCell ref="A121:D121"/>
  </mergeCells>
  <phoneticPr fontId="48" type="noConversion"/>
  <pageMargins left="0.7" right="0.7" top="0.75" bottom="0.75" header="0.3" footer="0.3"/>
  <pageSetup paperSize="9" scale="96" fitToHeight="0" orientation="portrait" r:id="rId1"/>
  <headerFooter>
    <oddHeader xml:space="preserve">&amp;C
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4"/>
  <sheetViews>
    <sheetView view="pageBreakPreview" topLeftCell="A22" zoomScale="90" zoomScaleNormal="90" zoomScaleSheetLayoutView="90" workbookViewId="0">
      <selection sqref="A1:G1"/>
    </sheetView>
  </sheetViews>
  <sheetFormatPr defaultColWidth="9.1796875" defaultRowHeight="14" x14ac:dyDescent="0.35"/>
  <cols>
    <col min="1" max="1" width="9.1796875" style="221"/>
    <col min="2" max="2" width="58.26953125" style="221" customWidth="1"/>
    <col min="3" max="3" width="14.7265625" style="243" bestFit="1" customWidth="1"/>
    <col min="4" max="4" width="12.453125" style="243" bestFit="1" customWidth="1"/>
    <col min="5" max="5" width="12.54296875" style="244" customWidth="1"/>
    <col min="6" max="6" width="14.26953125" style="244" bestFit="1" customWidth="1"/>
    <col min="7" max="7" width="17.26953125" style="244" bestFit="1" customWidth="1"/>
    <col min="8" max="8" width="0.1796875" style="221" customWidth="1"/>
    <col min="9" max="16384" width="9.1796875" style="221"/>
  </cols>
  <sheetData>
    <row r="1" spans="1:8" ht="24" customHeight="1" x14ac:dyDescent="0.35">
      <c r="A1" s="360" t="s">
        <v>427</v>
      </c>
      <c r="B1" s="361"/>
      <c r="C1" s="361"/>
      <c r="D1" s="361"/>
      <c r="E1" s="361"/>
      <c r="F1" s="361"/>
      <c r="G1" s="362"/>
      <c r="H1" s="247"/>
    </row>
    <row r="2" spans="1:8" ht="56" x14ac:dyDescent="0.35">
      <c r="A2" s="282" t="s">
        <v>0</v>
      </c>
      <c r="B2" s="282" t="s">
        <v>28</v>
      </c>
      <c r="C2" s="282" t="s">
        <v>161</v>
      </c>
      <c r="D2" s="245" t="s">
        <v>162</v>
      </c>
      <c r="E2" s="246" t="s">
        <v>163</v>
      </c>
      <c r="F2" s="246" t="s">
        <v>164</v>
      </c>
      <c r="G2" s="246" t="s">
        <v>165</v>
      </c>
    </row>
    <row r="3" spans="1:8" ht="28" x14ac:dyDescent="0.35">
      <c r="A3" s="222">
        <v>1</v>
      </c>
      <c r="B3" s="223" t="s">
        <v>166</v>
      </c>
      <c r="C3" s="224" t="s">
        <v>390</v>
      </c>
      <c r="D3" s="225">
        <v>3.81</v>
      </c>
      <c r="E3" s="226">
        <v>25</v>
      </c>
      <c r="F3" s="227">
        <f>D3*E3</f>
        <v>95.25</v>
      </c>
      <c r="G3" s="225">
        <f>F3*12</f>
        <v>1143</v>
      </c>
      <c r="H3" s="228"/>
    </row>
    <row r="4" spans="1:8" ht="28" x14ac:dyDescent="0.25">
      <c r="A4" s="229">
        <v>2</v>
      </c>
      <c r="B4" s="230" t="s">
        <v>167</v>
      </c>
      <c r="C4" s="231" t="s">
        <v>391</v>
      </c>
      <c r="D4" s="225">
        <v>11.76</v>
      </c>
      <c r="E4" s="226">
        <v>25</v>
      </c>
      <c r="F4" s="227">
        <f t="shared" ref="F4:F41" si="0">D4*E4</f>
        <v>294</v>
      </c>
      <c r="G4" s="225">
        <f t="shared" ref="G4:G41" si="1">F4*12</f>
        <v>3528</v>
      </c>
      <c r="H4" s="228"/>
    </row>
    <row r="5" spans="1:8" x14ac:dyDescent="0.35">
      <c r="A5" s="229">
        <v>3</v>
      </c>
      <c r="B5" s="232" t="s">
        <v>168</v>
      </c>
      <c r="C5" s="231" t="s">
        <v>392</v>
      </c>
      <c r="D5" s="225">
        <v>7.34</v>
      </c>
      <c r="E5" s="226">
        <v>10</v>
      </c>
      <c r="F5" s="227">
        <f t="shared" si="0"/>
        <v>73.400000000000006</v>
      </c>
      <c r="G5" s="225">
        <f t="shared" si="1"/>
        <v>880.80000000000007</v>
      </c>
      <c r="H5" s="228"/>
    </row>
    <row r="6" spans="1:8" x14ac:dyDescent="0.35">
      <c r="A6" s="229">
        <v>4</v>
      </c>
      <c r="B6" s="233" t="s">
        <v>169</v>
      </c>
      <c r="C6" s="224"/>
      <c r="D6" s="225">
        <v>18.55</v>
      </c>
      <c r="E6" s="226">
        <v>6</v>
      </c>
      <c r="F6" s="227">
        <f t="shared" si="0"/>
        <v>111.30000000000001</v>
      </c>
      <c r="G6" s="225">
        <f t="shared" si="1"/>
        <v>1335.6000000000001</v>
      </c>
      <c r="H6" s="228"/>
    </row>
    <row r="7" spans="1:8" x14ac:dyDescent="0.35">
      <c r="A7" s="229">
        <v>5</v>
      </c>
      <c r="B7" s="233" t="s">
        <v>170</v>
      </c>
      <c r="C7" s="224"/>
      <c r="D7" s="225">
        <v>19.600000000000001</v>
      </c>
      <c r="E7" s="226">
        <v>5</v>
      </c>
      <c r="F7" s="227">
        <f t="shared" si="0"/>
        <v>98</v>
      </c>
      <c r="G7" s="225">
        <f t="shared" si="1"/>
        <v>1176</v>
      </c>
      <c r="H7" s="228">
        <v>3.38</v>
      </c>
    </row>
    <row r="8" spans="1:8" x14ac:dyDescent="0.35">
      <c r="A8" s="234">
        <v>6</v>
      </c>
      <c r="B8" s="233" t="s">
        <v>171</v>
      </c>
      <c r="C8" s="224" t="s">
        <v>393</v>
      </c>
      <c r="D8" s="225">
        <v>35.659999999999997</v>
      </c>
      <c r="E8" s="226">
        <v>2</v>
      </c>
      <c r="F8" s="227">
        <f t="shared" si="0"/>
        <v>71.319999999999993</v>
      </c>
      <c r="G8" s="225">
        <f t="shared" si="1"/>
        <v>855.83999999999992</v>
      </c>
      <c r="H8" s="228"/>
    </row>
    <row r="9" spans="1:8" x14ac:dyDescent="0.35">
      <c r="A9" s="234">
        <v>7</v>
      </c>
      <c r="B9" s="233" t="s">
        <v>172</v>
      </c>
      <c r="C9" s="224"/>
      <c r="D9" s="225"/>
      <c r="E9" s="226">
        <v>0</v>
      </c>
      <c r="F9" s="227">
        <f t="shared" si="0"/>
        <v>0</v>
      </c>
      <c r="G9" s="225">
        <f t="shared" si="1"/>
        <v>0</v>
      </c>
      <c r="H9" s="228"/>
    </row>
    <row r="10" spans="1:8" x14ac:dyDescent="0.35">
      <c r="A10" s="234">
        <v>8</v>
      </c>
      <c r="B10" s="233" t="s">
        <v>173</v>
      </c>
      <c r="C10" s="224" t="s">
        <v>394</v>
      </c>
      <c r="D10" s="225">
        <v>14.79</v>
      </c>
      <c r="E10" s="226">
        <v>3</v>
      </c>
      <c r="F10" s="227">
        <f t="shared" si="0"/>
        <v>44.37</v>
      </c>
      <c r="G10" s="225">
        <f t="shared" si="1"/>
        <v>532.43999999999994</v>
      </c>
      <c r="H10" s="228"/>
    </row>
    <row r="11" spans="1:8" ht="23" x14ac:dyDescent="0.35">
      <c r="A11" s="234">
        <v>9</v>
      </c>
      <c r="B11" s="235" t="s">
        <v>174</v>
      </c>
      <c r="C11" s="224"/>
      <c r="D11" s="225">
        <v>12.92</v>
      </c>
      <c r="E11" s="226">
        <v>1</v>
      </c>
      <c r="F11" s="227">
        <f t="shared" si="0"/>
        <v>12.92</v>
      </c>
      <c r="G11" s="225">
        <f t="shared" si="1"/>
        <v>155.04</v>
      </c>
      <c r="H11" s="228"/>
    </row>
    <row r="12" spans="1:8" x14ac:dyDescent="0.35">
      <c r="A12" s="234">
        <v>10</v>
      </c>
      <c r="B12" s="236" t="s">
        <v>175</v>
      </c>
      <c r="C12" s="224" t="s">
        <v>395</v>
      </c>
      <c r="D12" s="225">
        <v>6.7</v>
      </c>
      <c r="E12" s="226">
        <v>30</v>
      </c>
      <c r="F12" s="227">
        <f t="shared" si="0"/>
        <v>201</v>
      </c>
      <c r="G12" s="225">
        <f t="shared" si="1"/>
        <v>2412</v>
      </c>
      <c r="H12" s="228"/>
    </row>
    <row r="13" spans="1:8" x14ac:dyDescent="0.35">
      <c r="A13" s="234">
        <v>11</v>
      </c>
      <c r="B13" s="236" t="s">
        <v>176</v>
      </c>
      <c r="C13" s="224" t="s">
        <v>396</v>
      </c>
      <c r="D13" s="225">
        <v>13.99</v>
      </c>
      <c r="E13" s="226">
        <v>10</v>
      </c>
      <c r="F13" s="227">
        <f t="shared" si="0"/>
        <v>139.9</v>
      </c>
      <c r="G13" s="225">
        <f t="shared" si="1"/>
        <v>1678.8000000000002</v>
      </c>
      <c r="H13" s="228"/>
    </row>
    <row r="14" spans="1:8" x14ac:dyDescent="0.35">
      <c r="A14" s="234">
        <v>12</v>
      </c>
      <c r="B14" s="236" t="s">
        <v>177</v>
      </c>
      <c r="C14" s="224" t="s">
        <v>397</v>
      </c>
      <c r="D14" s="225">
        <v>16.059999999999999</v>
      </c>
      <c r="E14" s="226">
        <v>8</v>
      </c>
      <c r="F14" s="227">
        <f t="shared" si="0"/>
        <v>128.47999999999999</v>
      </c>
      <c r="G14" s="225">
        <f t="shared" si="1"/>
        <v>1541.7599999999998</v>
      </c>
      <c r="H14" s="228"/>
    </row>
    <row r="15" spans="1:8" x14ac:dyDescent="0.35">
      <c r="A15" s="234">
        <v>13</v>
      </c>
      <c r="B15" s="236" t="s">
        <v>178</v>
      </c>
      <c r="C15" s="224" t="s">
        <v>398</v>
      </c>
      <c r="D15" s="225">
        <v>40.32</v>
      </c>
      <c r="E15" s="226">
        <v>5</v>
      </c>
      <c r="F15" s="227">
        <f t="shared" si="0"/>
        <v>201.6</v>
      </c>
      <c r="G15" s="225">
        <f t="shared" si="1"/>
        <v>2419.1999999999998</v>
      </c>
      <c r="H15" s="228"/>
    </row>
    <row r="16" spans="1:8" x14ac:dyDescent="0.35">
      <c r="A16" s="234">
        <v>14</v>
      </c>
      <c r="B16" s="236" t="s">
        <v>179</v>
      </c>
      <c r="C16" s="224"/>
      <c r="D16" s="225">
        <v>5.35</v>
      </c>
      <c r="E16" s="226">
        <v>10</v>
      </c>
      <c r="F16" s="227">
        <f t="shared" si="0"/>
        <v>53.5</v>
      </c>
      <c r="G16" s="225">
        <f t="shared" si="1"/>
        <v>642</v>
      </c>
      <c r="H16" s="228"/>
    </row>
    <row r="17" spans="1:8" x14ac:dyDescent="0.35">
      <c r="A17" s="234">
        <v>15</v>
      </c>
      <c r="B17" s="236" t="s">
        <v>180</v>
      </c>
      <c r="C17" s="224"/>
      <c r="D17" s="225">
        <v>46.17</v>
      </c>
      <c r="E17" s="226">
        <v>3</v>
      </c>
      <c r="F17" s="227">
        <f t="shared" si="0"/>
        <v>138.51</v>
      </c>
      <c r="G17" s="225">
        <f t="shared" si="1"/>
        <v>1662.12</v>
      </c>
      <c r="H17" s="228"/>
    </row>
    <row r="18" spans="1:8" x14ac:dyDescent="0.35">
      <c r="A18" s="229">
        <v>16</v>
      </c>
      <c r="B18" s="236" t="s">
        <v>181</v>
      </c>
      <c r="C18" s="224" t="s">
        <v>399</v>
      </c>
      <c r="D18" s="225">
        <v>2.68</v>
      </c>
      <c r="E18" s="226">
        <v>25</v>
      </c>
      <c r="F18" s="227">
        <f t="shared" si="0"/>
        <v>67</v>
      </c>
      <c r="G18" s="225">
        <f t="shared" si="1"/>
        <v>804</v>
      </c>
      <c r="H18" s="228"/>
    </row>
    <row r="19" spans="1:8" x14ac:dyDescent="0.35">
      <c r="A19" s="229">
        <v>17</v>
      </c>
      <c r="B19" s="236" t="s">
        <v>182</v>
      </c>
      <c r="C19" s="224" t="s">
        <v>400</v>
      </c>
      <c r="D19" s="225">
        <v>5.0599999999999996</v>
      </c>
      <c r="E19" s="226">
        <v>20</v>
      </c>
      <c r="F19" s="227">
        <f t="shared" si="0"/>
        <v>101.19999999999999</v>
      </c>
      <c r="G19" s="225">
        <f t="shared" si="1"/>
        <v>1214.3999999999999</v>
      </c>
      <c r="H19" s="228"/>
    </row>
    <row r="20" spans="1:8" x14ac:dyDescent="0.35">
      <c r="A20" s="229">
        <v>18</v>
      </c>
      <c r="B20" s="236" t="s">
        <v>183</v>
      </c>
      <c r="C20" s="224"/>
      <c r="D20" s="225"/>
      <c r="E20" s="226">
        <v>0</v>
      </c>
      <c r="F20" s="227">
        <f t="shared" si="0"/>
        <v>0</v>
      </c>
      <c r="G20" s="225">
        <f t="shared" si="1"/>
        <v>0</v>
      </c>
      <c r="H20" s="228">
        <v>9.4</v>
      </c>
    </row>
    <row r="21" spans="1:8" x14ac:dyDescent="0.35">
      <c r="A21" s="229">
        <v>19</v>
      </c>
      <c r="B21" s="236" t="s">
        <v>184</v>
      </c>
      <c r="C21" s="224" t="s">
        <v>401</v>
      </c>
      <c r="D21" s="225">
        <v>17.02</v>
      </c>
      <c r="E21" s="226">
        <v>5</v>
      </c>
      <c r="F21" s="227">
        <f t="shared" si="0"/>
        <v>85.1</v>
      </c>
      <c r="G21" s="225">
        <f t="shared" si="1"/>
        <v>1021.1999999999999</v>
      </c>
      <c r="H21" s="228"/>
    </row>
    <row r="22" spans="1:8" x14ac:dyDescent="0.35">
      <c r="A22" s="229">
        <v>20</v>
      </c>
      <c r="B22" s="236" t="s">
        <v>185</v>
      </c>
      <c r="C22" s="224" t="s">
        <v>402</v>
      </c>
      <c r="D22" s="225">
        <v>13.14</v>
      </c>
      <c r="E22" s="226">
        <v>10</v>
      </c>
      <c r="F22" s="227">
        <f t="shared" si="0"/>
        <v>131.4</v>
      </c>
      <c r="G22" s="225">
        <f t="shared" si="1"/>
        <v>1576.8000000000002</v>
      </c>
      <c r="H22" s="228"/>
    </row>
    <row r="23" spans="1:8" x14ac:dyDescent="0.35">
      <c r="A23" s="229">
        <v>21</v>
      </c>
      <c r="B23" s="237" t="s">
        <v>186</v>
      </c>
      <c r="C23" s="224"/>
      <c r="D23" s="225">
        <v>5.31</v>
      </c>
      <c r="E23" s="238">
        <v>12</v>
      </c>
      <c r="F23" s="227">
        <f t="shared" si="0"/>
        <v>63.72</v>
      </c>
      <c r="G23" s="225">
        <f t="shared" si="1"/>
        <v>764.64</v>
      </c>
      <c r="H23" s="228"/>
    </row>
    <row r="24" spans="1:8" x14ac:dyDescent="0.35">
      <c r="A24" s="229">
        <v>22</v>
      </c>
      <c r="B24" s="236" t="s">
        <v>320</v>
      </c>
      <c r="C24" s="224"/>
      <c r="D24" s="225">
        <v>18.96</v>
      </c>
      <c r="E24" s="239">
        <v>1</v>
      </c>
      <c r="F24" s="227">
        <f t="shared" si="0"/>
        <v>18.96</v>
      </c>
      <c r="G24" s="225">
        <f t="shared" si="1"/>
        <v>227.52</v>
      </c>
      <c r="H24" s="228"/>
    </row>
    <row r="25" spans="1:8" x14ac:dyDescent="0.35">
      <c r="A25" s="229">
        <v>23</v>
      </c>
      <c r="B25" s="233" t="s">
        <v>187</v>
      </c>
      <c r="C25" s="231" t="s">
        <v>403</v>
      </c>
      <c r="D25" s="225">
        <v>24.15</v>
      </c>
      <c r="E25" s="239">
        <v>2</v>
      </c>
      <c r="F25" s="227">
        <f t="shared" si="0"/>
        <v>48.3</v>
      </c>
      <c r="G25" s="225">
        <f t="shared" si="1"/>
        <v>579.59999999999991</v>
      </c>
      <c r="H25" s="228"/>
    </row>
    <row r="26" spans="1:8" x14ac:dyDescent="0.35">
      <c r="A26" s="229">
        <v>24</v>
      </c>
      <c r="B26" s="233" t="s">
        <v>188</v>
      </c>
      <c r="C26" s="231"/>
      <c r="D26" s="225">
        <v>4.4000000000000004</v>
      </c>
      <c r="E26" s="239">
        <v>2</v>
      </c>
      <c r="F26" s="227">
        <f t="shared" si="0"/>
        <v>8.8000000000000007</v>
      </c>
      <c r="G26" s="225">
        <f t="shared" si="1"/>
        <v>105.60000000000001</v>
      </c>
      <c r="H26" s="228"/>
    </row>
    <row r="27" spans="1:8" x14ac:dyDescent="0.35">
      <c r="A27" s="229">
        <v>25</v>
      </c>
      <c r="B27" s="236" t="s">
        <v>189</v>
      </c>
      <c r="C27" s="224" t="s">
        <v>404</v>
      </c>
      <c r="D27" s="225">
        <v>11.99</v>
      </c>
      <c r="E27" s="239">
        <v>5</v>
      </c>
      <c r="F27" s="227">
        <f t="shared" si="0"/>
        <v>59.95</v>
      </c>
      <c r="G27" s="225">
        <f t="shared" si="1"/>
        <v>719.40000000000009</v>
      </c>
      <c r="H27" s="228"/>
    </row>
    <row r="28" spans="1:8" ht="28" x14ac:dyDescent="0.35">
      <c r="A28" s="229">
        <v>26</v>
      </c>
      <c r="B28" s="236" t="s">
        <v>190</v>
      </c>
      <c r="C28" s="224" t="s">
        <v>405</v>
      </c>
      <c r="D28" s="225">
        <v>16.170000000000002</v>
      </c>
      <c r="E28" s="239">
        <v>5</v>
      </c>
      <c r="F28" s="227">
        <f t="shared" si="0"/>
        <v>80.850000000000009</v>
      </c>
      <c r="G28" s="225">
        <f t="shared" si="1"/>
        <v>970.2</v>
      </c>
      <c r="H28" s="228"/>
    </row>
    <row r="29" spans="1:8" x14ac:dyDescent="0.35">
      <c r="A29" s="229">
        <v>27</v>
      </c>
      <c r="B29" s="236" t="s">
        <v>191</v>
      </c>
      <c r="C29" s="224" t="s">
        <v>406</v>
      </c>
      <c r="D29" s="225">
        <v>14.72</v>
      </c>
      <c r="E29" s="239">
        <v>15</v>
      </c>
      <c r="F29" s="227">
        <f t="shared" si="0"/>
        <v>220.8</v>
      </c>
      <c r="G29" s="225">
        <f t="shared" si="1"/>
        <v>2649.6000000000004</v>
      </c>
      <c r="H29" s="228"/>
    </row>
    <row r="30" spans="1:8" x14ac:dyDescent="0.35">
      <c r="A30" s="229">
        <v>28</v>
      </c>
      <c r="B30" s="236" t="s">
        <v>192</v>
      </c>
      <c r="C30" s="224" t="s">
        <v>321</v>
      </c>
      <c r="D30" s="225">
        <v>17.98</v>
      </c>
      <c r="E30" s="239">
        <v>3</v>
      </c>
      <c r="F30" s="227">
        <f t="shared" si="0"/>
        <v>53.94</v>
      </c>
      <c r="G30" s="225">
        <f t="shared" si="1"/>
        <v>647.28</v>
      </c>
      <c r="H30" s="228"/>
    </row>
    <row r="31" spans="1:8" x14ac:dyDescent="0.35">
      <c r="A31" s="229">
        <v>29</v>
      </c>
      <c r="B31" s="236" t="s">
        <v>193</v>
      </c>
      <c r="C31" s="224"/>
      <c r="D31" s="225">
        <v>18.29</v>
      </c>
      <c r="E31" s="239">
        <v>8</v>
      </c>
      <c r="F31" s="227">
        <f t="shared" si="0"/>
        <v>146.32</v>
      </c>
      <c r="G31" s="225">
        <f t="shared" si="1"/>
        <v>1755.84</v>
      </c>
      <c r="H31" s="228"/>
    </row>
    <row r="32" spans="1:8" x14ac:dyDescent="0.35">
      <c r="A32" s="229">
        <v>30</v>
      </c>
      <c r="B32" s="236" t="s">
        <v>194</v>
      </c>
      <c r="C32" s="224"/>
      <c r="D32" s="225">
        <v>19.11</v>
      </c>
      <c r="E32" s="239">
        <v>5</v>
      </c>
      <c r="F32" s="227">
        <f t="shared" si="0"/>
        <v>95.55</v>
      </c>
      <c r="G32" s="225">
        <f t="shared" si="1"/>
        <v>1146.5999999999999</v>
      </c>
      <c r="H32" s="228"/>
    </row>
    <row r="33" spans="1:8" x14ac:dyDescent="0.35">
      <c r="A33" s="229">
        <v>31</v>
      </c>
      <c r="B33" s="236" t="s">
        <v>195</v>
      </c>
      <c r="C33" s="224" t="s">
        <v>407</v>
      </c>
      <c r="D33" s="225">
        <v>8.4499999999999993</v>
      </c>
      <c r="E33" s="239">
        <v>5</v>
      </c>
      <c r="F33" s="227">
        <f t="shared" si="0"/>
        <v>42.25</v>
      </c>
      <c r="G33" s="225">
        <f t="shared" si="1"/>
        <v>507</v>
      </c>
      <c r="H33" s="228"/>
    </row>
    <row r="34" spans="1:8" x14ac:dyDescent="0.35">
      <c r="A34" s="229">
        <v>32</v>
      </c>
      <c r="B34" s="236" t="s">
        <v>196</v>
      </c>
      <c r="C34" s="224" t="s">
        <v>408</v>
      </c>
      <c r="D34" s="225">
        <v>61.24</v>
      </c>
      <c r="E34" s="239">
        <v>4</v>
      </c>
      <c r="F34" s="227">
        <f t="shared" si="0"/>
        <v>244.96</v>
      </c>
      <c r="G34" s="225">
        <f t="shared" si="1"/>
        <v>2939.52</v>
      </c>
      <c r="H34" s="228"/>
    </row>
    <row r="35" spans="1:8" x14ac:dyDescent="0.35">
      <c r="A35" s="229">
        <v>33</v>
      </c>
      <c r="B35" s="236" t="s">
        <v>197</v>
      </c>
      <c r="C35" s="224" t="s">
        <v>408</v>
      </c>
      <c r="D35" s="225">
        <v>85.29</v>
      </c>
      <c r="E35" s="239">
        <v>4</v>
      </c>
      <c r="F35" s="227">
        <f t="shared" si="0"/>
        <v>341.16</v>
      </c>
      <c r="G35" s="225">
        <f t="shared" si="1"/>
        <v>4093.92</v>
      </c>
      <c r="H35" s="228"/>
    </row>
    <row r="36" spans="1:8" x14ac:dyDescent="0.35">
      <c r="A36" s="229">
        <v>34</v>
      </c>
      <c r="B36" s="236" t="s">
        <v>198</v>
      </c>
      <c r="C36" s="224" t="s">
        <v>408</v>
      </c>
      <c r="D36" s="225">
        <v>31.54</v>
      </c>
      <c r="E36" s="239">
        <v>8</v>
      </c>
      <c r="F36" s="227">
        <f t="shared" si="0"/>
        <v>252.32</v>
      </c>
      <c r="G36" s="225">
        <f t="shared" si="1"/>
        <v>3027.84</v>
      </c>
      <c r="H36" s="228"/>
    </row>
    <row r="37" spans="1:8" x14ac:dyDescent="0.35">
      <c r="A37" s="229">
        <v>35</v>
      </c>
      <c r="B37" s="236" t="s">
        <v>199</v>
      </c>
      <c r="C37" s="224" t="s">
        <v>322</v>
      </c>
      <c r="D37" s="225">
        <v>27.63</v>
      </c>
      <c r="E37" s="239">
        <v>3</v>
      </c>
      <c r="F37" s="227">
        <f t="shared" si="0"/>
        <v>82.89</v>
      </c>
      <c r="G37" s="225">
        <f t="shared" si="1"/>
        <v>994.68000000000006</v>
      </c>
      <c r="H37" s="228"/>
    </row>
    <row r="38" spans="1:8" x14ac:dyDescent="0.35">
      <c r="A38" s="229">
        <v>36</v>
      </c>
      <c r="B38" s="236" t="s">
        <v>200</v>
      </c>
      <c r="C38" s="224"/>
      <c r="D38" s="225">
        <v>17.29</v>
      </c>
      <c r="E38" s="239">
        <v>2</v>
      </c>
      <c r="F38" s="227">
        <f t="shared" si="0"/>
        <v>34.58</v>
      </c>
      <c r="G38" s="225">
        <f t="shared" si="1"/>
        <v>414.96</v>
      </c>
      <c r="H38" s="228"/>
    </row>
    <row r="39" spans="1:8" x14ac:dyDescent="0.35">
      <c r="A39" s="229">
        <v>37</v>
      </c>
      <c r="B39" s="236" t="s">
        <v>201</v>
      </c>
      <c r="C39" s="224"/>
      <c r="D39" s="225">
        <v>22.86</v>
      </c>
      <c r="E39" s="239">
        <v>5</v>
      </c>
      <c r="F39" s="227">
        <f t="shared" si="0"/>
        <v>114.3</v>
      </c>
      <c r="G39" s="225">
        <f t="shared" si="1"/>
        <v>1371.6</v>
      </c>
      <c r="H39" s="228"/>
    </row>
    <row r="40" spans="1:8" x14ac:dyDescent="0.35">
      <c r="A40" s="229">
        <v>38</v>
      </c>
      <c r="B40" s="236" t="s">
        <v>202</v>
      </c>
      <c r="C40" s="224"/>
      <c r="D40" s="225">
        <v>24.98</v>
      </c>
      <c r="E40" s="239">
        <v>2</v>
      </c>
      <c r="F40" s="227">
        <f t="shared" si="0"/>
        <v>49.96</v>
      </c>
      <c r="G40" s="225">
        <f t="shared" si="1"/>
        <v>599.52</v>
      </c>
      <c r="H40" s="228"/>
    </row>
    <row r="41" spans="1:8" x14ac:dyDescent="0.35">
      <c r="A41" s="229">
        <v>39</v>
      </c>
      <c r="B41" s="236" t="s">
        <v>203</v>
      </c>
      <c r="C41" s="224"/>
      <c r="D41" s="225">
        <v>16.59</v>
      </c>
      <c r="E41" s="239">
        <v>2</v>
      </c>
      <c r="F41" s="227">
        <f t="shared" si="0"/>
        <v>33.18</v>
      </c>
      <c r="G41" s="225">
        <f t="shared" si="1"/>
        <v>398.15999999999997</v>
      </c>
      <c r="H41" s="228"/>
    </row>
    <row r="42" spans="1:8" x14ac:dyDescent="0.35">
      <c r="A42" s="357" t="s">
        <v>26</v>
      </c>
      <c r="B42" s="358"/>
      <c r="C42" s="358"/>
      <c r="D42" s="358"/>
      <c r="E42" s="358"/>
      <c r="F42" s="358"/>
      <c r="G42" s="240">
        <f>SUM(G3:G41)</f>
        <v>48492.479999999981</v>
      </c>
      <c r="H42" s="228"/>
    </row>
    <row r="43" spans="1:8" x14ac:dyDescent="0.35">
      <c r="A43" s="357" t="s">
        <v>27</v>
      </c>
      <c r="B43" s="358"/>
      <c r="C43" s="358"/>
      <c r="D43" s="358"/>
      <c r="E43" s="358"/>
      <c r="F43" s="359"/>
      <c r="G43" s="241">
        <f>G42/12</f>
        <v>4041.0399999999986</v>
      </c>
    </row>
    <row r="44" spans="1:8" x14ac:dyDescent="0.35">
      <c r="A44" s="357" t="s">
        <v>323</v>
      </c>
      <c r="B44" s="358"/>
      <c r="C44" s="358"/>
      <c r="D44" s="358"/>
      <c r="E44" s="358"/>
      <c r="F44" s="359"/>
      <c r="G44" s="242">
        <f>G43/('Anexo II A.2 - PRODUTIVIDADE'!F11+'Anexo II A.2 - PRODUTIVIDADE'!F22)</f>
        <v>237.70823529411757</v>
      </c>
    </row>
  </sheetData>
  <mergeCells count="4">
    <mergeCell ref="A42:F42"/>
    <mergeCell ref="A43:F43"/>
    <mergeCell ref="A44:F44"/>
    <mergeCell ref="A1:G1"/>
  </mergeCells>
  <phoneticPr fontId="48" type="noConversion"/>
  <pageMargins left="0.7" right="0.7" top="0.75" bottom="0.75" header="0.3" footer="0.3"/>
  <pageSetup paperSize="9" scale="63" orientation="portrait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5"/>
  <sheetViews>
    <sheetView view="pageBreakPreview" topLeftCell="A22" zoomScale="70" zoomScaleNormal="70" zoomScaleSheetLayoutView="70" workbookViewId="0">
      <selection activeCell="G35" sqref="G35"/>
    </sheetView>
  </sheetViews>
  <sheetFormatPr defaultColWidth="9.1796875" defaultRowHeight="16" x14ac:dyDescent="0.35"/>
  <cols>
    <col min="1" max="1" width="9.1796875" style="2"/>
    <col min="2" max="2" width="54.26953125" style="2" customWidth="1"/>
    <col min="3" max="3" width="14.7265625" style="7" customWidth="1"/>
    <col min="4" max="4" width="18.81640625" style="7" customWidth="1"/>
    <col min="5" max="5" width="12.26953125" style="8" customWidth="1"/>
    <col min="6" max="6" width="17.453125" style="8" customWidth="1"/>
    <col min="7" max="7" width="18.54296875" style="8" customWidth="1"/>
    <col min="8" max="8" width="13.54296875" style="2" customWidth="1"/>
    <col min="9" max="16384" width="9.1796875" style="2"/>
  </cols>
  <sheetData>
    <row r="1" spans="1:8" ht="21" customHeight="1" x14ac:dyDescent="0.5">
      <c r="A1" s="363" t="s">
        <v>426</v>
      </c>
      <c r="B1" s="364"/>
      <c r="C1" s="364"/>
      <c r="D1" s="364"/>
      <c r="E1" s="364"/>
      <c r="F1" s="364"/>
      <c r="G1" s="365"/>
      <c r="H1" s="1"/>
    </row>
    <row r="2" spans="1:8" ht="43.5" customHeight="1" x14ac:dyDescent="0.35">
      <c r="A2" s="248" t="s">
        <v>0</v>
      </c>
      <c r="B2" s="249" t="s">
        <v>207</v>
      </c>
      <c r="C2" s="249" t="s">
        <v>208</v>
      </c>
      <c r="D2" s="249" t="s">
        <v>209</v>
      </c>
      <c r="E2" s="250" t="s">
        <v>210</v>
      </c>
      <c r="F2" s="250" t="s">
        <v>211</v>
      </c>
      <c r="G2" s="251" t="s">
        <v>212</v>
      </c>
    </row>
    <row r="3" spans="1:8" ht="18.649999999999999" customHeight="1" x14ac:dyDescent="0.35">
      <c r="A3" s="252">
        <v>1</v>
      </c>
      <c r="B3" s="253" t="s">
        <v>213</v>
      </c>
      <c r="C3" s="254">
        <v>5</v>
      </c>
      <c r="D3" s="255">
        <v>26.12</v>
      </c>
      <c r="E3" s="256">
        <v>60</v>
      </c>
      <c r="F3" s="257">
        <f>C3*D3/E3</f>
        <v>2.1766666666666667</v>
      </c>
      <c r="G3" s="258">
        <f>F3*12</f>
        <v>26.12</v>
      </c>
      <c r="H3" s="259"/>
    </row>
    <row r="4" spans="1:8" ht="30" customHeight="1" x14ac:dyDescent="0.35">
      <c r="A4" s="260">
        <v>2</v>
      </c>
      <c r="B4" s="261" t="s">
        <v>214</v>
      </c>
      <c r="C4" s="262">
        <v>4</v>
      </c>
      <c r="D4" s="257">
        <v>931.83</v>
      </c>
      <c r="E4" s="256">
        <v>60</v>
      </c>
      <c r="F4" s="257">
        <f t="shared" ref="F4:F31" si="0">C4*D4/E4</f>
        <v>62.122</v>
      </c>
      <c r="G4" s="258">
        <f t="shared" ref="G4:G31" si="1">F4*12</f>
        <v>745.46399999999994</v>
      </c>
      <c r="H4" s="259"/>
    </row>
    <row r="5" spans="1:8" ht="18.649999999999999" customHeight="1" x14ac:dyDescent="0.35">
      <c r="A5" s="260">
        <v>3</v>
      </c>
      <c r="B5" s="263" t="s">
        <v>215</v>
      </c>
      <c r="C5" s="262">
        <v>1</v>
      </c>
      <c r="D5" s="257">
        <v>259.83999999999997</v>
      </c>
      <c r="E5" s="256">
        <v>60</v>
      </c>
      <c r="F5" s="257">
        <f t="shared" si="0"/>
        <v>4.3306666666666667</v>
      </c>
      <c r="G5" s="258">
        <f t="shared" si="1"/>
        <v>51.968000000000004</v>
      </c>
      <c r="H5" s="259"/>
    </row>
    <row r="6" spans="1:8" ht="18.649999999999999" customHeight="1" x14ac:dyDescent="0.35">
      <c r="A6" s="260">
        <v>4</v>
      </c>
      <c r="B6" s="261" t="s">
        <v>216</v>
      </c>
      <c r="C6" s="254">
        <v>2</v>
      </c>
      <c r="D6" s="257">
        <v>935.27</v>
      </c>
      <c r="E6" s="256">
        <v>60</v>
      </c>
      <c r="F6" s="257">
        <f t="shared" si="0"/>
        <v>31.175666666666665</v>
      </c>
      <c r="G6" s="258">
        <f t="shared" si="1"/>
        <v>374.10799999999995</v>
      </c>
      <c r="H6" s="259"/>
    </row>
    <row r="7" spans="1:8" ht="25" customHeight="1" x14ac:dyDescent="0.35">
      <c r="A7" s="260">
        <v>5</v>
      </c>
      <c r="B7" s="261" t="s">
        <v>217</v>
      </c>
      <c r="C7" s="254">
        <v>2</v>
      </c>
      <c r="D7" s="257">
        <v>727.62</v>
      </c>
      <c r="E7" s="256">
        <v>60</v>
      </c>
      <c r="F7" s="257">
        <f t="shared" si="0"/>
        <v>24.254000000000001</v>
      </c>
      <c r="G7" s="258">
        <f t="shared" si="1"/>
        <v>291.048</v>
      </c>
      <c r="H7" s="259"/>
    </row>
    <row r="8" spans="1:8" ht="57.65" customHeight="1" x14ac:dyDescent="0.35">
      <c r="A8" s="264">
        <v>6</v>
      </c>
      <c r="B8" s="261" t="s">
        <v>218</v>
      </c>
      <c r="C8" s="254">
        <v>2</v>
      </c>
      <c r="D8" s="257">
        <v>1956.1</v>
      </c>
      <c r="E8" s="256">
        <v>60</v>
      </c>
      <c r="F8" s="257">
        <f t="shared" si="0"/>
        <v>65.203333333333333</v>
      </c>
      <c r="G8" s="258">
        <f t="shared" si="1"/>
        <v>782.44</v>
      </c>
      <c r="H8" s="259"/>
    </row>
    <row r="9" spans="1:8" ht="54.65" customHeight="1" x14ac:dyDescent="0.35">
      <c r="A9" s="264">
        <v>7</v>
      </c>
      <c r="B9" s="261" t="s">
        <v>240</v>
      </c>
      <c r="C9" s="254">
        <v>1</v>
      </c>
      <c r="D9" s="257">
        <v>2759.33</v>
      </c>
      <c r="E9" s="256">
        <v>60</v>
      </c>
      <c r="F9" s="257">
        <f t="shared" si="0"/>
        <v>45.988833333333332</v>
      </c>
      <c r="G9" s="258">
        <f t="shared" si="1"/>
        <v>551.86599999999999</v>
      </c>
      <c r="H9" s="259"/>
    </row>
    <row r="10" spans="1:8" ht="18.649999999999999" customHeight="1" x14ac:dyDescent="0.35">
      <c r="A10" s="264">
        <v>8</v>
      </c>
      <c r="B10" s="261" t="s">
        <v>219</v>
      </c>
      <c r="C10" s="254">
        <v>0</v>
      </c>
      <c r="D10" s="257">
        <v>14.9</v>
      </c>
      <c r="E10" s="256">
        <v>12</v>
      </c>
      <c r="F10" s="257">
        <f t="shared" si="0"/>
        <v>0</v>
      </c>
      <c r="G10" s="258">
        <f t="shared" si="1"/>
        <v>0</v>
      </c>
      <c r="H10" s="259"/>
    </row>
    <row r="11" spans="1:8" ht="18.649999999999999" customHeight="1" x14ac:dyDescent="0.35">
      <c r="A11" s="264">
        <v>9</v>
      </c>
      <c r="B11" s="261" t="s">
        <v>220</v>
      </c>
      <c r="C11" s="254">
        <v>0</v>
      </c>
      <c r="D11" s="257">
        <v>15</v>
      </c>
      <c r="E11" s="256">
        <v>12</v>
      </c>
      <c r="F11" s="257">
        <f t="shared" si="0"/>
        <v>0</v>
      </c>
      <c r="G11" s="258">
        <f t="shared" si="1"/>
        <v>0</v>
      </c>
      <c r="H11" s="259"/>
    </row>
    <row r="12" spans="1:8" ht="18.649999999999999" customHeight="1" x14ac:dyDescent="0.35">
      <c r="A12" s="264">
        <v>10</v>
      </c>
      <c r="B12" s="265" t="s">
        <v>221</v>
      </c>
      <c r="C12" s="254">
        <v>3</v>
      </c>
      <c r="D12" s="257">
        <v>169.79</v>
      </c>
      <c r="E12" s="256">
        <v>60</v>
      </c>
      <c r="F12" s="257">
        <f t="shared" si="0"/>
        <v>8.4894999999999996</v>
      </c>
      <c r="G12" s="258">
        <f t="shared" si="1"/>
        <v>101.874</v>
      </c>
      <c r="H12" s="259"/>
    </row>
    <row r="13" spans="1:8" ht="50.15" customHeight="1" x14ac:dyDescent="0.35">
      <c r="A13" s="264">
        <v>11</v>
      </c>
      <c r="B13" s="266" t="s">
        <v>222</v>
      </c>
      <c r="C13" s="254">
        <v>1</v>
      </c>
      <c r="D13" s="257">
        <v>476.87</v>
      </c>
      <c r="E13" s="256">
        <v>60</v>
      </c>
      <c r="F13" s="257">
        <f t="shared" si="0"/>
        <v>7.9478333333333335</v>
      </c>
      <c r="G13" s="258">
        <f t="shared" si="1"/>
        <v>95.373999999999995</v>
      </c>
      <c r="H13" s="259"/>
    </row>
    <row r="14" spans="1:8" ht="18.649999999999999" customHeight="1" x14ac:dyDescent="0.35">
      <c r="A14" s="264">
        <v>12</v>
      </c>
      <c r="B14" s="266" t="s">
        <v>223</v>
      </c>
      <c r="C14" s="254">
        <v>5</v>
      </c>
      <c r="D14" s="257">
        <v>17.46</v>
      </c>
      <c r="E14" s="256">
        <v>12</v>
      </c>
      <c r="F14" s="257">
        <f t="shared" si="0"/>
        <v>7.2750000000000012</v>
      </c>
      <c r="G14" s="258">
        <f t="shared" si="1"/>
        <v>87.300000000000011</v>
      </c>
      <c r="H14" s="259"/>
    </row>
    <row r="15" spans="1:8" ht="18.649999999999999" customHeight="1" x14ac:dyDescent="0.35">
      <c r="A15" s="264">
        <v>13</v>
      </c>
      <c r="B15" s="266" t="s">
        <v>224</v>
      </c>
      <c r="C15" s="254">
        <v>0</v>
      </c>
      <c r="D15" s="257">
        <v>16</v>
      </c>
      <c r="E15" s="256">
        <v>12</v>
      </c>
      <c r="F15" s="257">
        <f t="shared" si="0"/>
        <v>0</v>
      </c>
      <c r="G15" s="258">
        <f t="shared" si="1"/>
        <v>0</v>
      </c>
      <c r="H15" s="259"/>
    </row>
    <row r="16" spans="1:8" ht="18.649999999999999" customHeight="1" x14ac:dyDescent="0.35">
      <c r="A16" s="264">
        <v>14</v>
      </c>
      <c r="B16" s="266" t="s">
        <v>225</v>
      </c>
      <c r="C16" s="254">
        <v>0</v>
      </c>
      <c r="D16" s="257">
        <v>170</v>
      </c>
      <c r="E16" s="256">
        <v>12</v>
      </c>
      <c r="F16" s="257">
        <f t="shared" si="0"/>
        <v>0</v>
      </c>
      <c r="G16" s="258">
        <f t="shared" si="1"/>
        <v>0</v>
      </c>
      <c r="H16" s="259"/>
    </row>
    <row r="17" spans="1:8" ht="25" customHeight="1" x14ac:dyDescent="0.35">
      <c r="A17" s="264">
        <v>15</v>
      </c>
      <c r="B17" s="266" t="s">
        <v>226</v>
      </c>
      <c r="C17" s="254">
        <v>1</v>
      </c>
      <c r="D17" s="257">
        <v>1876.36</v>
      </c>
      <c r="E17" s="256">
        <v>60</v>
      </c>
      <c r="F17" s="257">
        <f t="shared" si="0"/>
        <v>31.272666666666666</v>
      </c>
      <c r="G17" s="258">
        <f t="shared" si="1"/>
        <v>375.27199999999999</v>
      </c>
      <c r="H17" s="259"/>
    </row>
    <row r="18" spans="1:8" ht="25.5" customHeight="1" x14ac:dyDescent="0.35">
      <c r="A18" s="264">
        <v>16</v>
      </c>
      <c r="B18" s="266" t="s">
        <v>227</v>
      </c>
      <c r="C18" s="254">
        <v>0</v>
      </c>
      <c r="D18" s="257">
        <v>752.7</v>
      </c>
      <c r="E18" s="256">
        <v>60</v>
      </c>
      <c r="F18" s="257">
        <f t="shared" si="0"/>
        <v>0</v>
      </c>
      <c r="G18" s="258">
        <f t="shared" si="1"/>
        <v>0</v>
      </c>
      <c r="H18" s="259"/>
    </row>
    <row r="19" spans="1:8" ht="18.649999999999999" customHeight="1" x14ac:dyDescent="0.35">
      <c r="A19" s="260">
        <v>17</v>
      </c>
      <c r="B19" s="266" t="s">
        <v>228</v>
      </c>
      <c r="C19" s="254">
        <v>1</v>
      </c>
      <c r="D19" s="257">
        <v>710.82</v>
      </c>
      <c r="E19" s="256">
        <v>12</v>
      </c>
      <c r="F19" s="257">
        <f t="shared" si="0"/>
        <v>59.235000000000007</v>
      </c>
      <c r="G19" s="258">
        <f t="shared" si="1"/>
        <v>710.82</v>
      </c>
      <c r="H19" s="259"/>
    </row>
    <row r="20" spans="1:8" ht="18.649999999999999" customHeight="1" x14ac:dyDescent="0.35">
      <c r="A20" s="260">
        <v>18</v>
      </c>
      <c r="B20" s="266" t="s">
        <v>229</v>
      </c>
      <c r="C20" s="254">
        <v>1</v>
      </c>
      <c r="D20" s="257">
        <v>2214.84</v>
      </c>
      <c r="E20" s="256">
        <v>60</v>
      </c>
      <c r="F20" s="257">
        <f t="shared" si="0"/>
        <v>36.914000000000001</v>
      </c>
      <c r="G20" s="258">
        <f t="shared" si="1"/>
        <v>442.96800000000002</v>
      </c>
      <c r="H20" s="259"/>
    </row>
    <row r="21" spans="1:8" ht="18.649999999999999" customHeight="1" x14ac:dyDescent="0.35">
      <c r="A21" s="260">
        <v>19</v>
      </c>
      <c r="B21" s="266" t="s">
        <v>230</v>
      </c>
      <c r="C21" s="254">
        <v>0</v>
      </c>
      <c r="D21" s="257">
        <v>5.5</v>
      </c>
      <c r="E21" s="256">
        <v>12</v>
      </c>
      <c r="F21" s="257">
        <f t="shared" si="0"/>
        <v>0</v>
      </c>
      <c r="G21" s="258">
        <f t="shared" si="1"/>
        <v>0</v>
      </c>
      <c r="H21" s="259"/>
    </row>
    <row r="22" spans="1:8" ht="18.649999999999999" customHeight="1" x14ac:dyDescent="0.35">
      <c r="A22" s="260">
        <v>20</v>
      </c>
      <c r="B22" s="266" t="s">
        <v>231</v>
      </c>
      <c r="C22" s="254">
        <v>2</v>
      </c>
      <c r="D22" s="257">
        <v>135</v>
      </c>
      <c r="E22" s="256">
        <v>12</v>
      </c>
      <c r="F22" s="257">
        <f t="shared" si="0"/>
        <v>22.5</v>
      </c>
      <c r="G22" s="258">
        <f t="shared" si="1"/>
        <v>270</v>
      </c>
      <c r="H22" s="259"/>
    </row>
    <row r="23" spans="1:8" ht="18.649999999999999" customHeight="1" x14ac:dyDescent="0.35">
      <c r="A23" s="260">
        <v>21</v>
      </c>
      <c r="B23" s="266" t="s">
        <v>232</v>
      </c>
      <c r="C23" s="254">
        <v>0</v>
      </c>
      <c r="D23" s="257">
        <v>13</v>
      </c>
      <c r="E23" s="256">
        <v>12</v>
      </c>
      <c r="F23" s="257">
        <f t="shared" si="0"/>
        <v>0</v>
      </c>
      <c r="G23" s="258">
        <f t="shared" si="1"/>
        <v>0</v>
      </c>
      <c r="H23" s="259"/>
    </row>
    <row r="24" spans="1:8" ht="18.649999999999999" customHeight="1" x14ac:dyDescent="0.35">
      <c r="A24" s="260">
        <v>22</v>
      </c>
      <c r="B24" s="267" t="s">
        <v>233</v>
      </c>
      <c r="C24" s="254">
        <v>10</v>
      </c>
      <c r="D24" s="257">
        <v>62.83</v>
      </c>
      <c r="E24" s="268">
        <v>12</v>
      </c>
      <c r="F24" s="257">
        <f t="shared" si="0"/>
        <v>52.358333333333327</v>
      </c>
      <c r="G24" s="258">
        <f t="shared" si="1"/>
        <v>628.29999999999995</v>
      </c>
      <c r="H24" s="259"/>
    </row>
    <row r="25" spans="1:8" ht="25.5" customHeight="1" x14ac:dyDescent="0.35">
      <c r="A25" s="260">
        <v>23</v>
      </c>
      <c r="B25" s="266" t="s">
        <v>234</v>
      </c>
      <c r="C25" s="254">
        <v>2</v>
      </c>
      <c r="D25" s="257">
        <v>254.95</v>
      </c>
      <c r="E25" s="269">
        <v>12</v>
      </c>
      <c r="F25" s="257">
        <f t="shared" si="0"/>
        <v>42.491666666666667</v>
      </c>
      <c r="G25" s="258">
        <f t="shared" si="1"/>
        <v>509.9</v>
      </c>
      <c r="H25" s="259"/>
    </row>
    <row r="26" spans="1:8" ht="18.649999999999999" customHeight="1" x14ac:dyDescent="0.35">
      <c r="A26" s="260">
        <v>24</v>
      </c>
      <c r="B26" s="261" t="s">
        <v>235</v>
      </c>
      <c r="C26" s="262">
        <v>2</v>
      </c>
      <c r="D26" s="257">
        <v>30.01</v>
      </c>
      <c r="E26" s="269">
        <v>12</v>
      </c>
      <c r="F26" s="257">
        <f t="shared" si="0"/>
        <v>5.0016666666666669</v>
      </c>
      <c r="G26" s="258">
        <f t="shared" si="1"/>
        <v>60.02</v>
      </c>
      <c r="H26" s="259"/>
    </row>
    <row r="27" spans="1:8" ht="18.649999999999999" customHeight="1" x14ac:dyDescent="0.35">
      <c r="A27" s="260">
        <v>25</v>
      </c>
      <c r="B27" s="261" t="s">
        <v>236</v>
      </c>
      <c r="C27" s="262">
        <v>1</v>
      </c>
      <c r="D27" s="257">
        <v>66.58</v>
      </c>
      <c r="E27" s="269">
        <v>24</v>
      </c>
      <c r="F27" s="257">
        <f t="shared" si="0"/>
        <v>2.7741666666666664</v>
      </c>
      <c r="G27" s="258">
        <f t="shared" si="1"/>
        <v>33.29</v>
      </c>
      <c r="H27" s="259"/>
    </row>
    <row r="28" spans="1:8" ht="18.649999999999999" customHeight="1" x14ac:dyDescent="0.35">
      <c r="A28" s="260">
        <v>26</v>
      </c>
      <c r="B28" s="266" t="s">
        <v>237</v>
      </c>
      <c r="C28" s="254">
        <v>2</v>
      </c>
      <c r="D28" s="257">
        <v>56.57</v>
      </c>
      <c r="E28" s="269">
        <v>24</v>
      </c>
      <c r="F28" s="257">
        <f t="shared" si="0"/>
        <v>4.7141666666666664</v>
      </c>
      <c r="G28" s="258">
        <f t="shared" si="1"/>
        <v>56.569999999999993</v>
      </c>
      <c r="H28" s="259"/>
    </row>
    <row r="29" spans="1:8" ht="18.649999999999999" customHeight="1" x14ac:dyDescent="0.35">
      <c r="A29" s="260">
        <v>27</v>
      </c>
      <c r="B29" s="266" t="s">
        <v>238</v>
      </c>
      <c r="C29" s="254">
        <v>2</v>
      </c>
      <c r="D29" s="257">
        <v>26.88</v>
      </c>
      <c r="E29" s="269">
        <v>24</v>
      </c>
      <c r="F29" s="257">
        <f t="shared" si="0"/>
        <v>2.2399999999999998</v>
      </c>
      <c r="G29" s="258">
        <f t="shared" si="1"/>
        <v>26.879999999999995</v>
      </c>
      <c r="H29" s="259"/>
    </row>
    <row r="30" spans="1:8" ht="26.15" customHeight="1" x14ac:dyDescent="0.35">
      <c r="A30" s="260">
        <v>28</v>
      </c>
      <c r="B30" s="266" t="s">
        <v>239</v>
      </c>
      <c r="C30" s="254">
        <v>0</v>
      </c>
      <c r="D30" s="257">
        <v>209.06</v>
      </c>
      <c r="E30" s="269">
        <v>60</v>
      </c>
      <c r="F30" s="257"/>
      <c r="G30" s="258"/>
      <c r="H30" s="259"/>
    </row>
    <row r="31" spans="1:8" ht="26.5" customHeight="1" x14ac:dyDescent="0.35">
      <c r="A31" s="260">
        <v>29</v>
      </c>
      <c r="B31" s="266" t="s">
        <v>412</v>
      </c>
      <c r="C31" s="254">
        <v>2</v>
      </c>
      <c r="D31" s="257">
        <v>2495.9699999999998</v>
      </c>
      <c r="E31" s="269">
        <v>60</v>
      </c>
      <c r="F31" s="257">
        <f t="shared" si="0"/>
        <v>83.198999999999998</v>
      </c>
      <c r="G31" s="258">
        <f t="shared" si="1"/>
        <v>998.38799999999992</v>
      </c>
      <c r="H31" s="259"/>
    </row>
    <row r="32" spans="1:8" ht="18.649999999999999" customHeight="1" x14ac:dyDescent="0.35">
      <c r="A32" s="260"/>
      <c r="B32" s="270"/>
      <c r="C32" s="254"/>
      <c r="D32" s="255"/>
      <c r="E32" s="254"/>
      <c r="F32" s="255"/>
      <c r="G32" s="258"/>
      <c r="H32" s="259"/>
    </row>
    <row r="33" spans="1:8" x14ac:dyDescent="0.35">
      <c r="A33" s="366" t="s">
        <v>26</v>
      </c>
      <c r="B33" s="367"/>
      <c r="C33" s="367"/>
      <c r="D33" s="367"/>
      <c r="E33" s="367"/>
      <c r="F33" s="367"/>
      <c r="G33" s="271">
        <f>SUM(G3:G32)</f>
        <v>7219.9699999999993</v>
      </c>
      <c r="H33" s="259"/>
    </row>
    <row r="34" spans="1:8" x14ac:dyDescent="0.35">
      <c r="A34" s="366" t="s">
        <v>27</v>
      </c>
      <c r="B34" s="367"/>
      <c r="C34" s="367"/>
      <c r="D34" s="367"/>
      <c r="E34" s="367"/>
      <c r="F34" s="368"/>
      <c r="G34" s="272">
        <f>G33/12</f>
        <v>601.66416666666657</v>
      </c>
      <c r="H34" s="273"/>
    </row>
    <row r="35" spans="1:8" ht="16.5" thickBot="1" x14ac:dyDescent="0.4">
      <c r="A35" s="369" t="s">
        <v>324</v>
      </c>
      <c r="B35" s="370"/>
      <c r="C35" s="370"/>
      <c r="D35" s="370"/>
      <c r="E35" s="370"/>
      <c r="F35" s="371"/>
      <c r="G35" s="298">
        <f>G34/('Anexo II A.2 - PRODUTIVIDADE'!F11+'Anexo II A.2 - PRODUTIVIDADE'!F22+3)</f>
        <v>30.083208333333328</v>
      </c>
      <c r="H35" s="273"/>
    </row>
  </sheetData>
  <mergeCells count="4">
    <mergeCell ref="A1:G1"/>
    <mergeCell ref="A33:F33"/>
    <mergeCell ref="A34:F34"/>
    <mergeCell ref="A35:F35"/>
  </mergeCells>
  <phoneticPr fontId="48" type="noConversion"/>
  <pageMargins left="0.7" right="0.7" top="0.75" bottom="0.75" header="0.3" footer="0.3"/>
  <pageSetup paperSize="9" scale="60" orientation="portrait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9"/>
  <sheetViews>
    <sheetView view="pageBreakPreview" topLeftCell="A19" zoomScale="90" zoomScaleNormal="100" zoomScaleSheetLayoutView="90" workbookViewId="0">
      <selection sqref="A1:D1"/>
    </sheetView>
  </sheetViews>
  <sheetFormatPr defaultColWidth="9.1796875" defaultRowHeight="16.5" x14ac:dyDescent="0.35"/>
  <cols>
    <col min="1" max="1" width="12.81640625" style="9" customWidth="1"/>
    <col min="2" max="2" width="50" style="9" customWidth="1"/>
    <col min="3" max="3" width="14.453125" style="9" customWidth="1"/>
    <col min="4" max="4" width="15.81640625" style="9" customWidth="1"/>
    <col min="5" max="16384" width="9.1796875" style="9"/>
  </cols>
  <sheetData>
    <row r="1" spans="1:8" x14ac:dyDescent="0.35">
      <c r="A1" s="375" t="s">
        <v>428</v>
      </c>
      <c r="B1" s="375"/>
      <c r="C1" s="375"/>
      <c r="D1" s="375"/>
      <c r="E1" s="301"/>
      <c r="F1" s="301"/>
      <c r="G1" s="301"/>
      <c r="H1" s="301"/>
    </row>
    <row r="2" spans="1:8" ht="37.5" customHeight="1" x14ac:dyDescent="0.35">
      <c r="A2" s="372" t="s">
        <v>3</v>
      </c>
      <c r="B2" s="373"/>
      <c r="C2" s="373"/>
      <c r="D2" s="374"/>
    </row>
    <row r="3" spans="1:8" ht="32" x14ac:dyDescent="0.35">
      <c r="A3" s="300" t="s">
        <v>19</v>
      </c>
      <c r="B3" s="300" t="s">
        <v>1</v>
      </c>
      <c r="C3" s="220" t="s">
        <v>4</v>
      </c>
      <c r="D3" s="3" t="s">
        <v>20</v>
      </c>
    </row>
    <row r="4" spans="1:8" x14ac:dyDescent="0.35">
      <c r="A4" s="102">
        <v>4</v>
      </c>
      <c r="B4" s="5" t="s">
        <v>148</v>
      </c>
      <c r="C4" s="6">
        <v>65</v>
      </c>
      <c r="D4" s="6">
        <f>A4*C4</f>
        <v>260</v>
      </c>
    </row>
    <row r="5" spans="1:8" ht="32" x14ac:dyDescent="0.35">
      <c r="A5" s="102">
        <v>4</v>
      </c>
      <c r="B5" s="11" t="s">
        <v>147</v>
      </c>
      <c r="C5" s="12">
        <v>40</v>
      </c>
      <c r="D5" s="6">
        <f>A5*C5</f>
        <v>160</v>
      </c>
    </row>
    <row r="6" spans="1:8" x14ac:dyDescent="0.35">
      <c r="A6" s="102">
        <v>4</v>
      </c>
      <c r="B6" s="11" t="s">
        <v>149</v>
      </c>
      <c r="C6" s="12">
        <v>22.5</v>
      </c>
      <c r="D6" s="6">
        <f>A6*C6</f>
        <v>90</v>
      </c>
    </row>
    <row r="7" spans="1:8" ht="32" x14ac:dyDescent="0.35">
      <c r="A7" s="102">
        <v>2</v>
      </c>
      <c r="B7" s="11" t="s">
        <v>150</v>
      </c>
      <c r="C7" s="12">
        <v>62</v>
      </c>
      <c r="D7" s="299">
        <f>A7*C7</f>
        <v>124</v>
      </c>
    </row>
    <row r="8" spans="1:8" x14ac:dyDescent="0.35">
      <c r="B8" s="13"/>
      <c r="C8" s="10" t="s">
        <v>151</v>
      </c>
      <c r="D8" s="103">
        <f>D9/12</f>
        <v>52.833333333333336</v>
      </c>
    </row>
    <row r="9" spans="1:8" x14ac:dyDescent="0.35">
      <c r="B9" s="13"/>
      <c r="C9" s="10" t="s">
        <v>152</v>
      </c>
      <c r="D9" s="14">
        <f>SUM(D4+D5+D6+D7)</f>
        <v>634</v>
      </c>
    </row>
    <row r="11" spans="1:8" ht="29.25" customHeight="1" x14ac:dyDescent="0.35">
      <c r="A11" s="372" t="s">
        <v>153</v>
      </c>
      <c r="B11" s="373"/>
      <c r="C11" s="373"/>
      <c r="D11" s="374"/>
    </row>
    <row r="12" spans="1:8" ht="32" x14ac:dyDescent="0.35">
      <c r="A12" s="300" t="s">
        <v>19</v>
      </c>
      <c r="B12" s="300" t="s">
        <v>1</v>
      </c>
      <c r="C12" s="220" t="s">
        <v>4</v>
      </c>
      <c r="D12" s="3" t="s">
        <v>20</v>
      </c>
    </row>
    <row r="13" spans="1:8" x14ac:dyDescent="0.35">
      <c r="A13" s="102">
        <v>4</v>
      </c>
      <c r="B13" s="5" t="s">
        <v>383</v>
      </c>
      <c r="C13" s="6">
        <v>70</v>
      </c>
      <c r="D13" s="6">
        <f>A13*C13</f>
        <v>280</v>
      </c>
    </row>
    <row r="14" spans="1:8" ht="32" x14ac:dyDescent="0.35">
      <c r="A14" s="102">
        <v>4</v>
      </c>
      <c r="B14" s="11" t="s">
        <v>147</v>
      </c>
      <c r="C14" s="12">
        <v>40</v>
      </c>
      <c r="D14" s="6">
        <f>A14*C14</f>
        <v>160</v>
      </c>
    </row>
    <row r="15" spans="1:8" x14ac:dyDescent="0.35">
      <c r="A15" s="102">
        <v>4</v>
      </c>
      <c r="B15" s="11" t="s">
        <v>149</v>
      </c>
      <c r="C15" s="12">
        <v>22.5</v>
      </c>
      <c r="D15" s="6">
        <f>A15*C15</f>
        <v>90</v>
      </c>
    </row>
    <row r="16" spans="1:8" ht="32" x14ac:dyDescent="0.35">
      <c r="A16" s="102">
        <v>2</v>
      </c>
      <c r="B16" s="11" t="s">
        <v>150</v>
      </c>
      <c r="C16" s="12">
        <v>62</v>
      </c>
      <c r="D16" s="6">
        <f>A16*C16</f>
        <v>124</v>
      </c>
    </row>
    <row r="17" spans="1:4" x14ac:dyDescent="0.35">
      <c r="B17" s="13"/>
      <c r="C17" s="10" t="s">
        <v>151</v>
      </c>
      <c r="D17" s="103">
        <f>D18/12</f>
        <v>54.5</v>
      </c>
    </row>
    <row r="18" spans="1:4" x14ac:dyDescent="0.35">
      <c r="B18" s="13"/>
      <c r="C18" s="10" t="s">
        <v>152</v>
      </c>
      <c r="D18" s="14">
        <f>SUM(D13+D14+D15+D16)</f>
        <v>654</v>
      </c>
    </row>
    <row r="20" spans="1:4" ht="35.25" customHeight="1" x14ac:dyDescent="0.35">
      <c r="A20" s="372" t="s">
        <v>154</v>
      </c>
      <c r="B20" s="373"/>
      <c r="C20" s="373"/>
      <c r="D20" s="374"/>
    </row>
    <row r="21" spans="1:4" ht="32" x14ac:dyDescent="0.35">
      <c r="A21" s="300" t="s">
        <v>19</v>
      </c>
      <c r="B21" s="300" t="s">
        <v>1</v>
      </c>
      <c r="C21" s="220" t="s">
        <v>4</v>
      </c>
      <c r="D21" s="3" t="s">
        <v>20</v>
      </c>
    </row>
    <row r="22" spans="1:4" ht="48" x14ac:dyDescent="0.35">
      <c r="A22" s="102">
        <v>4</v>
      </c>
      <c r="B22" s="5" t="s">
        <v>155</v>
      </c>
      <c r="C22" s="6">
        <v>98.9</v>
      </c>
      <c r="D22" s="6">
        <f t="shared" ref="D22:D27" si="0">A22*C22</f>
        <v>395.6</v>
      </c>
    </row>
    <row r="23" spans="1:4" ht="32" x14ac:dyDescent="0.35">
      <c r="A23" s="102">
        <v>4</v>
      </c>
      <c r="B23" s="11" t="s">
        <v>156</v>
      </c>
      <c r="C23" s="12">
        <v>75</v>
      </c>
      <c r="D23" s="6">
        <f t="shared" si="0"/>
        <v>300</v>
      </c>
    </row>
    <row r="24" spans="1:4" ht="32" x14ac:dyDescent="0.35">
      <c r="A24" s="102">
        <v>4</v>
      </c>
      <c r="B24" s="11" t="s">
        <v>157</v>
      </c>
      <c r="C24" s="12">
        <v>80</v>
      </c>
      <c r="D24" s="6">
        <f t="shared" si="0"/>
        <v>320</v>
      </c>
    </row>
    <row r="25" spans="1:4" x14ac:dyDescent="0.35">
      <c r="A25" s="102">
        <v>4</v>
      </c>
      <c r="B25" s="11" t="s">
        <v>158</v>
      </c>
      <c r="C25" s="12">
        <v>18</v>
      </c>
      <c r="D25" s="6">
        <f t="shared" si="0"/>
        <v>72</v>
      </c>
    </row>
    <row r="26" spans="1:4" x14ac:dyDescent="0.35">
      <c r="A26" s="102">
        <v>4</v>
      </c>
      <c r="B26" s="11" t="s">
        <v>159</v>
      </c>
      <c r="C26" s="12">
        <v>12.5</v>
      </c>
      <c r="D26" s="6">
        <f t="shared" si="0"/>
        <v>50</v>
      </c>
    </row>
    <row r="27" spans="1:4" ht="28.5" customHeight="1" x14ac:dyDescent="0.35">
      <c r="A27" s="102">
        <v>4</v>
      </c>
      <c r="B27" s="11" t="s">
        <v>160</v>
      </c>
      <c r="C27" s="12">
        <v>60</v>
      </c>
      <c r="D27" s="6">
        <f t="shared" si="0"/>
        <v>240</v>
      </c>
    </row>
    <row r="28" spans="1:4" x14ac:dyDescent="0.35">
      <c r="B28" s="13"/>
      <c r="C28" s="10" t="s">
        <v>151</v>
      </c>
      <c r="D28" s="103">
        <f>D29/12</f>
        <v>114.8</v>
      </c>
    </row>
    <row r="29" spans="1:4" x14ac:dyDescent="0.35">
      <c r="B29" s="13"/>
      <c r="C29" s="10" t="s">
        <v>152</v>
      </c>
      <c r="D29" s="14">
        <f>SUM(D22+D23+D24+D25+D26+D27)</f>
        <v>1377.6</v>
      </c>
    </row>
  </sheetData>
  <mergeCells count="4">
    <mergeCell ref="A2:D2"/>
    <mergeCell ref="A1:D1"/>
    <mergeCell ref="A11:D11"/>
    <mergeCell ref="A20:D20"/>
  </mergeCells>
  <phoneticPr fontId="48" type="noConversion"/>
  <pageMargins left="0.7" right="0.7" top="0.75" bottom="0.75" header="0.3" footer="0.3"/>
  <pageSetup paperSize="9" scale="94" orientation="portrait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6"/>
  <sheetViews>
    <sheetView view="pageBreakPreview" topLeftCell="A10" zoomScale="90" zoomScaleNormal="100" zoomScaleSheetLayoutView="90" workbookViewId="0">
      <selection activeCell="G4" sqref="G4:G6"/>
    </sheetView>
  </sheetViews>
  <sheetFormatPr defaultColWidth="9.1796875" defaultRowHeight="16" x14ac:dyDescent="0.35"/>
  <cols>
    <col min="1" max="1" width="9.1796875" style="2"/>
    <col min="2" max="2" width="66" style="2" customWidth="1"/>
    <col min="3" max="3" width="15.7265625" style="7" bestFit="1" customWidth="1"/>
    <col min="4" max="4" width="15.7265625" style="7" customWidth="1"/>
    <col min="5" max="5" width="13.453125" style="7" bestFit="1" customWidth="1"/>
    <col min="6" max="6" width="10.26953125" style="8" bestFit="1" customWidth="1"/>
    <col min="7" max="7" width="10.26953125" style="8" customWidth="1"/>
    <col min="8" max="8" width="12.26953125" style="8" customWidth="1"/>
    <col min="9" max="9" width="4.7265625" style="2" customWidth="1"/>
    <col min="10" max="16384" width="9.1796875" style="2"/>
  </cols>
  <sheetData>
    <row r="1" spans="1:9" x14ac:dyDescent="0.35">
      <c r="A1" s="377" t="s">
        <v>422</v>
      </c>
      <c r="B1" s="377"/>
      <c r="C1" s="377"/>
      <c r="D1" s="377"/>
      <c r="E1" s="377"/>
      <c r="F1" s="377"/>
      <c r="G1" s="377"/>
      <c r="H1" s="377"/>
    </row>
    <row r="2" spans="1:9" ht="53.25" customHeight="1" x14ac:dyDescent="0.35">
      <c r="A2" s="376" t="s">
        <v>254</v>
      </c>
      <c r="B2" s="376"/>
      <c r="C2" s="376"/>
      <c r="D2" s="376"/>
      <c r="E2" s="376"/>
      <c r="F2" s="376"/>
      <c r="G2" s="376"/>
      <c r="H2" s="376"/>
      <c r="I2" s="1"/>
    </row>
    <row r="3" spans="1:9" ht="32" x14ac:dyDescent="0.35">
      <c r="A3" s="3" t="s">
        <v>0</v>
      </c>
      <c r="B3" s="3" t="s">
        <v>28</v>
      </c>
      <c r="C3" s="3" t="s">
        <v>241</v>
      </c>
      <c r="D3" s="3" t="s">
        <v>409</v>
      </c>
      <c r="E3" s="3" t="s">
        <v>410</v>
      </c>
      <c r="F3" s="4" t="s">
        <v>17</v>
      </c>
      <c r="G3" s="4" t="s">
        <v>411</v>
      </c>
      <c r="H3" s="4" t="s">
        <v>18</v>
      </c>
    </row>
    <row r="4" spans="1:9" ht="67.5" x14ac:dyDescent="0.35">
      <c r="A4" s="66">
        <v>1</v>
      </c>
      <c r="B4" s="105" t="s">
        <v>251</v>
      </c>
      <c r="C4" s="61" t="s">
        <v>2</v>
      </c>
      <c r="D4" s="290">
        <f>E4/12</f>
        <v>1.6666666666666667</v>
      </c>
      <c r="E4" s="61">
        <v>20</v>
      </c>
      <c r="F4" s="99">
        <v>22.99</v>
      </c>
      <c r="G4" s="99">
        <f>F4*D4</f>
        <v>38.316666666666663</v>
      </c>
      <c r="H4" s="63">
        <f>F4*E4</f>
        <v>459.79999999999995</v>
      </c>
      <c r="I4" s="15"/>
    </row>
    <row r="5" spans="1:9" ht="67.5" x14ac:dyDescent="0.35">
      <c r="A5" s="27">
        <v>2</v>
      </c>
      <c r="B5" s="105" t="s">
        <v>252</v>
      </c>
      <c r="C5" s="65" t="s">
        <v>2</v>
      </c>
      <c r="D5" s="290">
        <f t="shared" ref="D5:D6" si="0">E5/12</f>
        <v>0.41666666666666669</v>
      </c>
      <c r="E5" s="61">
        <v>5</v>
      </c>
      <c r="F5" s="99">
        <v>10.16</v>
      </c>
      <c r="G5" s="99">
        <f t="shared" ref="G5:G6" si="1">F5*D5</f>
        <v>4.2333333333333334</v>
      </c>
      <c r="H5" s="63">
        <f t="shared" ref="H5:H6" si="2">F5*E5</f>
        <v>50.8</v>
      </c>
      <c r="I5" s="15"/>
    </row>
    <row r="6" spans="1:9" ht="54" x14ac:dyDescent="0.35">
      <c r="A6" s="27">
        <v>3</v>
      </c>
      <c r="B6" s="105" t="s">
        <v>253</v>
      </c>
      <c r="C6" s="65" t="s">
        <v>2</v>
      </c>
      <c r="D6" s="290">
        <f t="shared" si="0"/>
        <v>2.0833333333333335</v>
      </c>
      <c r="E6" s="61">
        <v>25</v>
      </c>
      <c r="F6" s="99">
        <v>24.13</v>
      </c>
      <c r="G6" s="99">
        <f t="shared" si="1"/>
        <v>50.270833333333336</v>
      </c>
      <c r="H6" s="63">
        <f t="shared" si="2"/>
        <v>603.25</v>
      </c>
      <c r="I6" s="15"/>
    </row>
    <row r="7" spans="1:9" x14ac:dyDescent="0.35">
      <c r="A7" s="378" t="s">
        <v>26</v>
      </c>
      <c r="B7" s="378"/>
      <c r="C7" s="378"/>
      <c r="D7" s="378"/>
      <c r="E7" s="378"/>
      <c r="F7" s="378"/>
      <c r="G7" s="10"/>
      <c r="H7" s="59">
        <f>SUM(H4:H6)</f>
        <v>1113.8499999999999</v>
      </c>
      <c r="I7" s="15"/>
    </row>
    <row r="8" spans="1:9" x14ac:dyDescent="0.35">
      <c r="A8" s="378" t="s">
        <v>27</v>
      </c>
      <c r="B8" s="378"/>
      <c r="C8" s="378"/>
      <c r="D8" s="378"/>
      <c r="E8" s="378"/>
      <c r="F8" s="378"/>
      <c r="G8" s="10"/>
      <c r="H8" s="157">
        <f>H7/12</f>
        <v>92.820833333333326</v>
      </c>
    </row>
    <row r="10" spans="1:9" ht="61.5" customHeight="1" x14ac:dyDescent="0.35">
      <c r="A10" s="376" t="s">
        <v>255</v>
      </c>
      <c r="B10" s="376"/>
      <c r="C10" s="376"/>
      <c r="D10" s="376"/>
      <c r="E10" s="376"/>
      <c r="F10" s="376"/>
      <c r="G10" s="376"/>
      <c r="H10" s="376"/>
    </row>
    <row r="11" spans="1:9" ht="32" x14ac:dyDescent="0.35">
      <c r="A11" s="3" t="s">
        <v>0</v>
      </c>
      <c r="B11" s="3" t="s">
        <v>28</v>
      </c>
      <c r="C11" s="3" t="s">
        <v>241</v>
      </c>
      <c r="D11" s="3" t="s">
        <v>409</v>
      </c>
      <c r="E11" s="3" t="s">
        <v>410</v>
      </c>
      <c r="F11" s="4" t="s">
        <v>17</v>
      </c>
      <c r="G11" s="4" t="s">
        <v>411</v>
      </c>
      <c r="H11" s="4" t="s">
        <v>18</v>
      </c>
    </row>
    <row r="12" spans="1:9" ht="67.5" x14ac:dyDescent="0.35">
      <c r="A12" s="66">
        <v>1</v>
      </c>
      <c r="B12" s="105" t="s">
        <v>251</v>
      </c>
      <c r="C12" s="61" t="s">
        <v>2</v>
      </c>
      <c r="D12" s="290">
        <f>E12/12</f>
        <v>1.6666666666666667</v>
      </c>
      <c r="E12" s="61">
        <v>20</v>
      </c>
      <c r="F12" s="99">
        <v>22.99</v>
      </c>
      <c r="G12" s="99">
        <f>F12*D12</f>
        <v>38.316666666666663</v>
      </c>
      <c r="H12" s="63">
        <f>F12*E12</f>
        <v>459.79999999999995</v>
      </c>
    </row>
    <row r="13" spans="1:9" ht="67.5" x14ac:dyDescent="0.35">
      <c r="A13" s="27">
        <v>2</v>
      </c>
      <c r="B13" s="105" t="s">
        <v>252</v>
      </c>
      <c r="C13" s="65" t="s">
        <v>2</v>
      </c>
      <c r="D13" s="290">
        <f>E13/12</f>
        <v>1.6666666666666667</v>
      </c>
      <c r="E13" s="61">
        <v>20</v>
      </c>
      <c r="F13" s="99">
        <v>10.16</v>
      </c>
      <c r="G13" s="99">
        <f t="shared" ref="G13:G14" si="3">F13*D13</f>
        <v>16.933333333333334</v>
      </c>
      <c r="H13" s="63">
        <f t="shared" ref="H13:H14" si="4">F13*E13</f>
        <v>203.2</v>
      </c>
    </row>
    <row r="14" spans="1:9" ht="54" x14ac:dyDescent="0.35">
      <c r="A14" s="27">
        <v>3</v>
      </c>
      <c r="B14" s="105" t="s">
        <v>253</v>
      </c>
      <c r="C14" s="65" t="s">
        <v>2</v>
      </c>
      <c r="D14" s="290">
        <f>E14/12</f>
        <v>2.5</v>
      </c>
      <c r="E14" s="61">
        <v>30</v>
      </c>
      <c r="F14" s="99">
        <v>24.13</v>
      </c>
      <c r="G14" s="99">
        <f t="shared" si="3"/>
        <v>60.324999999999996</v>
      </c>
      <c r="H14" s="63">
        <f t="shared" si="4"/>
        <v>723.9</v>
      </c>
    </row>
    <row r="15" spans="1:9" x14ac:dyDescent="0.35">
      <c r="A15" s="378" t="s">
        <v>26</v>
      </c>
      <c r="B15" s="378"/>
      <c r="C15" s="378"/>
      <c r="D15" s="378"/>
      <c r="E15" s="378"/>
      <c r="F15" s="378"/>
      <c r="G15" s="10"/>
      <c r="H15" s="59">
        <f>SUM(H12:H14)</f>
        <v>1386.9</v>
      </c>
    </row>
    <row r="16" spans="1:9" x14ac:dyDescent="0.35">
      <c r="A16" s="378" t="s">
        <v>27</v>
      </c>
      <c r="B16" s="378"/>
      <c r="C16" s="378"/>
      <c r="D16" s="378"/>
      <c r="E16" s="378"/>
      <c r="F16" s="378"/>
      <c r="G16" s="10"/>
      <c r="H16" s="157">
        <f>H15/12</f>
        <v>115.575</v>
      </c>
    </row>
  </sheetData>
  <mergeCells count="7">
    <mergeCell ref="A2:H2"/>
    <mergeCell ref="A1:H1"/>
    <mergeCell ref="A16:F16"/>
    <mergeCell ref="A7:F7"/>
    <mergeCell ref="A8:F8"/>
    <mergeCell ref="A15:F15"/>
    <mergeCell ref="A10:H10"/>
  </mergeCells>
  <phoneticPr fontId="48" type="noConversion"/>
  <pageMargins left="0.7" right="0.7" top="0.75" bottom="0.75" header="0.3" footer="0.3"/>
  <pageSetup paperSize="9" scale="57" orientation="portrait" r:id="rId1"/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13</vt:i4>
      </vt:variant>
    </vt:vector>
  </HeadingPairs>
  <TitlesOfParts>
    <vt:vector size="31" baseType="lpstr">
      <vt:lpstr>Anexo II A - REMUNER SERVIÇO</vt:lpstr>
      <vt:lpstr>Anexo II A.2 - PRODUTIVIDADE</vt:lpstr>
      <vt:lpstr>Anexo II B - SERVENTE</vt:lpstr>
      <vt:lpstr>Anexo II C - ENCARREGADO</vt:lpstr>
      <vt:lpstr>Anexo II D - CARREGADOR</vt:lpstr>
      <vt:lpstr>Anexo II E - MATERIAL DE LIMPEZ</vt:lpstr>
      <vt:lpstr>Anexo II F - EQUIPAMENTOS</vt:lpstr>
      <vt:lpstr>Anexo II G - UNIFORME</vt:lpstr>
      <vt:lpstr>Anexo II H - DISPENSER</vt:lpstr>
      <vt:lpstr>Anexo II I -MAT HIGIENE PESSOAL</vt:lpstr>
      <vt:lpstr>REMUNERAÇÃO SERVIÇO ANAC 1ªREP </vt:lpstr>
      <vt:lpstr>REMUNERA SERVIÇO CONTRA 1ªREP</vt:lpstr>
      <vt:lpstr>RESUMO CONCESSÃO 1ª REPACTUÇÃO</vt:lpstr>
      <vt:lpstr>RESUMO PRORROGAÇÃO</vt:lpstr>
      <vt:lpstr>RESUMO M²</vt:lpstr>
      <vt:lpstr>RELOGIO DE PONTO</vt:lpstr>
      <vt:lpstr>VT</vt:lpstr>
      <vt:lpstr>VA</vt:lpstr>
      <vt:lpstr>'Anexo II A - REMUNER SERVIÇO'!Area_de_impressao</vt:lpstr>
      <vt:lpstr>'Anexo II A.2 - PRODUTIVIDADE'!Area_de_impressao</vt:lpstr>
      <vt:lpstr>'Anexo II B - SERVENTE'!Area_de_impressao</vt:lpstr>
      <vt:lpstr>'Anexo II D - CARREGADOR'!Area_de_impressao</vt:lpstr>
      <vt:lpstr>'Anexo II E - MATERIAL DE LIMPEZ'!Area_de_impressao</vt:lpstr>
      <vt:lpstr>'Anexo II F - EQUIPAMENTOS'!Area_de_impressao</vt:lpstr>
      <vt:lpstr>'Anexo II G - UNIFORME'!Area_de_impressao</vt:lpstr>
      <vt:lpstr>'Anexo II H - DISPENSER'!Area_de_impressao</vt:lpstr>
      <vt:lpstr>'Anexo II I -MAT HIGIENE PESSOAL'!Area_de_impressao</vt:lpstr>
      <vt:lpstr>'RELOGIO DE PONTO'!Area_de_impressao</vt:lpstr>
      <vt:lpstr>'REMUNERA SERVIÇO CONTRA 1ªREP'!Area_de_impressao</vt:lpstr>
      <vt:lpstr>'REMUNERAÇÃO SERVIÇO ANAC 1ªREP '!Area_de_impressao</vt:lpstr>
      <vt:lpstr>'RESUMO M²'!Area_de_impressao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Andrade Silva</dc:creator>
  <cp:lastModifiedBy>Bruno Silva Fiorillo</cp:lastModifiedBy>
  <cp:lastPrinted>2022-11-30T14:48:28Z</cp:lastPrinted>
  <dcterms:created xsi:type="dcterms:W3CDTF">2017-11-08T12:23:22Z</dcterms:created>
  <dcterms:modified xsi:type="dcterms:W3CDTF">2022-12-02T16:51:30Z</dcterms:modified>
</cp:coreProperties>
</file>