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E:\ANAC\Gestão de Contratos\2022\Manutenção predial SJC\"/>
    </mc:Choice>
  </mc:AlternateContent>
  <xr:revisionPtr revIDLastSave="0" documentId="13_ncr:1_{2C53B4FA-AB1D-47D3-ACEC-D00082B1D032}" xr6:coauthVersionLast="47" xr6:coauthVersionMax="47" xr10:uidLastSave="{00000000-0000-0000-0000-000000000000}"/>
  <bookViews>
    <workbookView xWindow="-5190" yWindow="-16320" windowWidth="38640" windowHeight="15840" tabRatio="894" firstSheet="1" activeTab="12" xr2:uid="{00000000-000D-0000-FFFF-FFFF00000000}"/>
  </bookViews>
  <sheets>
    <sheet name="Pesquisa de preço" sheetId="59" state="hidden" r:id="rId1"/>
    <sheet name="Orçamento Estimado" sheetId="72" r:id="rId2"/>
    <sheet name="Eletricista" sheetId="66" r:id="rId3"/>
    <sheet name="Of. Manut." sheetId="69" r:id="rId4"/>
    <sheet name="Mec. Refrig." sheetId="79" r:id="rId5"/>
    <sheet name="Engenheiro Eletricista" sheetId="73" r:id="rId6"/>
    <sheet name="Eng. Mec." sheetId="80" r:id="rId7"/>
    <sheet name="Valor Ref. Manut. AC" sheetId="70" state="hidden" r:id="rId8"/>
    <sheet name="Equip. Ferram." sheetId="74" r:id="rId9"/>
    <sheet name="Uniformes" sheetId="75" r:id="rId10"/>
    <sheet name="BDI" sheetId="76" r:id="rId11"/>
    <sheet name="Mat. Repos." sheetId="77" r:id="rId12"/>
    <sheet name="Serv. Eventuais" sheetId="78" r:id="rId13"/>
    <sheet name="Valores Referenciais" sheetId="62" state="hidden" r:id="rId14"/>
  </sheets>
  <definedNames>
    <definedName name="_xlnm.Print_Area" localSheetId="10">BDI!$B$1:$I$23</definedName>
    <definedName name="_xlnm.Print_Area" localSheetId="2">Eletricista!$B$1:$J$133</definedName>
    <definedName name="_xlnm.Print_Area" localSheetId="6">'Eng. Mec.'!$B$1:$J$52</definedName>
    <definedName name="_xlnm.Print_Area" localSheetId="5">'Engenheiro Eletricista'!$B$1:$J$52</definedName>
    <definedName name="_xlnm.Print_Area" localSheetId="8">'Equip. Ferram.'!$A$1:$E$102</definedName>
    <definedName name="_xlnm.Print_Area" localSheetId="11">'Mat. Repos.'!$A$1:$H$251</definedName>
    <definedName name="_xlnm.Print_Area" localSheetId="4">'Mec. Refrig.'!$B$1:$J$133</definedName>
    <definedName name="_xlnm.Print_Area" localSheetId="3">'Of. Manut.'!$B$1:$J$133</definedName>
    <definedName name="_xlnm.Print_Area" localSheetId="1">'Orçamento Estimado'!$B$1:$E$7</definedName>
    <definedName name="_xlnm.Print_Area" localSheetId="12">'Serv. Eventuais'!$A$1:$J$33</definedName>
    <definedName name="_xlnm.Print_Area" localSheetId="9">Uniformes!$B$1:$E$12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4" i="73" l="1"/>
  <c r="E11" i="75"/>
  <c r="H250" i="77" l="1"/>
  <c r="H249" i="77"/>
  <c r="H248" i="77"/>
  <c r="E32" i="78"/>
  <c r="E31" i="78"/>
  <c r="E30" i="78"/>
  <c r="E29" i="78"/>
  <c r="E85" i="74"/>
  <c r="E86" i="74"/>
  <c r="E87" i="74"/>
  <c r="E88" i="74"/>
  <c r="E89" i="74"/>
  <c r="E90" i="74"/>
  <c r="E91" i="74"/>
  <c r="E92" i="74"/>
  <c r="F5" i="78" l="1"/>
  <c r="F6" i="78"/>
  <c r="F7" i="78"/>
  <c r="F8" i="78"/>
  <c r="F9" i="78"/>
  <c r="F10" i="78"/>
  <c r="F11" i="78"/>
  <c r="F12" i="78"/>
  <c r="F13" i="78"/>
  <c r="F14" i="78"/>
  <c r="F15" i="78"/>
  <c r="F16" i="78"/>
  <c r="F17" i="78"/>
  <c r="F18" i="78"/>
  <c r="F19" i="78"/>
  <c r="F20" i="78"/>
  <c r="F21" i="78"/>
  <c r="F22" i="78"/>
  <c r="F23" i="78"/>
  <c r="F24" i="78"/>
  <c r="F25" i="78"/>
  <c r="F26" i="78"/>
  <c r="F27" i="78"/>
  <c r="F28" i="78"/>
  <c r="F4" i="78"/>
  <c r="G29" i="78"/>
  <c r="G31" i="78" s="1"/>
  <c r="G33" i="78" s="1"/>
  <c r="E84" i="74"/>
  <c r="E83" i="74"/>
  <c r="E82" i="74"/>
  <c r="E81" i="74"/>
  <c r="E80" i="74"/>
  <c r="E79" i="74"/>
  <c r="E78" i="74"/>
  <c r="E77" i="74"/>
  <c r="E76" i="74"/>
  <c r="E75" i="74"/>
  <c r="E74" i="74"/>
  <c r="E73" i="74"/>
  <c r="E72" i="74"/>
  <c r="E71" i="74"/>
  <c r="E70" i="74"/>
  <c r="E69" i="74"/>
  <c r="E68" i="74"/>
  <c r="E67" i="74"/>
  <c r="E66" i="74"/>
  <c r="E65" i="74"/>
  <c r="E64" i="74"/>
  <c r="E63" i="74"/>
  <c r="E62" i="74"/>
  <c r="E61" i="74"/>
  <c r="E60" i="74"/>
  <c r="E59" i="74"/>
  <c r="E58" i="74"/>
  <c r="E57" i="74"/>
  <c r="E56" i="74"/>
  <c r="E55" i="74"/>
  <c r="E54" i="74"/>
  <c r="E53" i="74"/>
  <c r="E52" i="74"/>
  <c r="E51" i="74"/>
  <c r="E50" i="74"/>
  <c r="E49" i="74"/>
  <c r="E48" i="74"/>
  <c r="E47" i="74"/>
  <c r="E46" i="74"/>
  <c r="E45" i="74"/>
  <c r="E44" i="74"/>
  <c r="E43" i="74"/>
  <c r="E42" i="74"/>
  <c r="E41" i="74"/>
  <c r="E40" i="74"/>
  <c r="E39" i="74"/>
  <c r="E38" i="74"/>
  <c r="E37" i="74"/>
  <c r="E36" i="74"/>
  <c r="E35" i="74"/>
  <c r="E34" i="74"/>
  <c r="E33" i="74"/>
  <c r="E32" i="74"/>
  <c r="E31" i="74"/>
  <c r="E30" i="74"/>
  <c r="E29" i="74"/>
  <c r="E28" i="74"/>
  <c r="E27" i="74"/>
  <c r="E26" i="74"/>
  <c r="E25" i="74"/>
  <c r="E24" i="74"/>
  <c r="E23" i="74"/>
  <c r="E22" i="74"/>
  <c r="E21" i="74"/>
  <c r="E20" i="74"/>
  <c r="E19" i="74"/>
  <c r="E18" i="74"/>
  <c r="E17" i="74"/>
  <c r="E16" i="74"/>
  <c r="E15" i="74"/>
  <c r="E14" i="74"/>
  <c r="E13" i="74"/>
  <c r="E12" i="74"/>
  <c r="E11" i="74"/>
  <c r="E10" i="74"/>
  <c r="E9" i="74"/>
  <c r="E8" i="74"/>
  <c r="E7" i="74"/>
  <c r="E6" i="74"/>
  <c r="E5" i="74"/>
  <c r="E4" i="74"/>
  <c r="F226" i="77"/>
  <c r="F227" i="77"/>
  <c r="F228" i="77"/>
  <c r="F229" i="77"/>
  <c r="F230" i="77"/>
  <c r="F231" i="77"/>
  <c r="F232" i="77"/>
  <c r="F233" i="77"/>
  <c r="F234" i="77"/>
  <c r="F235" i="77"/>
  <c r="F236" i="77"/>
  <c r="F237" i="77"/>
  <c r="F225" i="77"/>
  <c r="E93" i="74" l="1"/>
  <c r="E94" i="74" s="1"/>
  <c r="G32" i="78"/>
  <c r="E95" i="74" l="1"/>
  <c r="E96" i="74" s="1"/>
  <c r="E97" i="74" s="1"/>
  <c r="E99" i="74" s="1"/>
  <c r="F140" i="77"/>
  <c r="F134" i="77"/>
  <c r="F135" i="77"/>
  <c r="F136" i="77"/>
  <c r="F137" i="77"/>
  <c r="F138" i="77"/>
  <c r="F139" i="77"/>
  <c r="F50" i="77"/>
  <c r="F51" i="77"/>
  <c r="F52" i="77"/>
  <c r="F49" i="77"/>
  <c r="F48" i="77"/>
  <c r="F47" i="77"/>
  <c r="F46" i="77"/>
  <c r="F43" i="77"/>
  <c r="F44" i="77"/>
  <c r="F45" i="77"/>
  <c r="J100" i="79" l="1"/>
  <c r="J100" i="69"/>
  <c r="J100" i="66"/>
  <c r="F220" i="77"/>
  <c r="F221" i="77"/>
  <c r="F222" i="77"/>
  <c r="F223" i="77"/>
  <c r="F224" i="77"/>
  <c r="F218" i="77" l="1"/>
  <c r="F219" i="77"/>
  <c r="F238" i="77" l="1"/>
  <c r="F243" i="77"/>
  <c r="F242" i="77"/>
  <c r="F241" i="77"/>
  <c r="F240" i="77"/>
  <c r="F215" i="77"/>
  <c r="F214" i="77"/>
  <c r="F213" i="77"/>
  <c r="F212" i="77"/>
  <c r="F211" i="77"/>
  <c r="F210" i="77"/>
  <c r="F209" i="77"/>
  <c r="F208" i="77"/>
  <c r="F207" i="77"/>
  <c r="F206" i="77"/>
  <c r="F205" i="77"/>
  <c r="F204" i="77"/>
  <c r="F203" i="77"/>
  <c r="F202" i="77"/>
  <c r="F199" i="77"/>
  <c r="F198" i="77"/>
  <c r="F197" i="77"/>
  <c r="F196" i="77"/>
  <c r="F193" i="77"/>
  <c r="F192" i="77"/>
  <c r="F191" i="77"/>
  <c r="F190" i="77"/>
  <c r="F189" i="77"/>
  <c r="F188" i="77"/>
  <c r="F187" i="77"/>
  <c r="F186" i="77"/>
  <c r="F185" i="77"/>
  <c r="F184" i="77"/>
  <c r="F183" i="77"/>
  <c r="F182" i="77"/>
  <c r="F181" i="77"/>
  <c r="F180" i="77"/>
  <c r="F179" i="77"/>
  <c r="F178" i="77"/>
  <c r="F177" i="77"/>
  <c r="F176" i="77"/>
  <c r="F175" i="77"/>
  <c r="F174" i="77"/>
  <c r="F173" i="77"/>
  <c r="F172" i="77"/>
  <c r="F171" i="77"/>
  <c r="F170" i="77"/>
  <c r="F169" i="77"/>
  <c r="F168" i="77"/>
  <c r="F167" i="77"/>
  <c r="F166" i="77"/>
  <c r="F165" i="77"/>
  <c r="F164" i="77"/>
  <c r="F163" i="77"/>
  <c r="F162" i="77"/>
  <c r="F161" i="77"/>
  <c r="F160" i="77"/>
  <c r="F159" i="77"/>
  <c r="F158" i="77"/>
  <c r="F157" i="77"/>
  <c r="F156" i="77"/>
  <c r="F155" i="77"/>
  <c r="F154" i="77"/>
  <c r="F153" i="77"/>
  <c r="F152" i="77"/>
  <c r="F151" i="77"/>
  <c r="F150" i="77"/>
  <c r="F149" i="77"/>
  <c r="F148" i="77"/>
  <c r="F147" i="77"/>
  <c r="F146" i="77"/>
  <c r="F145" i="77"/>
  <c r="F144" i="77"/>
  <c r="F143" i="77"/>
  <c r="F133" i="77"/>
  <c r="F132" i="77"/>
  <c r="F131" i="77"/>
  <c r="F130" i="77"/>
  <c r="F129" i="77"/>
  <c r="F128" i="77"/>
  <c r="F127" i="77"/>
  <c r="F126" i="77"/>
  <c r="F125" i="77"/>
  <c r="F124" i="77"/>
  <c r="F123" i="77"/>
  <c r="F122" i="77"/>
  <c r="F121" i="77"/>
  <c r="F120" i="77"/>
  <c r="F119" i="77"/>
  <c r="F118" i="77"/>
  <c r="F117" i="77"/>
  <c r="F116" i="77"/>
  <c r="F115" i="77"/>
  <c r="F114" i="77"/>
  <c r="F113" i="77"/>
  <c r="F112" i="77"/>
  <c r="F111" i="77"/>
  <c r="F110" i="77"/>
  <c r="F109" i="77"/>
  <c r="F108" i="77"/>
  <c r="F107" i="77"/>
  <c r="F106" i="77"/>
  <c r="F105" i="77"/>
  <c r="F104" i="77"/>
  <c r="F103" i="77"/>
  <c r="F102" i="77"/>
  <c r="F101" i="77"/>
  <c r="F100" i="77"/>
  <c r="F99" i="77"/>
  <c r="F98" i="77"/>
  <c r="F97" i="77"/>
  <c r="F96" i="77"/>
  <c r="F95" i="77"/>
  <c r="F94" i="77"/>
  <c r="F93" i="77"/>
  <c r="F92" i="77"/>
  <c r="F91" i="77"/>
  <c r="F90" i="77"/>
  <c r="F89" i="77"/>
  <c r="F88" i="77"/>
  <c r="F87" i="77"/>
  <c r="F86" i="77"/>
  <c r="F85" i="77"/>
  <c r="F84" i="77"/>
  <c r="F83" i="77"/>
  <c r="F82" i="77"/>
  <c r="F81" i="77"/>
  <c r="F80" i="77"/>
  <c r="F79" i="77"/>
  <c r="F78" i="77"/>
  <c r="F77" i="77"/>
  <c r="F76" i="77"/>
  <c r="F75" i="77"/>
  <c r="F74" i="77"/>
  <c r="F73" i="77"/>
  <c r="F72" i="77"/>
  <c r="F71" i="77"/>
  <c r="F70" i="77"/>
  <c r="F69" i="77"/>
  <c r="F68" i="77"/>
  <c r="F67" i="77"/>
  <c r="F66" i="77"/>
  <c r="F65" i="77"/>
  <c r="F64" i="77"/>
  <c r="F63" i="77"/>
  <c r="F62" i="77"/>
  <c r="F61" i="77"/>
  <c r="F60" i="77"/>
  <c r="F59" i="77"/>
  <c r="F58" i="77"/>
  <c r="F57" i="77"/>
  <c r="F56" i="77"/>
  <c r="F42" i="77"/>
  <c r="F41" i="77"/>
  <c r="F40" i="77"/>
  <c r="F39" i="77"/>
  <c r="F38" i="77"/>
  <c r="F37" i="77"/>
  <c r="F36" i="77"/>
  <c r="F35" i="77"/>
  <c r="F34" i="77"/>
  <c r="F33" i="77"/>
  <c r="F32" i="77"/>
  <c r="F31" i="77"/>
  <c r="F30" i="77"/>
  <c r="F29" i="77"/>
  <c r="F28" i="77"/>
  <c r="F27" i="77"/>
  <c r="F26" i="77"/>
  <c r="F25" i="77"/>
  <c r="F24" i="77"/>
  <c r="F23" i="77"/>
  <c r="F22" i="77"/>
  <c r="F21" i="77"/>
  <c r="F20" i="77"/>
  <c r="F19" i="77"/>
  <c r="F18" i="77"/>
  <c r="F17" i="77"/>
  <c r="F16" i="77"/>
  <c r="F15" i="77"/>
  <c r="F14" i="77"/>
  <c r="F13" i="77"/>
  <c r="F12" i="77"/>
  <c r="F11" i="77"/>
  <c r="F10" i="77"/>
  <c r="F9" i="77"/>
  <c r="F8" i="77"/>
  <c r="F7" i="77"/>
  <c r="F6" i="77"/>
  <c r="F5" i="77"/>
  <c r="F4" i="77"/>
  <c r="F54" i="77" l="1"/>
  <c r="F141" i="77"/>
  <c r="F194" i="77"/>
  <c r="F200" i="77"/>
  <c r="F216" i="77"/>
  <c r="F244" i="77"/>
  <c r="F245" i="77" l="1"/>
  <c r="E4" i="75"/>
  <c r="I24" i="80"/>
  <c r="J50" i="80" s="1"/>
  <c r="I39" i="80"/>
  <c r="I37" i="80"/>
  <c r="I115" i="79"/>
  <c r="I113" i="79"/>
  <c r="J94" i="79"/>
  <c r="I83" i="79"/>
  <c r="I82" i="79"/>
  <c r="I81" i="79"/>
  <c r="I80" i="79"/>
  <c r="I79" i="79"/>
  <c r="I85" i="79" s="1"/>
  <c r="I71" i="79"/>
  <c r="I69" i="79"/>
  <c r="J54" i="79"/>
  <c r="J53" i="79"/>
  <c r="I50" i="79"/>
  <c r="I72" i="79" s="1"/>
  <c r="I39" i="79"/>
  <c r="J32" i="79"/>
  <c r="J31" i="79"/>
  <c r="J30" i="79"/>
  <c r="J29" i="79"/>
  <c r="J28" i="79"/>
  <c r="J33" i="79" s="1"/>
  <c r="I70" i="79" l="1"/>
  <c r="I74" i="79" s="1"/>
  <c r="J31" i="80"/>
  <c r="J32" i="80" s="1"/>
  <c r="J81" i="79"/>
  <c r="J73" i="79"/>
  <c r="J80" i="79"/>
  <c r="J84" i="79"/>
  <c r="J79" i="79"/>
  <c r="J38" i="79"/>
  <c r="J82" i="79"/>
  <c r="J55" i="79"/>
  <c r="J37" i="79"/>
  <c r="J39" i="79" s="1"/>
  <c r="J69" i="79"/>
  <c r="J83" i="79"/>
  <c r="J126" i="79"/>
  <c r="J58" i="79"/>
  <c r="J64" i="79" s="1"/>
  <c r="J70" i="79"/>
  <c r="J71" i="79"/>
  <c r="J72" i="79"/>
  <c r="J62" i="79" l="1"/>
  <c r="J44" i="79"/>
  <c r="J35" i="80"/>
  <c r="J36" i="80"/>
  <c r="J34" i="80"/>
  <c r="J37" i="80" s="1"/>
  <c r="J51" i="80" s="1"/>
  <c r="J52" i="80" s="1"/>
  <c r="J42" i="80"/>
  <c r="J44" i="80" s="1"/>
  <c r="J46" i="80" s="1"/>
  <c r="J46" i="79"/>
  <c r="J42" i="79"/>
  <c r="J49" i="79"/>
  <c r="J43" i="79"/>
  <c r="J48" i="79"/>
  <c r="J47" i="79"/>
  <c r="J74" i="79"/>
  <c r="J128" i="79" s="1"/>
  <c r="J45" i="79"/>
  <c r="J85" i="79"/>
  <c r="J93" i="79" s="1"/>
  <c r="J95" i="79" s="1"/>
  <c r="J129" i="79" s="1"/>
  <c r="J50" i="79" l="1"/>
  <c r="J63" i="79" s="1"/>
  <c r="J65" i="79" s="1"/>
  <c r="J127" i="79" l="1"/>
  <c r="I21" i="76" l="1"/>
  <c r="I18" i="76"/>
  <c r="I12" i="76"/>
  <c r="I9" i="76"/>
  <c r="G5" i="70"/>
  <c r="I5" i="70"/>
  <c r="K5" i="70"/>
  <c r="L5" i="70"/>
  <c r="M5" i="70" s="1"/>
  <c r="N5" i="70" s="1"/>
  <c r="G6" i="70"/>
  <c r="I6" i="70"/>
  <c r="K6" i="70"/>
  <c r="L6" i="70"/>
  <c r="M6" i="70" s="1"/>
  <c r="N6" i="70" s="1"/>
  <c r="G7" i="70"/>
  <c r="I7" i="70"/>
  <c r="K7" i="70"/>
  <c r="L7" i="70"/>
  <c r="M7" i="70" s="1"/>
  <c r="N7" i="70" s="1"/>
  <c r="G8" i="70"/>
  <c r="I8" i="70"/>
  <c r="K8" i="70"/>
  <c r="L8" i="70"/>
  <c r="M8" i="70" s="1"/>
  <c r="N8" i="70" s="1"/>
  <c r="G9" i="70"/>
  <c r="I9" i="70"/>
  <c r="K9" i="70"/>
  <c r="L9" i="70"/>
  <c r="M9" i="70" s="1"/>
  <c r="N9" i="70" s="1"/>
  <c r="G10" i="70"/>
  <c r="I10" i="70"/>
  <c r="K10" i="70"/>
  <c r="L10" i="70"/>
  <c r="M10" i="70" s="1"/>
  <c r="N10" i="70" s="1"/>
  <c r="G11" i="70"/>
  <c r="I11" i="70"/>
  <c r="K11" i="70"/>
  <c r="L11" i="70"/>
  <c r="M11" i="70" s="1"/>
  <c r="N11" i="70" s="1"/>
  <c r="G12" i="70"/>
  <c r="I12" i="70"/>
  <c r="K12" i="70"/>
  <c r="L12" i="70"/>
  <c r="M12" i="70" s="1"/>
  <c r="N12" i="70" s="1"/>
  <c r="D21" i="76"/>
  <c r="D18" i="76"/>
  <c r="D12" i="76"/>
  <c r="D9" i="76"/>
  <c r="E10" i="75"/>
  <c r="E9" i="75"/>
  <c r="E8" i="75"/>
  <c r="E7" i="75"/>
  <c r="E6" i="75"/>
  <c r="E12" i="75" s="1"/>
  <c r="E5" i="75"/>
  <c r="J31" i="73"/>
  <c r="J50" i="73"/>
  <c r="I39" i="73"/>
  <c r="I37" i="73"/>
  <c r="E13" i="70"/>
  <c r="J53" i="69"/>
  <c r="I115" i="69"/>
  <c r="I113" i="69"/>
  <c r="J94" i="69"/>
  <c r="I83" i="69"/>
  <c r="I82" i="69"/>
  <c r="I81" i="69"/>
  <c r="I80" i="69"/>
  <c r="I79" i="69"/>
  <c r="I85" i="69" s="1"/>
  <c r="I71" i="69"/>
  <c r="I69" i="69"/>
  <c r="I70" i="69" s="1"/>
  <c r="J54" i="69"/>
  <c r="I50" i="69"/>
  <c r="I72" i="69" s="1"/>
  <c r="I39" i="69"/>
  <c r="J32" i="69"/>
  <c r="J31" i="69"/>
  <c r="J30" i="69"/>
  <c r="J29" i="69"/>
  <c r="J28" i="69"/>
  <c r="I115" i="66"/>
  <c r="J53" i="66"/>
  <c r="J28" i="66"/>
  <c r="K13" i="70" l="1"/>
  <c r="J99" i="79"/>
  <c r="M13" i="70"/>
  <c r="I13" i="70"/>
  <c r="G13" i="70"/>
  <c r="I22" i="76"/>
  <c r="H247" i="77" s="1"/>
  <c r="N13" i="70"/>
  <c r="D22" i="76"/>
  <c r="D30" i="78" s="1"/>
  <c r="J32" i="73"/>
  <c r="J34" i="73" s="1"/>
  <c r="J33" i="69"/>
  <c r="J72" i="69"/>
  <c r="J69" i="69"/>
  <c r="I74" i="69"/>
  <c r="J126" i="69"/>
  <c r="J79" i="69"/>
  <c r="J83" i="69"/>
  <c r="J71" i="69"/>
  <c r="J84" i="69"/>
  <c r="J82" i="69"/>
  <c r="J73" i="69"/>
  <c r="J54" i="66"/>
  <c r="J81" i="69" l="1"/>
  <c r="J55" i="69"/>
  <c r="J58" i="69" s="1"/>
  <c r="J64" i="69" s="1"/>
  <c r="J38" i="69"/>
  <c r="J37" i="69"/>
  <c r="G30" i="78"/>
  <c r="E33" i="78"/>
  <c r="D5" i="72"/>
  <c r="E5" i="72" s="1"/>
  <c r="J99" i="66"/>
  <c r="J99" i="69"/>
  <c r="J42" i="73"/>
  <c r="J44" i="73" s="1"/>
  <c r="J36" i="73"/>
  <c r="J35" i="73"/>
  <c r="J80" i="69"/>
  <c r="J85" i="69" s="1"/>
  <c r="J93" i="69" s="1"/>
  <c r="J95" i="69" s="1"/>
  <c r="J129" i="69" s="1"/>
  <c r="J70" i="69"/>
  <c r="J74" i="69" s="1"/>
  <c r="J128" i="69" s="1"/>
  <c r="J39" i="69"/>
  <c r="J42" i="69" s="1"/>
  <c r="J29" i="66"/>
  <c r="J30" i="66"/>
  <c r="J31" i="66"/>
  <c r="J32" i="66"/>
  <c r="J33" i="66" l="1"/>
  <c r="D6" i="72"/>
  <c r="E6" i="72" s="1"/>
  <c r="J62" i="69"/>
  <c r="J44" i="69"/>
  <c r="J45" i="69"/>
  <c r="J48" i="69"/>
  <c r="J46" i="69"/>
  <c r="J49" i="69"/>
  <c r="J47" i="69"/>
  <c r="J43" i="69"/>
  <c r="I113" i="66"/>
  <c r="J94" i="66"/>
  <c r="I83" i="66"/>
  <c r="I82" i="66"/>
  <c r="I81" i="66"/>
  <c r="I80" i="66"/>
  <c r="I79" i="66"/>
  <c r="I85" i="66" s="1"/>
  <c r="I71" i="66"/>
  <c r="I69" i="66"/>
  <c r="I50" i="66"/>
  <c r="I39" i="66"/>
  <c r="I70" i="66" l="1"/>
  <c r="J69" i="66"/>
  <c r="I72" i="66"/>
  <c r="J55" i="66"/>
  <c r="J58" i="66" s="1"/>
  <c r="J64" i="66" s="1"/>
  <c r="J38" i="66"/>
  <c r="J37" i="66"/>
  <c r="J50" i="69"/>
  <c r="J63" i="69" s="1"/>
  <c r="J65" i="69" s="1"/>
  <c r="J81" i="66"/>
  <c r="J39" i="66"/>
  <c r="J83" i="66"/>
  <c r="J72" i="66"/>
  <c r="J84" i="66"/>
  <c r="J70" i="66"/>
  <c r="J73" i="66"/>
  <c r="I74" i="66"/>
  <c r="J126" i="66"/>
  <c r="J79" i="66"/>
  <c r="J82" i="66"/>
  <c r="J71" i="66"/>
  <c r="J80" i="66"/>
  <c r="J62" i="66" l="1"/>
  <c r="J42" i="66"/>
  <c r="J49" i="66"/>
  <c r="J127" i="69"/>
  <c r="J46" i="66"/>
  <c r="J74" i="66"/>
  <c r="J128" i="66" s="1"/>
  <c r="J44" i="66"/>
  <c r="J47" i="66"/>
  <c r="J85" i="66"/>
  <c r="J93" i="66" s="1"/>
  <c r="J95" i="66" s="1"/>
  <c r="J129" i="66" s="1"/>
  <c r="J46" i="73" l="1"/>
  <c r="J37" i="73"/>
  <c r="J51" i="73" s="1"/>
  <c r="J52" i="73" s="1"/>
  <c r="J43" i="66"/>
  <c r="J48" i="66"/>
  <c r="J45" i="66"/>
  <c r="J50" i="66" l="1"/>
  <c r="J63" i="66"/>
  <c r="J65" i="66" s="1"/>
  <c r="J127" i="66" s="1"/>
  <c r="E114" i="59" l="1"/>
  <c r="E113" i="59"/>
  <c r="E112" i="59"/>
  <c r="E111" i="59"/>
  <c r="E110" i="59"/>
  <c r="H109" i="59" s="1"/>
  <c r="E109" i="59"/>
  <c r="H21" i="59"/>
  <c r="F92" i="59"/>
  <c r="H71" i="59"/>
  <c r="G61" i="59"/>
  <c r="G71" i="59"/>
  <c r="F71" i="59"/>
  <c r="H61" i="59"/>
  <c r="F61" i="59"/>
  <c r="F102" i="59"/>
  <c r="H92" i="59"/>
  <c r="G92" i="59"/>
  <c r="H82" i="59"/>
  <c r="F82" i="59"/>
  <c r="G82" i="59"/>
  <c r="D15" i="62"/>
  <c r="C15" i="62"/>
  <c r="E41" i="59"/>
  <c r="E56" i="59"/>
  <c r="E40" i="59"/>
  <c r="E39" i="59"/>
  <c r="E55" i="59"/>
  <c r="E54" i="59"/>
  <c r="E53" i="59"/>
  <c r="E37" i="59"/>
  <c r="E52" i="59"/>
  <c r="E36" i="59"/>
  <c r="E51" i="59"/>
  <c r="E35" i="59"/>
  <c r="E49" i="59"/>
  <c r="E50" i="59"/>
  <c r="E34" i="59"/>
  <c r="G109" i="59" l="1"/>
  <c r="F109" i="59"/>
  <c r="E15" i="62"/>
  <c r="G15" i="62" s="1"/>
  <c r="G49" i="59"/>
  <c r="F49" i="59"/>
  <c r="F33" i="59"/>
  <c r="H49" i="59"/>
  <c r="G33" i="59"/>
  <c r="H38" i="59"/>
  <c r="F8" i="62" s="1"/>
  <c r="G16" i="62" l="1"/>
  <c r="G17" i="62" s="1"/>
  <c r="J103" i="79"/>
  <c r="J103" i="69"/>
  <c r="J103" i="66"/>
  <c r="G8" i="62"/>
  <c r="G9" i="62" s="1"/>
  <c r="G21" i="62"/>
  <c r="G15" i="59"/>
  <c r="J10" i="59" s="1"/>
  <c r="J130" i="66" l="1"/>
  <c r="J131" i="66" s="1"/>
  <c r="J130" i="69"/>
  <c r="J131" i="69" s="1"/>
  <c r="J130" i="79"/>
  <c r="J131" i="79" s="1"/>
  <c r="H10" i="59"/>
  <c r="I10" i="59"/>
  <c r="G10" i="62"/>
  <c r="J107" i="79" l="1"/>
  <c r="J107" i="69"/>
  <c r="J107" i="66"/>
  <c r="J108" i="66" l="1"/>
  <c r="J110" i="66" s="1"/>
  <c r="J108" i="69"/>
  <c r="J111" i="69" s="1"/>
  <c r="J108" i="79"/>
  <c r="J112" i="69" l="1"/>
  <c r="J118" i="66"/>
  <c r="J120" i="66" s="1"/>
  <c r="J122" i="66" s="1"/>
  <c r="J111" i="79"/>
  <c r="J112" i="79"/>
  <c r="J118" i="69"/>
  <c r="J120" i="69" s="1"/>
  <c r="J122" i="69" s="1"/>
  <c r="J118" i="79"/>
  <c r="J120" i="79" s="1"/>
  <c r="J122" i="79" s="1"/>
  <c r="J110" i="69"/>
  <c r="J112" i="66"/>
  <c r="J111" i="66"/>
  <c r="J110" i="79"/>
  <c r="J113" i="69" l="1"/>
  <c r="J132" i="69" s="1"/>
  <c r="J133" i="69" s="1"/>
  <c r="J113" i="79"/>
  <c r="J132" i="79" s="1"/>
  <c r="J133" i="79" s="1"/>
  <c r="J113" i="66"/>
  <c r="J132" i="66" s="1"/>
  <c r="J133" i="66" s="1"/>
  <c r="D4" i="72" l="1"/>
  <c r="D7" i="72" l="1"/>
  <c r="E4" i="72"/>
  <c r="E7" i="72" s="1"/>
</calcChain>
</file>

<file path=xl/sharedStrings.xml><?xml version="1.0" encoding="utf-8"?>
<sst xmlns="http://schemas.openxmlformats.org/spreadsheetml/2006/main" count="2531" uniqueCount="1066">
  <si>
    <t>PESQUISA DE PREÇOS</t>
  </si>
  <si>
    <t>ASSISTENTE ADMINISTRATIVO</t>
  </si>
  <si>
    <t>ÓRGÃO</t>
  </si>
  <si>
    <t>UASG</t>
  </si>
  <si>
    <t>PREGÃO</t>
  </si>
  <si>
    <t>EMPRESA</t>
  </si>
  <si>
    <t>CNPJ</t>
  </si>
  <si>
    <t>VALOR</t>
  </si>
  <si>
    <t>MÉDIA</t>
  </si>
  <si>
    <t>DESVIO PADRÃO</t>
  </si>
  <si>
    <t>MÉDIA AJUSTADA</t>
  </si>
  <si>
    <t>IPHAN 9A. SUPERINTENDêNCIA REGIONAL</t>
  </si>
  <si>
    <t>003/2021</t>
  </si>
  <si>
    <t>SEGMAR SERVICOS TERCEIRIZADOS EIRELI</t>
  </si>
  <si>
    <t>12.360.485/0001-03</t>
  </si>
  <si>
    <t>SUP. REG. DO DNIT NO ESTADO DE SAO PAULO</t>
  </si>
  <si>
    <t>380/2020</t>
  </si>
  <si>
    <t xml:space="preserve">	G4F SOLUCOES CORPORATIVAS LTDA</t>
  </si>
  <si>
    <t>07.094.346/0001-45</t>
  </si>
  <si>
    <t>SUPERINT.FED. DE AGRIC.PECUARIA E ABASTEC./SP</t>
  </si>
  <si>
    <t>004/2019</t>
  </si>
  <si>
    <t>ORBENK ADMINISTRACAO E SERVICOS LTDA.</t>
  </si>
  <si>
    <t>79.283.065/0001-41</t>
  </si>
  <si>
    <t>https://dissidio.com.br/salario/assistente-administrativo/</t>
  </si>
  <si>
    <t>-</t>
  </si>
  <si>
    <t>Salário de Assistente Administrativo | Infojobs</t>
  </si>
  <si>
    <t>Assistente Administrativo - Salário 2021 - São Paulo, SP (salario.com.br)</t>
  </si>
  <si>
    <t>SEGURO DE VIDA</t>
  </si>
  <si>
    <t>CONSELHO REG. DE ENG. E AGRON. DE S.PAULO</t>
  </si>
  <si>
    <t>007/2021</t>
  </si>
  <si>
    <t>LINCE - SEGURANCA ELETRONICA LTDA.</t>
  </si>
  <si>
    <t>10.565.981/0001-78</t>
  </si>
  <si>
    <t>PROCURADORIA REG.DO TRABALHO 2A. REGIAO - SP</t>
  </si>
  <si>
    <t>008/2021</t>
  </si>
  <si>
    <t>VISION EMPREENDIMENTOS EIRELI</t>
  </si>
  <si>
    <t>09.327.728/0001-05</t>
  </si>
  <si>
    <t>INST.FED.DE EDUC.,CIENC.E TEC.DE SÃO PAULO</t>
  </si>
  <si>
    <t>1710/2021</t>
  </si>
  <si>
    <t>IMPERIO SERVICOS EMPRESARIAIS EIRELI</t>
  </si>
  <si>
    <t>21.795.157/0001-20</t>
  </si>
  <si>
    <t>GERENCIA REGIONAL EM SÃO PAULO</t>
  </si>
  <si>
    <t>016/2021</t>
  </si>
  <si>
    <t>APPA SERVICOS TEMPORARIOS E EFETIVOS LTDA</t>
  </si>
  <si>
    <t>05.969.071/0001-10</t>
  </si>
  <si>
    <t>RELÓGIO PONTO BIOMÉTRICO</t>
  </si>
  <si>
    <t>DATA</t>
  </si>
  <si>
    <t xml:space="preserve">ACWARE COMÉRCIO DE EQUIPAMENTOS PARA AUTOMAÇÃO COMERCIAL LTDA </t>
  </si>
  <si>
    <t>10.690.274/0001-03</t>
  </si>
  <si>
    <t xml:space="preserve">LOJADOPONTO TECNOLOGIA EIRELI-ME </t>
  </si>
  <si>
    <t xml:space="preserve">27.283.673/0001-52 </t>
  </si>
  <si>
    <t>GASPARINI &amp; FERREIRA - COMERCIO DE PRODUTOS ELETRONICOS LTDA</t>
  </si>
  <si>
    <t>14.322.609/0001-91</t>
  </si>
  <si>
    <t xml:space="preserve">CANAL AUTOMACAO – EIRELI </t>
  </si>
  <si>
    <t>17.235.480/0001-72</t>
  </si>
  <si>
    <t xml:space="preserve">ETIPLAST INDUSTRIA E COMERCIO DE ETIQUETAS LTDA - EPP </t>
  </si>
  <si>
    <t>12.521.222/0001-39</t>
  </si>
  <si>
    <t xml:space="preserve">VGA TECNOLOGIA E ELETRONICOS LTDA   </t>
  </si>
  <si>
    <t>34.122.654/0001-00</t>
  </si>
  <si>
    <t xml:space="preserve">ECOLOGIC SYSTEMS INFORMATICA LTDA - EPP </t>
  </si>
  <si>
    <t>06.580.675/0001-33</t>
  </si>
  <si>
    <t>MANCHESTER AUTOMACAO LTDA</t>
  </si>
  <si>
    <t>05.061.448/0001-39</t>
  </si>
  <si>
    <t>TECNOPAR TECNOLOGIA EM AUTOMAÇÕES LTDA</t>
  </si>
  <si>
    <t>08.829.865/0001-77</t>
  </si>
  <si>
    <t xml:space="preserve">I. G EQUIPAMENTOS DE RELOGIO DE PONTO LTDA   </t>
  </si>
  <si>
    <t>12.303.126/0001-14</t>
  </si>
  <si>
    <t xml:space="preserve">ISMAFER FERRAGENS LTDA  </t>
  </si>
  <si>
    <t>18.785.157/0001-35</t>
  </si>
  <si>
    <t>BOBINA PONTO BIOMÉTRICO (6 BOBINAS)</t>
  </si>
  <si>
    <t xml:space="preserve">27.283673/0001-52 </t>
  </si>
  <si>
    <t>UNIFORME - CAMISA</t>
  </si>
  <si>
    <t>MWT COMERCIO DE ROUPAS E ESTAMPARIA LTDA (MASCULINO)</t>
  </si>
  <si>
    <t>17.918.683/0001-63</t>
  </si>
  <si>
    <t>MWT COMERCIO DE ROUPAS E ESTAMPARIA LTDA (FEMININO)</t>
  </si>
  <si>
    <t>FM IMPRESSOS PERSONALIZADOS LTDA (MASCULINO)</t>
  </si>
  <si>
    <t>13.555.994/0001-54</t>
  </si>
  <si>
    <t>RDH UNIFORMES PROFISSIONAIS EIRELI (MASCULINO)</t>
  </si>
  <si>
    <t>17.904.902/0001-55</t>
  </si>
  <si>
    <t>RDH UNIFORMES PROFISSIONAIS EIRELI (FEMININO)</t>
  </si>
  <si>
    <t>ALPHA MODA CONFECCOES SOROCABA LTDA (MASCULINO)</t>
  </si>
  <si>
    <t>13.564.909/0001-14</t>
  </si>
  <si>
    <t>UNIFORME - CALÇA</t>
  </si>
  <si>
    <t>TODAN COMERCIO DE CONFECCOES - EIRELI (FEMININO)</t>
  </si>
  <si>
    <t>28.895.349/0001-58</t>
  </si>
  <si>
    <t>LOJAS RENNER S/A (FEMININO)</t>
  </si>
  <si>
    <t>92.754.738/0001-62</t>
  </si>
  <si>
    <t>LOJAS BELIAN MODA LTDA (FEMININO)</t>
  </si>
  <si>
    <t>46.469.748/0052-89</t>
  </si>
  <si>
    <t>C&amp;A MODAS S/A (MASCULINO)</t>
  </si>
  <si>
    <t>45.242.914/0001-05</t>
  </si>
  <si>
    <t>TNG COMERCIO E INDUSTRIA DE ROUPAS LTDA (MASCULINO)</t>
  </si>
  <si>
    <t>53.966.834/0236-78</t>
  </si>
  <si>
    <t>LOJAS RIACHUELO S/A (MASCULINO)</t>
  </si>
  <si>
    <t>33.200.056/0441-97</t>
  </si>
  <si>
    <t>UNIFORME - SUETER</t>
  </si>
  <si>
    <t>HAVAN S/A (MASCULINO)</t>
  </si>
  <si>
    <t>79.379.491.0008-50</t>
  </si>
  <si>
    <t>SANDRO GIACOMETTI DONA (MASCULINO)</t>
  </si>
  <si>
    <t>08.989.175/0001-85</t>
  </si>
  <si>
    <t>LOJAS BELIAN MODA LTDA (MASCULINO)</t>
  </si>
  <si>
    <t>C&amp;A MODAS S/A (FEMININO)</t>
  </si>
  <si>
    <t>TNG COMERCIO E INDUSTRIA DE ROUPAS LTDA (FEMININO)</t>
  </si>
  <si>
    <t>LOJAS RIACHUELO S/A (FEMININO)</t>
  </si>
  <si>
    <t>UNIFORME - SAPATO</t>
  </si>
  <si>
    <t>GABRIELA GIMENES MIRON ENCINAS (FEMININO)</t>
  </si>
  <si>
    <t>19.705.008/0001-81</t>
  </si>
  <si>
    <t>ERICK ROCHA DE SOUZA (MASCULINO)</t>
  </si>
  <si>
    <t>20.214.857/0001-11</t>
  </si>
  <si>
    <t>SERGIY GREKOV (FEMININO)</t>
  </si>
  <si>
    <t>27.390.148/0001-36</t>
  </si>
  <si>
    <t>FKV COMERCIO DE CALCADOS LTDA (FEMININO)</t>
  </si>
  <si>
    <t>16.852.091/0001-23</t>
  </si>
  <si>
    <t>CAROL VILHENA EIRELI (MASCULINO)</t>
  </si>
  <si>
    <t>18.485.430/0001-06</t>
  </si>
  <si>
    <t>UNIFORME - CINTO</t>
  </si>
  <si>
    <t>FKV COMERCIO DE CALCADOS LTDA</t>
  </si>
  <si>
    <t>USEPELLE INDUSTRIA DE ARTEFATOS DE COURO LTDA</t>
  </si>
  <si>
    <t>15.691.739/0001-64</t>
  </si>
  <si>
    <t xml:space="preserve">RAPHAEL RODRIGUES NAVES </t>
  </si>
  <si>
    <t>36.074.899/0001-34</t>
  </si>
  <si>
    <t>UNIFORME - MEIA</t>
  </si>
  <si>
    <t>ROBSON BARBOSA JULIO (FEMININO)</t>
  </si>
  <si>
    <t>40.512.969/0001-66</t>
  </si>
  <si>
    <t>PART. B - COMERCIO DE ARTIGOS DO VESTUARIO LTDA</t>
  </si>
  <si>
    <t>30.288.399/0001-19</t>
  </si>
  <si>
    <t>LOJAS RIACHUELO S/A</t>
  </si>
  <si>
    <t>MENGROW COMERCIO LTDA (MASCULINO)</t>
  </si>
  <si>
    <t>41.109.350/0001-78</t>
  </si>
  <si>
    <t>GFG COMERCIO DIGITAL LTDA (MASCULINO)</t>
  </si>
  <si>
    <t>11.200.418/0004-01</t>
  </si>
  <si>
    <t>ITEM</t>
  </si>
  <si>
    <t>DESCRIÇÃO</t>
  </si>
  <si>
    <t>VALOR MENSAL</t>
  </si>
  <si>
    <t>VALOR TOTAL (20 MESES)</t>
  </si>
  <si>
    <t>A</t>
  </si>
  <si>
    <t>A.1</t>
  </si>
  <si>
    <t>A.2</t>
  </si>
  <si>
    <t>B</t>
  </si>
  <si>
    <t>B.1</t>
  </si>
  <si>
    <t>VALOR TOTAL PARA 20 MESES</t>
  </si>
  <si>
    <t>IN 05/2017/SEGES/MPDG - ANEXO VII-D</t>
  </si>
  <si>
    <t>PLANILHA DE CUSTOS E FORMAÇÃO DE PREÇOS</t>
  </si>
  <si>
    <t>N.º do Processo 00066.014323/2021-59</t>
  </si>
  <si>
    <t>Categoria profissional: Eletricista de instalações (edifícios)</t>
  </si>
  <si>
    <t>Discriminação dos Serviços</t>
  </si>
  <si>
    <t>Data de apresentação da proposta</t>
  </si>
  <si>
    <t>Município</t>
  </si>
  <si>
    <t>São José dos Campos/SP</t>
  </si>
  <si>
    <t>C</t>
  </si>
  <si>
    <t>Ano do Acordo, Convenção ou Dissídio Coletivo</t>
  </si>
  <si>
    <t>Referência SINTRICOM/São José dos Campos e SINDUSCON/São Paulo 2021/2022</t>
  </si>
  <si>
    <t>D</t>
  </si>
  <si>
    <t>Nº de meses de execução contratual</t>
  </si>
  <si>
    <t>Identificação do Serviço</t>
  </si>
  <si>
    <t>Tipo de Serviço</t>
  </si>
  <si>
    <t>Unidade de Medida</t>
  </si>
  <si>
    <t>Quantidade total a contratar (em função da unidade de medida)</t>
  </si>
  <si>
    <t>Eletricista de instalações (edifícios)</t>
  </si>
  <si>
    <t>Posto</t>
  </si>
  <si>
    <t>Dados para composição dos custos referentes à mão-de-obra</t>
  </si>
  <si>
    <t>Tipo de serviço (mesmo serviço com características distintas)</t>
  </si>
  <si>
    <t>Manutenção Predial</t>
  </si>
  <si>
    <t>Classificação Brasileira de Ocupações (CBO)</t>
  </si>
  <si>
    <t>7156-10</t>
  </si>
  <si>
    <t>Salário Nominativo da Categoria Profissional</t>
  </si>
  <si>
    <t>Categoria profissional (vinculada à execução contratual)</t>
  </si>
  <si>
    <t>Data base da categoria (dia/mês/ano)</t>
  </si>
  <si>
    <t>1º/05/2021</t>
  </si>
  <si>
    <t>MÓDULO 1 - COMPOSIÇÃO DA REMUNERAÇÃO</t>
  </si>
  <si>
    <t>COMPOSIÇÃO DA REMUNERAÇÃO</t>
  </si>
  <si>
    <t>%</t>
  </si>
  <si>
    <t>VALOR (R$)</t>
  </si>
  <si>
    <t>Memória de Cálculo</t>
  </si>
  <si>
    <t>Fundamento</t>
  </si>
  <si>
    <t>Salário Base</t>
  </si>
  <si>
    <t>CCT 2021</t>
  </si>
  <si>
    <t xml:space="preserve">Adicional Periculosidade </t>
  </si>
  <si>
    <t>Lei n.º 12.740/2012</t>
  </si>
  <si>
    <t>Adicional Insalubridade</t>
  </si>
  <si>
    <t>Adicional Noturno</t>
  </si>
  <si>
    <t>E</t>
  </si>
  <si>
    <t>Adicional de Hora Noturna Reduzida</t>
  </si>
  <si>
    <t>F</t>
  </si>
  <si>
    <t>Outros (especificar)</t>
  </si>
  <si>
    <t>TOTAL DO MÓDULO 1</t>
  </si>
  <si>
    <t>MÓDULO 2 – ENCARGOS E BENEFÍCIOS ANUAIS, MENSAIS E DIÁRIOS</t>
  </si>
  <si>
    <t>Submódulo 2.1 - 13º Salário, Férias e Adicional de Férias</t>
  </si>
  <si>
    <t>13 (Décimo-terceiro) salário (Percentual obrigatório conforme Anexo XII - IN 5/17)</t>
  </si>
  <si>
    <t>Art. 7º, VIII, CF/88- Dec. 57.115/65.
INSTRUÇÃO NORMATIVA Nº 5, DE 26 DE MAIO DE 2017 - ANEXO XII</t>
  </si>
  <si>
    <t>Férias e Adicional de Férias  (Percentual obrigatório conforme Anexo XII - IN 5/17)</t>
  </si>
  <si>
    <t>9,075 % + 3,025 %</t>
  </si>
  <si>
    <t>Art. 7º, XVII, CF/88
INSTRUÇÃO NORMATIVA Nº 5, DE 26 DE MAIO DE 2017 - ANEXO XII</t>
  </si>
  <si>
    <t>TOTAL SUBMÓDULO 2.1</t>
  </si>
  <si>
    <t>Submódulo 2.2 - GPS, FGTS e Outras Contribuições</t>
  </si>
  <si>
    <t xml:space="preserve">INSS </t>
  </si>
  <si>
    <t>Art. 22, Inciso I, da Lei nº 8.212/91.</t>
  </si>
  <si>
    <t xml:space="preserve">Salário Educação </t>
  </si>
  <si>
    <t>Art.    3º,    Inciso    I,    Decreto    n.º 87.043/82.</t>
  </si>
  <si>
    <t>SAT (Seguro Acidente de Trabalho)</t>
  </si>
  <si>
    <t>RAT X FAP</t>
  </si>
  <si>
    <t>Lei n.º 8.212/91  e Decreto 6.957/2009</t>
  </si>
  <si>
    <t>SESC ou SESI</t>
  </si>
  <si>
    <t>Decreto n.º 2.318/86.</t>
  </si>
  <si>
    <t xml:space="preserve">SENAI - SENAC </t>
  </si>
  <si>
    <t>Lei n.º 7.787/89 e DL n.º 1.146/70.</t>
  </si>
  <si>
    <t xml:space="preserve">SEBRAE </t>
  </si>
  <si>
    <t xml:space="preserve">Art.  8º,  Lei  n.º  8.029/90  e  Lei  n.º 8.154/90. </t>
  </si>
  <si>
    <t>G</t>
  </si>
  <si>
    <t xml:space="preserve">INCRA </t>
  </si>
  <si>
    <t>H</t>
  </si>
  <si>
    <t xml:space="preserve">FGTS </t>
  </si>
  <si>
    <t>Art. 15, Lei nº 8.030/90 e Art. 7º, III, CF.</t>
  </si>
  <si>
    <t>TOTAL SUBMÓDULO 2.2</t>
  </si>
  <si>
    <t>Submódulo 2.3 - Benefícios Mensais e Diários</t>
  </si>
  <si>
    <t>Transporte (R$ 5,20 x 2 x 22 - 6% x SalBase)</t>
  </si>
  <si>
    <t>(VT x 22 dias x 2)- 6% s/ salário</t>
  </si>
  <si>
    <t>Lei Federal nº 7.418/1985, Decreto nº10.854/2021.</t>
  </si>
  <si>
    <t>Auxílio-Refeição/Alimentação [(R$ 24,5) x 22 x 95%]</t>
  </si>
  <si>
    <t>(VA x 22 dias)</t>
  </si>
  <si>
    <t>CCT 2021 (3.C2)</t>
  </si>
  <si>
    <t>Assistência médica</t>
  </si>
  <si>
    <t>CCT 2021 (24)</t>
  </si>
  <si>
    <t>Seguro de Vida</t>
  </si>
  <si>
    <t>CCT 2021 (18.IV)</t>
  </si>
  <si>
    <t>Outros (Lanche Manhã e Tarde)</t>
  </si>
  <si>
    <t>CCT 2021 (3.A e 3.B)</t>
  </si>
  <si>
    <t>TOTAL SUBMÓDULO 2.3</t>
  </si>
  <si>
    <t>QUADRO-RESUMO DO MÓDULO 2 - ENCARGOS, BENEFÍCIOS ANUAIS, MENSAIS E DIÁRIOS</t>
  </si>
  <si>
    <t>Módulo 2 - Encargos, Benefícios Anuais, Mensais e Diários</t>
  </si>
  <si>
    <t>2.1</t>
  </si>
  <si>
    <t>13º Salário, Férias e Adicional de Férias</t>
  </si>
  <si>
    <t>2.2</t>
  </si>
  <si>
    <t>GPS, FGTS e Outras Contribuições</t>
  </si>
  <si>
    <t>2.3</t>
  </si>
  <si>
    <t>Benefícios Mensais e Diários</t>
  </si>
  <si>
    <t>TOTAL DO MÓDULO 2</t>
  </si>
  <si>
    <t>MÓDULO 3 – PROVISÃO PARA RESCISÃO</t>
  </si>
  <si>
    <t>PROVISÃO PARA RESCISÃO</t>
  </si>
  <si>
    <t>Aviso Prévio Indenizado</t>
  </si>
  <si>
    <t>[(1/12)X5]=0,417%</t>
  </si>
  <si>
    <t>Art. 7º, XXI, CF/88, 477, 487 e 491 CLT. Estimativa de que 5% dos empregados serão substítuidos durante o ano.</t>
  </si>
  <si>
    <t>Incidência do FGTS sobre Aviso Prévio Indenizado</t>
  </si>
  <si>
    <t>(8% X 0,42%) = 0,03%</t>
  </si>
  <si>
    <t>Leis nºs 8.036/90 e 9.491/97.</t>
  </si>
  <si>
    <t xml:space="preserve">Aviso Prévio Trabalhado* </t>
  </si>
  <si>
    <t>{[(7/30)/12]x100} = 1,94%</t>
  </si>
  <si>
    <t>Art. 7º, XXI, CF/88, 477, 487 e 491 CLT. Redução de 7 dias ou 2 horas por dia.</t>
  </si>
  <si>
    <t>Incidência de GPS, FGTS e outras contribuições sobre o Aviso Prévio Trabalhado</t>
  </si>
  <si>
    <t>[(Total submódulo 2.2 x 1,94%) x 100]</t>
  </si>
  <si>
    <t>Multa sobre FGTS e contribuição social sobre o aviso prévio indenizado e sobre o aviso prévio trabalhado  (Alterado conforme Lei  nº  13.932/2019 )</t>
  </si>
  <si>
    <t>Retenção de 4% - Conta Vinculada</t>
  </si>
  <si>
    <t>Leis nºs 8.036/90, 9.491/97 e 13.932/2019.
INSTRUÇÃO NORMATIVA Nº 5, DE 26 DE MAIO DE 2017 - ANEXO XII.</t>
  </si>
  <si>
    <t>TOTAL DO MÓDULO 3</t>
  </si>
  <si>
    <t>Nota*</t>
  </si>
  <si>
    <t>De acordo com o entendimento do TCU no Acórdão nº 1.186/2017 - Plenário, a parcela mensal a título de aviso prévio trabalhado será no percentual máximo de 1,94% no primeiro ano, e, em caso de prorrogação do contrato, o percentual máximo dessa parcela será de 0,194% a cada ano de prorrogação, a ser incluído por ocasião da formulação do aditivo da prorrogação do contrato, conforme a Lei 12.506/2011.</t>
  </si>
  <si>
    <t>MÓDULO 4 – CUSTO DE REPOSIÇÃO DO PROFISSIONAL AUSENTE</t>
  </si>
  <si>
    <t>Submódulo 4.1 - Substituto nas Ausências Legais</t>
  </si>
  <si>
    <t>Substituto na cobertura de Férias</t>
  </si>
  <si>
    <t> (1/12/12) + (1/12/12) + (1/12/12/3)</t>
  </si>
  <si>
    <t>Art. 7º, VIII, CF/88- Dec. 57.115/65.
Férias, 13º e Adicional de 1/3</t>
  </si>
  <si>
    <t>Substituto na cobertura de Ausências Legais</t>
  </si>
  <si>
    <t>{[(1/30)/12]x100} = 0,277%</t>
  </si>
  <si>
    <t>Art. 473 da CLT. Estimativa de 1 ausênia por ano.</t>
  </si>
  <si>
    <t>Substituto na cobertura de Licença-Paternidade</t>
  </si>
  <si>
    <t>{[(5/30)/12]X0,015}X100=0,02%</t>
  </si>
  <si>
    <t>(Art. 7º, XIX, CFRB c/c art. 10, §1º. 
Estimativa de 1,5% dos funcionários usufruindo 5 dias da licença por ano.</t>
  </si>
  <si>
    <t>Substituto na cobertura de Ausência por acidente de trabalho</t>
  </si>
  <si>
    <t>{[(15/30)/12]x0,08}x100= 0,333%</t>
  </si>
  <si>
    <t>Art. 19 a 23 da Lei 8.213/91, ART. 473, CLT .
Estimativa de 1 licença de 15 dias por ano para 8% dos funcionários.</t>
  </si>
  <si>
    <t>Substituto na cobertura de Afastamento Maternidade</t>
  </si>
  <si>
    <t>[(4 x 8,33%) + (4 x 2,78%) / 12 x 2% = 0,07%</t>
  </si>
  <si>
    <t>Art. 7º, VIII, CF/88, Art. 392, CLT e Lei 11.770/2008. 
Estimativa de 2% dos empregados usufruindo de 4 meses de liceça por ano.</t>
  </si>
  <si>
    <t>Substituto na cobertura de Outras ausências (especificar)</t>
  </si>
  <si>
    <t>TOTAL SUBMÓDULO 4.1</t>
  </si>
  <si>
    <t>Submódulo 4.2 - Intrajornada</t>
  </si>
  <si>
    <t xml:space="preserve"> Substituto na cobertura de Intervalo para repouso ou alimentação</t>
  </si>
  <si>
    <t>TOTAL SUBMÓDULO 4.2</t>
  </si>
  <si>
    <t>QUADRO-RESUMO DO MÓDULO 4 - CUSTO DE REPOSIÇÃO DO PROFISSIONAL AUSENTE</t>
  </si>
  <si>
    <t>Módulo 4 - Custo de Reposição do Profissional Ausente</t>
  </si>
  <si>
    <t>4.1</t>
  </si>
  <si>
    <t>Substituto nas Ausências Legais</t>
  </si>
  <si>
    <t>4.2</t>
  </si>
  <si>
    <t>Substituto na Intrajornada</t>
  </si>
  <si>
    <t>TOTAL DO MÓDULO 4</t>
  </si>
  <si>
    <t>MÓDULO 5 – INSUMOS DIVERSOS</t>
  </si>
  <si>
    <t>INSUMOS DIVERSOS</t>
  </si>
  <si>
    <t xml:space="preserve">Insumo dos Uniformes </t>
  </si>
  <si>
    <t>Equipamentos e Ferramentas</t>
  </si>
  <si>
    <t>TOTAL DO MÓDULO 5</t>
  </si>
  <si>
    <t>MÓDULO 6 – CUSTOS INDIRETOS, TRIBUTOS E LUCRO</t>
  </si>
  <si>
    <t>CUSTOS INDIRETOS, TRIBUTOS E LUCRO</t>
  </si>
  <si>
    <t>Custos Indiretos</t>
  </si>
  <si>
    <t>Referência Acórdão 2622/2013 do TCU. Aplica-se a alíquota do CI sobre o total dos custos diretos (somatório dos módulos 1 a 5)</t>
  </si>
  <si>
    <t>Lucro</t>
  </si>
  <si>
    <t>Referência Acórdão 2622/2013 do TCU. Aplica-se a alíquota do lucro sobre o somatório entre Custos Diretos e Custos Indiretos</t>
  </si>
  <si>
    <t>TRIBUTOS</t>
  </si>
  <si>
    <t>C.1</t>
  </si>
  <si>
    <t xml:space="preserve">PIS </t>
  </si>
  <si>
    <t>(CD + CI + Lucro)/(1 – total de Impostos)) x Alíquota do PIS</t>
  </si>
  <si>
    <t>C.2</t>
  </si>
  <si>
    <t xml:space="preserve">COFINS </t>
  </si>
  <si>
    <t>(CD + CI + Lucro)/(1 – total de Impostos)) x Alíquota do COFINS</t>
  </si>
  <si>
    <t>C.3</t>
  </si>
  <si>
    <t>ISS</t>
  </si>
  <si>
    <t>(CD + CI + Lucro)/(1 – total de Impostos)) x Alíquota do ISSQN.</t>
  </si>
  <si>
    <t>TOTAL DO MÓDULO 6</t>
  </si>
  <si>
    <t>a)</t>
  </si>
  <si>
    <t>Tributos % = To = .............................................................</t>
  </si>
  <si>
    <t>b)</t>
  </si>
  <si>
    <t>(Total dos Módulos 1, 2, 3, 4 e 5+ Custos indiretos + lucro)= Po = ...................................</t>
  </si>
  <si>
    <t>c)</t>
  </si>
  <si>
    <t>Po / (1 - To) = P1 = ..............................................................................</t>
  </si>
  <si>
    <t>Valor dos Tributos = P1 - Po</t>
  </si>
  <si>
    <t>QUADRO RESUMO DO CUSTO POR EMPREGADO</t>
  </si>
  <si>
    <t>Mão-de-Obra vinculada à execução contratual (valor por empregado)</t>
  </si>
  <si>
    <t>Subtotal (A + B + C + D + E)</t>
  </si>
  <si>
    <t>PREÇO TOTAL POR EMPREGADO</t>
  </si>
  <si>
    <t>Categoria profissional: Oficial de Manutenção Predial</t>
  </si>
  <si>
    <t>Oficial de Manutenção Predial</t>
  </si>
  <si>
    <t>5143-25</t>
  </si>
  <si>
    <t>Categoria profissional: Mecânico de Refrigeração</t>
  </si>
  <si>
    <t>7257-05</t>
  </si>
  <si>
    <t>Mecânico de Refrigeração</t>
  </si>
  <si>
    <t>Referência SINAPI São Paulo Insumos - Março/2022</t>
  </si>
  <si>
    <t>Engenheiro Eletricista de Manutenção</t>
  </si>
  <si>
    <t>Horista</t>
  </si>
  <si>
    <t>2143-05</t>
  </si>
  <si>
    <t>Engenheiro Eletricista</t>
  </si>
  <si>
    <t>* A tabela SINAPI já inclui no valor da hora os encargos sociais e complementares do engenheiro horista, conforme Livro SINAPI Metodologias e Conceitos, 7ª Ed.</t>
  </si>
  <si>
    <t>2144-05</t>
  </si>
  <si>
    <t>Engenheiro Mecânico</t>
  </si>
  <si>
    <t>Valor remuneração para 4 horas mensais</t>
  </si>
  <si>
    <t>VALOR DE REFERÊNCIA - MANUTENÇÃO AR CONDICIONADO</t>
  </si>
  <si>
    <t xml:space="preserve">Marca </t>
  </si>
  <si>
    <t>Modelo</t>
  </si>
  <si>
    <t>Capacidade Btu’s</t>
  </si>
  <si>
    <t>Quantidade</t>
  </si>
  <si>
    <t>Ar Condicionado SJC</t>
  </si>
  <si>
    <t>Intra</t>
  </si>
  <si>
    <t>Rofran</t>
  </si>
  <si>
    <t>VALOR DE REFERÊNCIA</t>
  </si>
  <si>
    <t>Mensal Unitário</t>
  </si>
  <si>
    <t xml:space="preserve">Mensal Total </t>
  </si>
  <si>
    <t>Mensal Total</t>
  </si>
  <si>
    <t>Total (20 meses)</t>
  </si>
  <si>
    <t xml:space="preserve">TCL </t>
  </si>
  <si>
    <t>TAC-09CSA INV</t>
  </si>
  <si>
    <t xml:space="preserve">FUJITSU </t>
  </si>
  <si>
    <t xml:space="preserve">ASBA12JC </t>
  </si>
  <si>
    <t xml:space="preserve">PHILCO </t>
  </si>
  <si>
    <t xml:space="preserve">PAC12000IQFM4 </t>
  </si>
  <si>
    <t xml:space="preserve">TAC-18CSA INV </t>
  </si>
  <si>
    <t xml:space="preserve">CONSUL </t>
  </si>
  <si>
    <t>CBG22EBBNA</t>
  </si>
  <si>
    <t>AOBG30LFTB</t>
  </si>
  <si>
    <t xml:space="preserve">AOBG45LBTA </t>
  </si>
  <si>
    <t xml:space="preserve">LG </t>
  </si>
  <si>
    <t xml:space="preserve">AV-W60GM2P0 </t>
  </si>
  <si>
    <t>TOTAL</t>
  </si>
  <si>
    <t>Nº</t>
  </si>
  <si>
    <t>QNT</t>
  </si>
  <si>
    <t>R$ REF.</t>
  </si>
  <si>
    <t>R$ TOTAL</t>
  </si>
  <si>
    <t>Alicate bomba d'água 10"</t>
  </si>
  <si>
    <t>Alicate cortador, descascador e desencapador de fio</t>
  </si>
  <si>
    <t>Alicate de bico ½ cano reto 6”</t>
  </si>
  <si>
    <t>Alicate de corte diagonal 6”</t>
  </si>
  <si>
    <t>Alicate de pressão 10</t>
  </si>
  <si>
    <t>Alicate para prensar terminais p/ fios e cabos 0,5 - 6mm.</t>
  </si>
  <si>
    <t>Alicate p/ rebite 1/8", 3/32", 5/32" e 3/16"mm  manual</t>
  </si>
  <si>
    <t>Alicate universal 8”</t>
  </si>
  <si>
    <t>Alicate Voltímetro Amperímetro Digital Cat. III- 600 V</t>
  </si>
  <si>
    <t>Alicate crimpador RJ 45</t>
  </si>
  <si>
    <t>Arco de serra manual 12"</t>
  </si>
  <si>
    <t>Luximetro Digital Portátil Mod. ITLD 260</t>
  </si>
  <si>
    <t>Bancada de trabalho dobrável e portátil</t>
  </si>
  <si>
    <t>Bomba p/ Graxa manual com gatilho 500g</t>
  </si>
  <si>
    <t>Brocas Aço Rápido 1,0-10mm  (jogo)</t>
  </si>
  <si>
    <t>Caixa p/ ferramentas plástica - 19"</t>
  </si>
  <si>
    <t>Câmera Termográfica Profissional Digital para Serviços de Termografia em Quadros Elétricos</t>
  </si>
  <si>
    <t>Chave de fenda 7 peças (jogo)</t>
  </si>
  <si>
    <t>Chave Ajustável tipo Inglesa 15"</t>
  </si>
  <si>
    <t>Chave Ajustável tipo Inglesa 10"</t>
  </si>
  <si>
    <t>Chave Ajustável tipo Inglesa 8"</t>
  </si>
  <si>
    <t>Chave philips 5 peças (jogo)</t>
  </si>
  <si>
    <t>Morsa</t>
  </si>
  <si>
    <t>Chaves de grifo n° 08</t>
  </si>
  <si>
    <t>Chaves de grifo n° 10</t>
  </si>
  <si>
    <t>Chaves de grifo n° 14</t>
  </si>
  <si>
    <t>Chaves de grifo n° 18</t>
  </si>
  <si>
    <t>Chaves de grifo n° 24</t>
  </si>
  <si>
    <t>Chaves de grifo n° 36</t>
  </si>
  <si>
    <t>Colher de pedreiro</t>
  </si>
  <si>
    <t>Decapador para cabos de rede.</t>
  </si>
  <si>
    <t>Desentupidor de esgotos, pias, ralos e banheiras</t>
  </si>
  <si>
    <t>Detector de Tensão 90 a 1000V AC</t>
  </si>
  <si>
    <t>Cinto Segurança Paraquedista CG-770EP s/ Talabarte Ajuste total</t>
  </si>
  <si>
    <t>Cavalete de sinalização "EM MANUTENÇÃO"</t>
  </si>
  <si>
    <t xml:space="preserve">Escada de aluminio de 7 degraus </t>
  </si>
  <si>
    <t>Espatula 6cm</t>
  </si>
  <si>
    <t>Esquadro de aço 12"</t>
  </si>
  <si>
    <t>Estilete - cartucho com 10 lâminas</t>
  </si>
  <si>
    <t>Estilete profissional de metal (com lâmina de 18 mm para trabalho pesado com empunhadura de borracha anti-deslizante)</t>
  </si>
  <si>
    <t>Fasímetro</t>
  </si>
  <si>
    <t>Ferro de solda 100W.</t>
  </si>
  <si>
    <t>Formões (jogo) – 3/8”, ½”, 5/8”, ¾”</t>
  </si>
  <si>
    <t>Furadeira elétrica, mandril até 3/8”</t>
  </si>
  <si>
    <t>Jogo completo de pintura, com pincel, Rolo e bandeja</t>
  </si>
  <si>
    <t>Jogo de chave ALLEN 1,5mm à 10mm.</t>
  </si>
  <si>
    <t>Jogo de Soquetes Sextavados 1/2  Profissional (Aço cromo vanádio temperado-Encaixe de 1/2"  20 Soquetes Sextavados (mm): 10 à 32mm) - 21 peças</t>
  </si>
  <si>
    <t>Jogo de Chaves Combinada com Catraca</t>
  </si>
  <si>
    <t>Jogo de chaves combinadas 6 à 32mm.</t>
  </si>
  <si>
    <t>Jogo de chaves Tork reta de T4 à T30.</t>
  </si>
  <si>
    <t>Jogo de Pincéis para retoque</t>
  </si>
  <si>
    <t>Lanterna recarregável de 07 leds.</t>
  </si>
  <si>
    <t>Lima chata 8”</t>
  </si>
  <si>
    <t>Lima redonda 6” bastarda</t>
  </si>
  <si>
    <t>Luvas PVC Verde - Cimento</t>
  </si>
  <si>
    <t>Luva Anticorte em Fibra Dynema M Rev. PU Palma/Dedos Preto</t>
  </si>
  <si>
    <t>Localizador de cabos de rede (UTP 4 pares) e de cabos de telefonia.</t>
  </si>
  <si>
    <t>Luvas p/ eletricista de 500V classe 00 tipo 2</t>
  </si>
  <si>
    <t xml:space="preserve">Máquina de solda (elétrica) </t>
  </si>
  <si>
    <t>Máquina Desentupidora Elétrica - TL50 - Bi-volt  - Motor de 1/2 HP.</t>
  </si>
  <si>
    <t>Martelo unha</t>
  </si>
  <si>
    <t>Mascara protetora de solda</t>
  </si>
  <si>
    <t>Nível Alumínio 300mm - 2 Bolhas Cabo Metálico Base Magnética</t>
  </si>
  <si>
    <t>Parafusadeira velocidade variável 3/8''  12V, Bosh.</t>
  </si>
  <si>
    <t>Passa fios de Polipropileno/Aço Reforçado 20 metros</t>
  </si>
  <si>
    <t>Punch Down para inserção em terminais de rede RJ45.</t>
  </si>
  <si>
    <t>Rádio portátil talkabout ou similar com bateria recarregável o par</t>
  </si>
  <si>
    <t>Rolo p/ pintura</t>
  </si>
  <si>
    <t>Sugador de solda</t>
  </si>
  <si>
    <t>Conjunto de solda Oxigênio e acetileno com maçarico e medidores</t>
  </si>
  <si>
    <t>Aplicador de Silicone</t>
  </si>
  <si>
    <t>Serrote de 20”</t>
  </si>
  <si>
    <t>Talhadeira 150 x 16mm</t>
  </si>
  <si>
    <t>Termômetro Digital Mira Laser 62 Max -10 ~ + 500ºC c/ emissividade ajustável</t>
  </si>
  <si>
    <t>Tesoura multiuso 8"</t>
  </si>
  <si>
    <t>Trena com trava, 5m 3/4"</t>
  </si>
  <si>
    <t>Martelo de Borracha</t>
  </si>
  <si>
    <t>Marreta 1 kg</t>
  </si>
  <si>
    <t>Torquesa 30 cm</t>
  </si>
  <si>
    <t>Extensão Elétrica 30 m</t>
  </si>
  <si>
    <t>Relógio de ponto com biometria homologado pelo MT</t>
  </si>
  <si>
    <t>ESTIMATIVA DE GASTO TOTAL    </t>
  </si>
  <si>
    <t>1 - Manutenção equipamentos (gasto mensal) - adotado 0,5% a.m. (*)</t>
  </si>
  <si>
    <t>Valor residual</t>
  </si>
  <si>
    <t>2 - Depreciação de equiptos. (gasto mensal) adotado 8 anos e residual=20% (**)</t>
  </si>
  <si>
    <t>TOTAL MENSAL</t>
  </si>
  <si>
    <t>Quantidade de empregados p/ divisão (***)</t>
  </si>
  <si>
    <t>VALOR POR FUNCIONÁRIO A SER APLICADO NA PCFP</t>
  </si>
  <si>
    <r>
      <rPr>
        <sz val="8"/>
        <rFont val="Calibri"/>
        <family val="2"/>
        <charset val="1"/>
      </rPr>
      <t>* O coeficiente adotado foi de 6x10</t>
    </r>
    <r>
      <rPr>
        <vertAlign val="superscript"/>
        <sz val="8"/>
        <rFont val="Calibri"/>
        <family val="2"/>
        <charset val="1"/>
      </rPr>
      <t>-5</t>
    </r>
    <r>
      <rPr>
        <sz val="8"/>
        <rFont val="Calibri"/>
        <family val="2"/>
        <charset val="1"/>
      </rPr>
      <t>, com base no TCPO (Ed. Pini) para equipamentos de pequeno porte (~1,5HP), com utilização, em média, de 83 h/mês.</t>
    </r>
  </si>
  <si>
    <t>** A Depreciação foi obtida pelo (Valor inicial – Valor residual)/Vida útil em meses de utilização</t>
  </si>
  <si>
    <t>Descrição</t>
  </si>
  <si>
    <t>Qtd. Semestral (und)</t>
  </si>
  <si>
    <t>Custo unitário de referência</t>
  </si>
  <si>
    <t>Custo total de referência</t>
  </si>
  <si>
    <t>Camisa polo masculina</t>
  </si>
  <si>
    <t>Calça jeans</t>
  </si>
  <si>
    <t>Meia</t>
  </si>
  <si>
    <t>Cinto de couro</t>
  </si>
  <si>
    <t>Bota com solado de borracha</t>
  </si>
  <si>
    <t>Jaleco em brim com emblema da empresa</t>
  </si>
  <si>
    <t>Crachá com foto</t>
  </si>
  <si>
    <t>VALOR POR POSTO (mensal)</t>
  </si>
  <si>
    <t>ANEXO B.IV BENEFÍCIOS E DESPESAS INDIRETAS (BDI)</t>
  </si>
  <si>
    <t>BDI CONVENCIONAL</t>
  </si>
  <si>
    <t>BDI DIFERENCIADO PARA MATERIAIS</t>
  </si>
  <si>
    <t>COMPOSIÇÃO DO BDI</t>
  </si>
  <si>
    <t>Médio</t>
  </si>
  <si>
    <t>Despesas indiretas (especificar cada item e %)</t>
  </si>
  <si>
    <t xml:space="preserve">Administração central </t>
  </si>
  <si>
    <t xml:space="preserve">Seguro + Garantia </t>
  </si>
  <si>
    <t>A.3</t>
  </si>
  <si>
    <t xml:space="preserve">Risco </t>
  </si>
  <si>
    <t>Total do grupo A</t>
  </si>
  <si>
    <t>Bonificação</t>
  </si>
  <si>
    <t>Total do grupo B</t>
  </si>
  <si>
    <t>Impostos</t>
  </si>
  <si>
    <t>PIS</t>
  </si>
  <si>
    <t>COFINS</t>
  </si>
  <si>
    <t>ISSQN</t>
  </si>
  <si>
    <t>C.4</t>
  </si>
  <si>
    <t>CPRB - desoneração da folha</t>
  </si>
  <si>
    <t>Total do grupo C</t>
  </si>
  <si>
    <t>Despesas Financeiras (F)</t>
  </si>
  <si>
    <t>Despesas Financeiras (F) (especificar cada item e %)</t>
  </si>
  <si>
    <t>Total do Grupo D</t>
  </si>
  <si>
    <t xml:space="preserve">TOTAL GERAL </t>
  </si>
  <si>
    <t xml:space="preserve">Para definição do percentual de BDI foi utilizado os valores médios definidos para construção de edifícios no Acórdão 2.622/2013-P, tendo em vista o disposto no item 332 do referido instrumento que agrupou no mesmo BDI obras de construção e reforma de edifícios. </t>
  </si>
  <si>
    <t xml:space="preserve">Para definição do percentual de BDI foi utilizado os valores médios definidos para mero fornecimento de materiais e equipamentos no Acórdão 2.622/2013-P. </t>
  </si>
  <si>
    <t>ANEXO B.V -  MATERIAIS DE CONSUMO E REPOSIÇÃO</t>
  </si>
  <si>
    <t>UNID</t>
  </si>
  <si>
    <t>QNT/ANO</t>
  </si>
  <si>
    <t xml:space="preserve">R$ UNIT </t>
  </si>
  <si>
    <t xml:space="preserve">R$ TOTAL </t>
  </si>
  <si>
    <t>CÓDIGO</t>
  </si>
  <si>
    <t>FONTE DE REFERÊNCIA</t>
  </si>
  <si>
    <t>1.</t>
  </si>
  <si>
    <t>DIVERSOS</t>
  </si>
  <si>
    <t>1.1</t>
  </si>
  <si>
    <t>ADESIVO ACRILICO/COLA DE CONTATO</t>
  </si>
  <si>
    <t>KG</t>
  </si>
  <si>
    <t>SINAPI - INSUMOS 03/2022</t>
  </si>
  <si>
    <t>1.2</t>
  </si>
  <si>
    <t>PATCH CORD, CATEGORIA 6, EXTENSAO DE 1,50 M</t>
  </si>
  <si>
    <t>UND</t>
  </si>
  <si>
    <t>1.3</t>
  </si>
  <si>
    <t>PATCH CORD, CATEGORIA 6, EXTENSAO DE 2,50 M</t>
  </si>
  <si>
    <t>1.4</t>
  </si>
  <si>
    <t>CADEADO SIMPLES/COMUM, EM LATAO MACICO CROMADO, LARGURA DE 25 MM, HASTE DE ACO TEMPERADO, CEMENTADO (NAO LONGA), INCLUI 2 CHAVES</t>
  </si>
  <si>
    <t>1.5</t>
  </si>
  <si>
    <t xml:space="preserve">CONECTOR FÊMEA RJ-45 CAT 6 FURUKAWA OU SIMILAR </t>
  </si>
  <si>
    <t>1.6</t>
  </si>
  <si>
    <t>CONECTOR MACHO RJ-45 CAT 6 FURUKAWA OU SIMILAR, COM CAPA</t>
  </si>
  <si>
    <t>1.7</t>
  </si>
  <si>
    <t>ESPUMA EXPANSIVA DE POLIURETANO, APLICACAO MANUAL - 500 ML</t>
  </si>
  <si>
    <t>1.8</t>
  </si>
  <si>
    <t>FITA ISOLANTE ADESIVA ANTICHAMA, USO ATE 750 V, EM ROLO DE 19 MM X 20 M</t>
  </si>
  <si>
    <t>RL</t>
  </si>
  <si>
    <t>1.9</t>
  </si>
  <si>
    <t>FITA ISOLANTE DE BORRACHA AUTOFUSAO, USO ATE 69 KV (ALTA TENSAO)</t>
  </si>
  <si>
    <t>M</t>
  </si>
  <si>
    <t>1.10</t>
  </si>
  <si>
    <t>FITA VEDA ROSCA EM ROLOS DE 18 MM X 50 M (L X C)</t>
  </si>
  <si>
    <t>1.11</t>
  </si>
  <si>
    <t>GESSO EM PO PARA REVESTIMENTOS/MOLDURAS/SANCAS</t>
  </si>
  <si>
    <t>1.12</t>
  </si>
  <si>
    <t>GRAXA LUBRIFICANTE</t>
  </si>
  <si>
    <t>1.13</t>
  </si>
  <si>
    <t>LIXA EM FOLHA PARA FERRO, NUMERO 150</t>
  </si>
  <si>
    <t>1.14</t>
  </si>
  <si>
    <t>LIXA EM FOLHA PARA PAREDE OU MADEIRA, NUMERO 120 (COR VERMELHA)</t>
  </si>
  <si>
    <t>1.15</t>
  </si>
  <si>
    <t>MASSA EPOXI BICOMPONENTE PARA REPAROS</t>
  </si>
  <si>
    <t>1.16</t>
  </si>
  <si>
    <t>MASSA PLASTICA PARA MARMORE/GRANITO</t>
  </si>
  <si>
    <t>1.17</t>
  </si>
  <si>
    <t>PARAFUSO DE ACO TIPO CHUMBADOR PARABOLT, DIAMETRO 1/2", COMPRIMENTO 75 MM</t>
  </si>
  <si>
    <t>1.18</t>
  </si>
  <si>
    <t>PARAFUSO DE ACO ZINCADO COM ROSCA SOBERBA, CABECA CHATA E FENDA SIMPLES, DIAMETRO 4,2 MM, COMPRIMENTO * 32 * MM</t>
  </si>
  <si>
    <t>1.19</t>
  </si>
  <si>
    <t>PLACA DE GESSO PARA FORRO, DE *60 X 60* CM E ESPESSURA DE 12 MM (30 MM NAS BORDAS) SEM COLOCACAO</t>
  </si>
  <si>
    <t>M²</t>
  </si>
  <si>
    <t>1.20</t>
  </si>
  <si>
    <t>REBITE DE ALUMINIO VAZADO DE REPUXO, 3,2 X 8 MM (1KG = 1025 UNIDADES)</t>
  </si>
  <si>
    <t>1.21</t>
  </si>
  <si>
    <t>SELANTE ELASTICO MONOCOMPONENTE A BASE DE POLIURETANO PARA JUNTAS DIVERSAS - 310ML</t>
  </si>
  <si>
    <t>1.22</t>
  </si>
  <si>
    <t>SILICONE ACETICO USO GERAL INCOLOR 280 G  TRANSPARENTE - 280G</t>
  </si>
  <si>
    <t>1.23</t>
  </si>
  <si>
    <t>BUCHA NYLON S-10</t>
  </si>
  <si>
    <t xml:space="preserve">UN    </t>
  </si>
  <si>
    <t>1.24</t>
  </si>
  <si>
    <t>BUCHA NYLON S-6</t>
  </si>
  <si>
    <t>1.25</t>
  </si>
  <si>
    <t>BUCHA NYLON S-8</t>
  </si>
  <si>
    <t>1.26</t>
  </si>
  <si>
    <t>FECHADURA DE EMBUTIR PARA PORTA INTERNA, TIPO GORGES (CHAVE GRANDE), MAQUINA 40 MM, MACANETA ALAVANCA E ESPELHO EM METAL CROMADO - NIVEL SEGURANCA MEDIO - COMPLETA</t>
  </si>
  <si>
    <t xml:space="preserve">CJ    </t>
  </si>
  <si>
    <t>1.27</t>
  </si>
  <si>
    <t>MOLA FECHA PORTA P/ PORTA C/ LARGURA ATE 90CM</t>
  </si>
  <si>
    <t>1.28</t>
  </si>
  <si>
    <t>PARAFUSO DRY WALL, EM ACO ZINCADO, CABECA LENTILHA E PONTA AGULHA (LA), LARGURA 4,2 MM, COMPRIMENTO 13 MM</t>
  </si>
  <si>
    <t>1.29</t>
  </si>
  <si>
    <t>PARAFUSO ROSCA SOBERBA ZINCADO CABECA CHATA FENDA SIMPLES 3,5 X 25 MM (1 ")</t>
  </si>
  <si>
    <t>1.30</t>
  </si>
  <si>
    <t>PARAFUSO ROSCA SOBERBA ZINCADO CABECA CHATA FENDA SIMPLES 4,8 X 40 MM (1.1/2 ")</t>
  </si>
  <si>
    <t>1.31</t>
  </si>
  <si>
    <t>PARAFUSO ROSCA SOBERBA ZINCADO CABECA CHATA FENDA SIMPLES 5,5 X 50 MM (2 ")</t>
  </si>
  <si>
    <t>1.32</t>
  </si>
  <si>
    <t>PARAFUSO ZINCADO, SEXTAVADO, COM ROSCA INTEIRA, DIAMETRO 1/4", COMPRIMENTO 1/2"</t>
  </si>
  <si>
    <t>1.33</t>
  </si>
  <si>
    <t>ROLO DE LA DE CARNEIRO 23 CM (SEM CABO)</t>
  </si>
  <si>
    <t>UN</t>
  </si>
  <si>
    <t>1.34</t>
  </si>
  <si>
    <t>BUCHA DE NYLON SEM ABA S10, COM PARAFUSO DE 6,10 X 65 MM EM ACO ZINCADO COM ROSCA SOBERBA, CABECA CHATA E FENDA PHILLIPS</t>
  </si>
  <si>
    <t>1.35</t>
  </si>
  <si>
    <t>BUCHA DE NYLON SEM ABA S12, COM PARAFUSO DE 5/16" X 80 MM EM ACO ZINCADO COM ROSCA SOBERBA E CABECA SEXTAVADA</t>
  </si>
  <si>
    <t>1.36</t>
  </si>
  <si>
    <t>BUCHA DE NYLON SEM ABA S4</t>
  </si>
  <si>
    <t>1.37</t>
  </si>
  <si>
    <t>BUCHA DE NYLON SEM ABA S5</t>
  </si>
  <si>
    <t>1.38</t>
  </si>
  <si>
    <t>BUCHA DE NYLON SEM ABA S6, COM PARAFUSO DE 4,20 X 40 MM EM ACO ZINCADO COM</t>
  </si>
  <si>
    <t>1.39</t>
  </si>
  <si>
    <t>BUCHA DE NYLON SEM ABA S8, COM PARAFUSO DE 4,80 X 50 MM EM ACO ZINCADO COM ROSCA SOBERBA, CABECA CHATA E FENDA PHILLIPS</t>
  </si>
  <si>
    <t>1.40</t>
  </si>
  <si>
    <t>BATERIA 18 OU 17 AH, 12VDC (PARA NO-BREAK)</t>
  </si>
  <si>
    <t>Pesquisa de Mercado</t>
  </si>
  <si>
    <t>1.41</t>
  </si>
  <si>
    <t>SPRAY DESENGRIPANTE E ANTIFERRUGEM (300 ML)</t>
  </si>
  <si>
    <t>1.42</t>
  </si>
  <si>
    <t>SPRAY LIMPA CONTATO (DE 210 A 300 ML)</t>
  </si>
  <si>
    <t>1.43</t>
  </si>
  <si>
    <t>FITA ADESIVA DUPLA FACE 12,7MM X 6,3 M - SCOTCH - 3M OU SIMILAR</t>
  </si>
  <si>
    <t>1.44</t>
  </si>
  <si>
    <t>FITA ADESIVA SILVER TAPE (3M) 45MMX5M</t>
  </si>
  <si>
    <t>1.45</t>
  </si>
  <si>
    <t>ETIQUETA DE SINALIZAÇÃO 5X25 127V OU 220V (PCT COM 16)</t>
  </si>
  <si>
    <t>1.46</t>
  </si>
  <si>
    <t>SODA CAUSTICA</t>
  </si>
  <si>
    <t>1.47</t>
  </si>
  <si>
    <t>SUPORTE UNIVERSAL PARA PROJETOR (PRETO OU BRANCO), DE TETO (SUPORTA MIN DE 8 KG), AÇO CARBONO, DISTANCIA DO TETO MÍNIMA DE 17CM, PERMITE ROTAÇÃO HORIZONTAL E VERTICAL DO PROJETOR</t>
  </si>
  <si>
    <t>1.48</t>
  </si>
  <si>
    <t>SUPORTE DE TV</t>
  </si>
  <si>
    <t>1.49</t>
  </si>
  <si>
    <t>CÂMERA CFTV</t>
  </si>
  <si>
    <t xml:space="preserve">Subtotal Diversos </t>
  </si>
  <si>
    <t>2.</t>
  </si>
  <si>
    <t>ELÉTRICA</t>
  </si>
  <si>
    <t>ABRACADEIRA DE LATAO PARA FIXACAO DE CABO PARA-RAIO, DIMENSOES 32 X 24 X 24 MM</t>
  </si>
  <si>
    <t>ABRACADEIRA DE NYLON PARA AMARRACAO DE CABOS, COMPRIMENTO DE *230* X *7,6* MM</t>
  </si>
  <si>
    <t>ABRACADEIRA DE NYLON PARA AMARRACAO DE CABOS, COMPRIMENTO DE 100 X 2,5 MM</t>
  </si>
  <si>
    <t>2.4</t>
  </si>
  <si>
    <t>ABRACADEIRA DE NYLON PARA AMARRACAO DE CABOS, COMPRIMENTO DE 150 X *3,6* MM</t>
  </si>
  <si>
    <t>2.5</t>
  </si>
  <si>
    <t>ABRACADEIRA DE NYLON PARA AMARRACAO DE CABOS, COMPRIMENTO DE 200 X *4,6* MM</t>
  </si>
  <si>
    <t>2.6</t>
  </si>
  <si>
    <t>ABRACADEIRA EM ACO PARA AMARRACAO DE ELETRODUTOS, TIPO D, COM 1" E PARAFUSO DE FIXACAO</t>
  </si>
  <si>
    <t>2.7</t>
  </si>
  <si>
    <t>ABRACADEIRA EM ACO PARA AMARRACAO DE ELETRODUTOS, TIPO D, COM 1/2" E PARAFUSO DE FIXACAO</t>
  </si>
  <si>
    <t>2.8</t>
  </si>
  <si>
    <t>ABRACADEIRA PVC, PARA CALHA PLUVIAL, DIAMETRO ENTRE 80 E 100 MM, PARA DRENAGEM PREDIAL</t>
  </si>
  <si>
    <t>2.9</t>
  </si>
  <si>
    <t>ABRACADEIRA, GALVANIZADA/ZINCADA, ROSCA SEM FIM, PARAFUSO INOX, LARGURA FITA *12,6 A *14 MM, D = 2" A 2 1/2"</t>
  </si>
  <si>
    <t>2.10</t>
  </si>
  <si>
    <t>CABO DE COBRE ISOLAMENTO ANTI-CHAMA 0,6/1KV 16MM2 (1 CONDUTOR) TP SINTENAX PIRELLI OU EQUIV</t>
  </si>
  <si>
    <t xml:space="preserve">M     </t>
  </si>
  <si>
    <t>2.11</t>
  </si>
  <si>
    <t>ESPELHO / PLACA DE 2 POSTOS 4" X 4", PARA INSTALACAO DE TOMADAS E INTERRUPTORES</t>
  </si>
  <si>
    <t>2.12</t>
  </si>
  <si>
    <t>CABO DE COBRE ISOLAMENTO ANTI-CHAMA 450/750V 2,5MM2, TP PIRASTIC PIRELLI OU EQUIV</t>
  </si>
  <si>
    <t>2.13</t>
  </si>
  <si>
    <t>CABO MULTIPOLAR DE COBRE, FLEXIVEL, CLASSE 4 OU 5, ISOLACAO EM HEPR, COBERTURA EM PVC-ST2, ANTICHAMA BWF-B, 0,6/1 KV, 3 CONDUTORES DE 4 MM²</t>
  </si>
  <si>
    <t>2.14</t>
  </si>
  <si>
    <t>DISJUNTOR TIPO NEMA, BIPOLAR 10 ATE 50A</t>
  </si>
  <si>
    <t>2.15</t>
  </si>
  <si>
    <t>ELETRODUTO PVC FLEXIVEL CORRUGADO 16MM TIPO TIGREFLEX OU EQUIV</t>
  </si>
  <si>
    <t>2.16</t>
  </si>
  <si>
    <t>ELETRODUTO PVC FLEXIVEL CORRUGADO 20MM TIPO TIGREFLEX OU EQUIV</t>
  </si>
  <si>
    <t>2.17</t>
  </si>
  <si>
    <t>CABO DE COBRE, FLEXIVEL, CLASSE 4 OU 5, ISOLACAO EM PVC/A, 450/750V, ANTICHAMA BWF-B, 0,75 MM2</t>
  </si>
  <si>
    <t>2.18</t>
  </si>
  <si>
    <t xml:space="preserve">CABO DE COBRE, FLEXIVEL, CLASSE 4 OU 5, ISOLACAO EM PVC/A, 450/750V, ANTICHAMA BWF-B, 1,5 MM2 </t>
  </si>
  <si>
    <t>2.19</t>
  </si>
  <si>
    <t xml:space="preserve">CABO DE COBRE, FLEXIVEL, CLASSE 4 OU 5, ISOLACAO EM PVC/A, 450/750V, ANTICHAMA BWF-B, 10 MM2 </t>
  </si>
  <si>
    <t>2.20</t>
  </si>
  <si>
    <t>CABO DE COBRE, FLEXIVEL, CLASSE 4 OU 5, ISOLACAO EM PVC/A, 450/750V, ANTICHAMA BWF-B, 2,5MM2</t>
  </si>
  <si>
    <t>2.21</t>
  </si>
  <si>
    <t xml:space="preserve">CABO DE COBRE, FLEXIVEL, CLASSE 4 OU 5, ISOLACAO EM PVC/A, 450/750V, ANTICHAMA BWF-B, 4 MM2 </t>
  </si>
  <si>
    <t>2.22</t>
  </si>
  <si>
    <t xml:space="preserve">CABO DE COBRE, FLEXIVEL, CLASSE 4 OU 5, ISOLACAO EM PVC/A, 450/750V, ANTICHAMA BWF-B, 6 MM2 </t>
  </si>
  <si>
    <t>2.23</t>
  </si>
  <si>
    <t>TOMADA 2P+T 10A, 250V, CONJUNTO MONTADO PARA EMBUTIR 4" X 2" (PLACA + SUPORTE + MODULO)</t>
  </si>
  <si>
    <t>2.24</t>
  </si>
  <si>
    <t>TOMADA 2P+T 10A, 250V, CONJUNTO MONTADO PARA SOBREPOR 4" X 2" (CAIXA + MODULO)</t>
  </si>
  <si>
    <t>2.25</t>
  </si>
  <si>
    <t>TOMADA 2P+T 20A 250V, CONJUNTO MONTADO PARA EMBUTIR 4" X 2" (PLACA + SUPORTE + MODULO)</t>
  </si>
  <si>
    <t>2.26</t>
  </si>
  <si>
    <t>TOMADAS (2 MODULOS) 2P+T 10A, 250V, CONJUNTO MONTADO PARA EMBUTIR 4" X 2" (PLACA + SUPORTE + MODULOS)</t>
  </si>
  <si>
    <t>2.27</t>
  </si>
  <si>
    <t>INTERRUPTOR PARALELO + TOMADA 2P+T 10A, 250V, CONJUNTO MONTADO PARA EMBUTIR 4" X 2" (PLACA + SUPORTE + MODULOS)</t>
  </si>
  <si>
    <t>2.28</t>
  </si>
  <si>
    <t>INTERRUPTOR PARALELO 10A, 250V, CONJUNTO MONTADO PARA EMBUTIR 4" X 2" (PLACA + SUPORTE + MODULO)</t>
  </si>
  <si>
    <t>2.29</t>
  </si>
  <si>
    <t>INTERRUPTOR SIMPLES + INTERRUPTOR PARALELO + TOMADA 2P+T 10A, 250V, CONJUNTO MONTADO PARA EMBUTIR 4" X 2" (PLACA + SUPORTE + MODULOS)</t>
  </si>
  <si>
    <t>2.30</t>
  </si>
  <si>
    <t>INTERRUPTOR SIMPLES + INTERRUPTOR PARALELO 10A, 250V, CONJUNTO MONTADO PARA EMBUTIR 4" X 2" (PLACA + SUPORTE + MODULOS)</t>
  </si>
  <si>
    <t>2.31</t>
  </si>
  <si>
    <t>INTERRUPTOR SIMPLES + TOMADA 2P+T 10A, 250V, CONJUNTO MONTADO PARA EMBUTIR 4" X 2" (PLACA + SUPORTE + MODULOS)</t>
  </si>
  <si>
    <t>2.32</t>
  </si>
  <si>
    <t>INTERRUPTORES SIMPLES (2 MODULOS) 10A, 250V, CONJUNTO MONTADO PARA EMBUTIR 4" X 2" (PLACA + SUPORTE + MODULOS)</t>
  </si>
  <si>
    <t>2.33</t>
  </si>
  <si>
    <t>INTERRUPTORES SIMPLES (3 MODULOS) 10A, 250V, CONJUNTO MONTADO PARA EMBUTIR 4" X 2" (PLACA + SUPORTE + MODULOS)</t>
  </si>
  <si>
    <t>2.34</t>
  </si>
  <si>
    <t>INTERRUPTORES PARALELOS (2 MODULOS) 10A, 250V, CONJUNTO MONTADO PARA EMBUTIR 4" X 2" (PLACA + SUPORTE + MODULOS)</t>
  </si>
  <si>
    <t>2.35</t>
  </si>
  <si>
    <t>INTERRUPTORES PARALELOS (3 MODULOS) 10A, 250V, CONJUNTO MONTADO PARA EMBUTIR 4" X 2" (PLACA + SUPORTE + MODULO)</t>
  </si>
  <si>
    <t>2.36</t>
  </si>
  <si>
    <t>INTERRUPTORES SIMPLES (2 MODULOS) + TOMADA 2P+T 10A, 250V, CONJUNTO MONTADO PARA EMBUTIR 4" X 2" (PLACA + SUPORTE + MODULOS)</t>
  </si>
  <si>
    <t>2.37</t>
  </si>
  <si>
    <t>INTERRUPTOR SIMPLES 10A, 250V, CONJUNTO MONTADO PARA EMBUTIR 4" X 2" (PLACA + SUPORTE + MODULO)</t>
  </si>
  <si>
    <t>2.38</t>
  </si>
  <si>
    <t>CONTATOR TRIPOLAR DE POTENCIA 12A (500V) CATEGORIA AC-2 E AC-3</t>
  </si>
  <si>
    <t>2.39</t>
  </si>
  <si>
    <t xml:space="preserve">CONTATOR TRIPOLAR, CORRENTE DE *22* A, TENSAO NOMINAL DE *500* V, CATEGORIA AC-2 E AC-3 </t>
  </si>
  <si>
    <t>2.40</t>
  </si>
  <si>
    <t xml:space="preserve">CONTATOR TRIPOLAR, CORRENTE DE 25 A, TENSAO NOMINAL DE *500* V, CATEGORIA AC-2  AC-3 </t>
  </si>
  <si>
    <t>2.41</t>
  </si>
  <si>
    <t xml:space="preserve">CONTATOR TRIPOLAR, CORRENTE DE 32 A, TENSAO NOMINAL DE *500* V, CATEGORIA AC-2 E AC-3 </t>
  </si>
  <si>
    <t>2.42</t>
  </si>
  <si>
    <t xml:space="preserve">CONTATOR TRIPOLAR, CORRENTE DE 45 A, TENSAO NOMINAL DE *500* V, CATEGORIA AC-2 E AC-3 </t>
  </si>
  <si>
    <t>2.43</t>
  </si>
  <si>
    <t xml:space="preserve">CONTATOR TRIPOLAR, CORRENTE DE 75 A, TENSAO NOMINAL DE *500* V, CATEGORIA AC-2 E AC-3 </t>
  </si>
  <si>
    <t>2.44</t>
  </si>
  <si>
    <t xml:space="preserve">CONTATOR TRIPOLAR, CORRENTE DE 9 A, TENSAO NOMINAL DE *500* V, CATEGORIA AC-2 E AC-3 </t>
  </si>
  <si>
    <t>2.45</t>
  </si>
  <si>
    <t>DISJUNTOR TIPO DIN / IEC, MONOPOLAR DE 40 ATE 50A</t>
  </si>
  <si>
    <t>2.46</t>
  </si>
  <si>
    <t>DISJUNTOR TIPO DIN/IEC, BIPOLAR 40 ATE 50A</t>
  </si>
  <si>
    <t>2.47</t>
  </si>
  <si>
    <t>DISJUNTOR TIPO DIN/IEC, BIPOLAR 63 A</t>
  </si>
  <si>
    <t>2.48</t>
  </si>
  <si>
    <t>DISJUNTOR TIPO DIN/IEC, BIPOLAR DE 6 ATE 32A</t>
  </si>
  <si>
    <t>2.49</t>
  </si>
  <si>
    <t>DISJUNTOR TIPO DIN/IEC, MONOPOLAR DE 6 ATE 32A</t>
  </si>
  <si>
    <t>2.50</t>
  </si>
  <si>
    <t>DISJUNTOR TIPO DIN/IEC, MONOPOLAR DE 63 A</t>
  </si>
  <si>
    <t>2.51</t>
  </si>
  <si>
    <t>DISJUNTOR TIPO DIN/IEC, TRIPOLAR DE 10 ATE 50A</t>
  </si>
  <si>
    <t>2.52</t>
  </si>
  <si>
    <t>DISJUNTOR TIPO DIN/IEC, TRIPOLAR DE 63A</t>
  </si>
  <si>
    <t>2.53</t>
  </si>
  <si>
    <t>DISPOSITIVO DR, 2 POLOS, SENSIBILIDADE DE 30 MA, CORRENTE DE 40 A, TIPO AC</t>
  </si>
  <si>
    <t>2.54</t>
  </si>
  <si>
    <t>DISPOSITIVO DR, 4 POLOS, SENSIBILIDADE DE 30 MA, CORRENTE DE 40 A, TIPO AC</t>
  </si>
  <si>
    <t>2.55</t>
  </si>
  <si>
    <t>LAMPADA LED 10 W BIVOLT BRANCA, FORMATO TRADICIONAL (BASE E27)</t>
  </si>
  <si>
    <t>2.56</t>
  </si>
  <si>
    <t>LAMPADA LED TIPO DICROICA BIVOLT, LUZ BRANCA, 5W, BASE GU10</t>
  </si>
  <si>
    <t>2.57</t>
  </si>
  <si>
    <t>INTERRUPTOR BIPOLAR SIMPLES 10 A, 250 V (APENAS MODULO)</t>
  </si>
  <si>
    <t>2.58</t>
  </si>
  <si>
    <t>INTERRUPTOR INTERMEDIARIO 10 A, 250 V (APENAS MODULO)</t>
  </si>
  <si>
    <t>2.59</t>
  </si>
  <si>
    <t>INTERRUPTOR PARALELO 10A, 250V (APENAS MODULO)</t>
  </si>
  <si>
    <t>2.60</t>
  </si>
  <si>
    <t>INTERRUPTOR SIMPLES 10A, 250V (APENAS MODULO)</t>
  </si>
  <si>
    <t>2.61</t>
  </si>
  <si>
    <t>TOMADA PARA ANTENA DE TV, CABO COAXIAL DE 9 MM (APENAS MODULO)</t>
  </si>
  <si>
    <t>2.62</t>
  </si>
  <si>
    <t>TOMADA RJ11, 2 FIOS (APENAS MODULO)</t>
  </si>
  <si>
    <t>2.63</t>
  </si>
  <si>
    <t>TOMADA RJ45, 8 FIOS, CAT 5E (APENAS MODULO)</t>
  </si>
  <si>
    <t>2.64</t>
  </si>
  <si>
    <t>TOMADA 2P+T 10A, 250V  (APENAS MODULO)</t>
  </si>
  <si>
    <t>2.65</t>
  </si>
  <si>
    <t>TOMADA 2P+T 20A, 250V  (APENAS MODULO)</t>
  </si>
  <si>
    <t>2.66</t>
  </si>
  <si>
    <t>RELE FOTOELETRICO INTERNO E EXTERNO BIVOLT 1000 W, DE CONECTOR, SEM BASE</t>
  </si>
  <si>
    <t>2.67</t>
  </si>
  <si>
    <t>SINALIZADOR NOTURNO SIMPLES PARA PARA-RAIOS, SEM RELE FOTOELETRICO</t>
  </si>
  <si>
    <t>2.68</t>
  </si>
  <si>
    <t>SOQUETE DE BAQUELITE BASE E27, PARA LAMPADAS</t>
  </si>
  <si>
    <t>2.69</t>
  </si>
  <si>
    <t>SOQUETE DE PORCELANA BASE E27, FIXO DE TETO, PARA LAMPADAS</t>
  </si>
  <si>
    <t>2.70</t>
  </si>
  <si>
    <t>TERMINAL A COMPRESSAO EM COBRE ESTANHADO PARA CABO 10 MM2, 1 FURO E 1 UN 1,02 COMPRESSAO, PARA PARAFUSO DE FIXACAO M6</t>
  </si>
  <si>
    <t>2.71</t>
  </si>
  <si>
    <t>TERMINAL A COMPRESSAO EM COBRE ESTANHADO PARA CABO 2,5 MM2, 1 FURO E 1 UN 0,61 COMPRESSAO, PARA PARAFUSO DE FIXACAO M5</t>
  </si>
  <si>
    <t>2.72</t>
  </si>
  <si>
    <t>TERMINAL A COMPRESSAO EM COBRE ESTANHADO PARA CABO 4 MM2, 1 FURO E 1 COMPRESSAO, PARA PARAFUSO DE FIXACAO M5</t>
  </si>
  <si>
    <t>2.73</t>
  </si>
  <si>
    <t>TERMINAL A COMPRESSAO EM COBRE ESTANHADO PARA CABO 6 MM2, 1 FURO E 1 COMPRESSAO, PARA PARAFUSO DE FIXACAO M6</t>
  </si>
  <si>
    <t>2.74</t>
  </si>
  <si>
    <t>TERMINAL METALICO A PRESSAO PARA 1 CABO DE 16 A 25 MM2, COM 2 FUROS PARA FIXACAO</t>
  </si>
  <si>
    <t>2.75</t>
  </si>
  <si>
    <t>TERMINAL METALICO A PRESSAO PARA 1 CABO DE 6 A 10 MM2, COM 1 FURO DE FIXACAO</t>
  </si>
  <si>
    <t>2.76</t>
  </si>
  <si>
    <t>TERMINAL A COMPRESSAO EM COBRE ESTANHADO PARA CABO 70 MM2, 1 FURO E 1 COMPRESSAO, PARA PARAFUSO DE FIXACAO M10</t>
  </si>
  <si>
    <t>2.77</t>
  </si>
  <si>
    <t>TERMINAL A COMPRESSAO EM COBRE ESTANHADO PARA CABO 120 MM2, 1 FURO E 1 COMPRESSAO, PARA PARAFUSO DE FIXACAO M12</t>
  </si>
  <si>
    <t>2.78</t>
  </si>
  <si>
    <t>TERMINAL A COMPRESSAO EM COBRE ESTANHADO PARA CABO 16 MM2, 1 FURO E 1 COMPRESSAO, PARA PARAFUSO DE FIXACAO M6</t>
  </si>
  <si>
    <t>2.79</t>
  </si>
  <si>
    <t>CANALETA PVC SISTEMA "X" 20 X 12 X 2000MM (BARRA COM 2M, COM OU SEM DIVISÓRIA INTERNA) (REF.: PIAL LEGRAND OU SIMILAR)</t>
  </si>
  <si>
    <t>2.80</t>
  </si>
  <si>
    <t>ELETROCALHA 100X50 GALVANIZADA PERFURADA - TIPO "U"</t>
  </si>
  <si>
    <t>2.81</t>
  </si>
  <si>
    <t>PINO/PLUG FEMEA 3 PINOS 10A, NBR14136 57402/153</t>
  </si>
  <si>
    <t>2.82</t>
  </si>
  <si>
    <t>CABO PP 750V/70°C/NBR-13249 4 X 2,5 MM²</t>
  </si>
  <si>
    <t>2.83</t>
  </si>
  <si>
    <t>DISJUNTOR DR BIPOLAR 25A/30MA (REF.: STECK OU SIMILAR)</t>
  </si>
  <si>
    <t>2.84</t>
  </si>
  <si>
    <t>ADAPTADOR TOMADAS NBR/ 2P+T NEMA 10A/15A - 250 V (REF: INJETEL OU SIMILAR)</t>
  </si>
  <si>
    <t>2.85</t>
  </si>
  <si>
    <t>PLAFON LED EMBUTIR 25W</t>
  </si>
  <si>
    <t>Subtotal de Elétrica</t>
  </si>
  <si>
    <t>3.</t>
  </si>
  <si>
    <t>MATERIAIS HIDROSSANITÁRIOS</t>
  </si>
  <si>
    <t>3.1</t>
  </si>
  <si>
    <t>CAP PVC, SOLDAVEL, 25 MM, PARA AGUA FRIA PREDIAL</t>
  </si>
  <si>
    <t>3.2</t>
  </si>
  <si>
    <t>ADAPTADOR PVC SOLDAVEL CURTO COM BOLSA E ROSCA, 50 MM X1 1/2", PARA AGUA FRIA</t>
  </si>
  <si>
    <t>3.3</t>
  </si>
  <si>
    <t>ADAPTADOR PVC SOLDAVEL CURTO COM BOLSA E ROSCA, 60 MM X 2", PARA AGUA FRIA</t>
  </si>
  <si>
    <t>3.4</t>
  </si>
  <si>
    <t>ADAPTADOR PVC SOLDAVEL CURTO COM BOLSA E ROSCA, 75 MM X 2 1/2", PARA AGUA FRIA</t>
  </si>
  <si>
    <t>3.5</t>
  </si>
  <si>
    <t>ADAPTADOR PVC SOLDAVEL CURTO COM BOLSA E ROSCA, 25 MM X 3/4", PARA AGUA FRIA</t>
  </si>
  <si>
    <t>3.6</t>
  </si>
  <si>
    <t>ADAPTADOR PVC SOLDAVEL CURTO COM BOLSA E ROSCA, 32 MM X 1", PARA AGUA FRIA</t>
  </si>
  <si>
    <t>3.7</t>
  </si>
  <si>
    <t>ADAPTADOR PVC SOLDAVEL CURTO COM BOLSA E ROSCA, 40 MM X 1 1/2", PARA AGUA FRIA</t>
  </si>
  <si>
    <t>3.8</t>
  </si>
  <si>
    <t>ADAPTADOR PVC SOLDAVEL CURTO COM BOLSA E ROSCA, 40 MM X 1 1/4", PARA AGUA FRIA</t>
  </si>
  <si>
    <t>3.9</t>
  </si>
  <si>
    <t>ADAPTADOR PVC SOLDAVEL CURTO COM BOLSA E ROSCA, 85 MM X 3", PARA AGUA FRIA</t>
  </si>
  <si>
    <t>3.10</t>
  </si>
  <si>
    <t>ANEL DE VEDACAO, PVC FLEXIVEL, 100 MM, PARA SAIDA DE BACIA / VASO SANITARIO</t>
  </si>
  <si>
    <t>3.11</t>
  </si>
  <si>
    <t>CAP PVC, SOLDAVEL, 32 MM, PARA AGUA FRIA PREDIAL</t>
  </si>
  <si>
    <t>3.12</t>
  </si>
  <si>
    <t>CAP PVC, SOLDAVEL, 40 MM, PARA AGUA FRIA PREDIAL</t>
  </si>
  <si>
    <t>3.13</t>
  </si>
  <si>
    <t>CAP PVC, SOLDAVEL, 50 MM, PARA AGUA FRIA PREDIAL</t>
  </si>
  <si>
    <t>3.14</t>
  </si>
  <si>
    <t>MANGUEIRA CRISTAL, LISA, PVC TRANSPARENTE, 1/4" X1 MM</t>
  </si>
  <si>
    <t>3.15</t>
  </si>
  <si>
    <t>CAP OU TAMPAO DE FERRO GALVANIZADO, COM ROSCA BSP, DE 3/4"</t>
  </si>
  <si>
    <t>3.16</t>
  </si>
  <si>
    <t>CUBA ACO INOX (AISI 304) DE EMBUTIR COM VALVULA 3 1/2 ", DE *40 X 34 X 12* CM</t>
  </si>
  <si>
    <t>3.17</t>
  </si>
  <si>
    <t>CUBA ACO INOX (AISI 304) DE EMBUTIR COM VALVULA 3 1/2 ", DE *46 X 30 X 12* CM</t>
  </si>
  <si>
    <t>3.18</t>
  </si>
  <si>
    <t>CUBA ACO INOX (AISI 304) DE EMBUTIR COM VALVULA DE 3 1/2 ", DE *56 X 33 X 12* CM</t>
  </si>
  <si>
    <t>3.19</t>
  </si>
  <si>
    <t>ASSENTO SANITARIO DE PLASTICO, TIPO CONVENCIONAL</t>
  </si>
  <si>
    <t>3.20</t>
  </si>
  <si>
    <t>DUCHA HIGIENICA PLASTICA COM REGISTRO METALICO 1/2"</t>
  </si>
  <si>
    <t>3.21</t>
  </si>
  <si>
    <t>FITA METALICA PERFURADA, L = 17 MM, ROLO DE 30 M, CARGA RECOMENDADA = *19* KGF</t>
  </si>
  <si>
    <t>3.22</t>
  </si>
  <si>
    <t>GRELHA PVC CROMADA REDONDA 150MM</t>
  </si>
  <si>
    <t>3.23</t>
  </si>
  <si>
    <t>JOELHO PVC, SOLDAVEL, PB, 45 GRAUS, DN 40 MM, PARA ESGOTO PREDIAL</t>
  </si>
  <si>
    <t>3.24</t>
  </si>
  <si>
    <t>JOELHO PVC, SOLDAVEL, PB, 45 GRAUS, DN 50 MM, PARA ESGOTO PREDIAL</t>
  </si>
  <si>
    <t>3.25</t>
  </si>
  <si>
    <t>JOELHO, PVC SOLDAVEL, 45 GRAUS, 25 MM, PARA AGUA FRIA PREDIAL</t>
  </si>
  <si>
    <t>3.26</t>
  </si>
  <si>
    <t>JOELHO, PVC SOLDAVEL, 45 GRAUS, 32 MM, PARA AGUA FRIA PREDIAL</t>
  </si>
  <si>
    <t>3.27</t>
  </si>
  <si>
    <t>JOELHO, PVC SOLDAVEL, 45 GRAUS, 40 MM, PARA AGUA FRIA PREDIAL</t>
  </si>
  <si>
    <t>3.28</t>
  </si>
  <si>
    <t>JUNCAO SIMPLES, PVC SERIE R, DN 100 X 100 MM, PARA ESGOTO PREDIAL</t>
  </si>
  <si>
    <t>3.29</t>
  </si>
  <si>
    <t>LUVA DE REDUCAO SOLDAVEL, PVC, 32 MM X 25 MM, PARA AGUA FRIA PREDIAL</t>
  </si>
  <si>
    <t>3.30</t>
  </si>
  <si>
    <t>LUVA PVC SOLDAVEL, 20 MM, PARA AGUA FRIA PREDIAL</t>
  </si>
  <si>
    <t>3.31</t>
  </si>
  <si>
    <t>LUVA ROSCAVEL, PVC, 1/2", AGUA FRIA PREDIAL</t>
  </si>
  <si>
    <t>3.32</t>
  </si>
  <si>
    <t>MANGUEIRA CRISTAL, LISA, PVC TRANSPARENTE, 1/4" X1,5 MM</t>
  </si>
  <si>
    <t>3.33</t>
  </si>
  <si>
    <t>SIFAO PLASTICO TIPO COPO PARA PIA AMERICANA 1.1/2 X 1.1/2 "</t>
  </si>
  <si>
    <t>3.34</t>
  </si>
  <si>
    <t>TORNEIRA CROMADA COM BICO PARA JARDIM/TANQUE 1/2 " OU 3/4 " (REF 1153)</t>
  </si>
  <si>
    <t>3.35</t>
  </si>
  <si>
    <t>VALVULA DE DESCARGA EM METAL CROMADO PARA MICTORIO COM ACIONAMENTO POR PRESSAO E FECHAMENTO AUTOMATICO</t>
  </si>
  <si>
    <t>3.36</t>
  </si>
  <si>
    <t>PARAFUSO DE LATAO COM ACABAMENTO CROMADO PARA FIXAR PECA SANITARIA, INCLUI PORCA CEGA, ARRUELA E BUCHA DE NYLON TAMANHO S-10</t>
  </si>
  <si>
    <t>3.37</t>
  </si>
  <si>
    <t>PLUG PVC ROSCAVEL, 1/2", AGUA FRIA PREDIAL (NBR 5648)</t>
  </si>
  <si>
    <t>3.38</t>
  </si>
  <si>
    <t>SIFAO EM METAL CROMADO PARA PIA OU LAVATORIO, 1 X 1.1/2 "</t>
  </si>
  <si>
    <t>3.39</t>
  </si>
  <si>
    <t>SIFAO EM METAL CROMADO PARA PIA AMERICANA, 1.1/2 X 2 "</t>
  </si>
  <si>
    <t>3.40</t>
  </si>
  <si>
    <t>TE DE REDUCAO, PVC, SOLDAVEL, 90 GRAUS, 25 MM X 20 MM, PARA AGUA FRIA PREDIAL</t>
  </si>
  <si>
    <t>3.41</t>
  </si>
  <si>
    <t>TE DE REDUCAO, PVC, SOLDAVEL, 90 GRAUS, 32 MM X 25 MM, PARA AGUA FRIA PREDIAL</t>
  </si>
  <si>
    <t>3.42</t>
  </si>
  <si>
    <t>TE DE REDUCAO, PVC, SOLDAVEL, 90 GRAUS, 40 MM X 32 MM, PARA AGUA FRIA PREDIAL</t>
  </si>
  <si>
    <t>3.43</t>
  </si>
  <si>
    <t>TE DE REDUCAO, PVC, SOLDAVEL, 90 GRAUS, 50 MM X 25 MM, PARA AGUA FRIA PREDIAL</t>
  </si>
  <si>
    <t>3.44</t>
  </si>
  <si>
    <t>TE DE REDUCAO, PVC, SOLDAVEL, 90 GRAUS, 50 MM X 32 MM, PARA AGUA FRIA PREDIAL</t>
  </si>
  <si>
    <t>3.45</t>
  </si>
  <si>
    <t>TE DE REDUCAO, PVC, SOLDAVEL, 90 GRAUS, 50 MM X 40 MM, PARA AGUA FRIA PREDIAL</t>
  </si>
  <si>
    <t>3.46</t>
  </si>
  <si>
    <t>TE DE REDUCAO, PVC, SOLDAVEL, 90 GRAUS, 75 MM X 50 MM, PARA AGUA FRIA PREDIAL</t>
  </si>
  <si>
    <t>3.47</t>
  </si>
  <si>
    <t>TORNEIRA CROMADA DE PAREDE PARA COZINHA BICA MOVEL COM AREJADOR 1/2 " OU 3/4 " (REF 1168)</t>
  </si>
  <si>
    <t>3.48</t>
  </si>
  <si>
    <t>TORNEIRA METAL AMARELO COM BICO PARA JARDIM, PADRAO POPULAR, 1/2 " OU 3/4"</t>
  </si>
  <si>
    <t>3.49</t>
  </si>
  <si>
    <t>TORNEIRA CROMADA DE MESA PARA COZINHA BICA MOVEL COM AREJADOR 1/2 " OU 3/4"</t>
  </si>
  <si>
    <t>3.50</t>
  </si>
  <si>
    <t>UNIAO PVC, SOLDAVEL, 20 MM, PARA AGUA FRIA PREDIAL</t>
  </si>
  <si>
    <t>3.51</t>
  </si>
  <si>
    <t>UNIAO PVC, SOLDAVEL, 25 MM, PARA AGUA FRIA PREDIAL</t>
  </si>
  <si>
    <t xml:space="preserve">Subtotal de Hidrossanitários </t>
  </si>
  <si>
    <t>4.</t>
  </si>
  <si>
    <t>MARCENARIA</t>
  </si>
  <si>
    <t>COLA A BASE DE RESINA SINTETICA PARA CHAPA DE LAMINADO MELAMINICO</t>
  </si>
  <si>
    <t>COLA BRANCA BASE PVA</t>
  </si>
  <si>
    <t>L</t>
  </si>
  <si>
    <t>4.3</t>
  </si>
  <si>
    <t>FECHADURA DE EMBUTIR PARA PORTA DE BANHEIRO, CHAVE TIPO TRANQUETA, MAQUINA 40 MM, SEM MACANETA, SEM ESPELHO (SOMENTE MAQUINA) - NIVEL SEGURANCA MEDIO</t>
  </si>
  <si>
    <t>4.4</t>
  </si>
  <si>
    <t>PRENDEDOR / TRAVA DE PORTA, MONTAGEM PISO / PORTA, EM LATAO / ZAMAC, CROMADO</t>
  </si>
  <si>
    <t>Subtotal de Marcenaria</t>
  </si>
  <si>
    <t>5.</t>
  </si>
  <si>
    <t>CIVIL E PINTURA</t>
  </si>
  <si>
    <t>5.1</t>
  </si>
  <si>
    <t>ARGAMASSA COLANTE AC I PARA CERAMICAS</t>
  </si>
  <si>
    <t>5.2</t>
  </si>
  <si>
    <t>FITA CREPE EM ROLOS 25MMX50M UN</t>
  </si>
  <si>
    <t>5.3</t>
  </si>
  <si>
    <t>LONA PLASTICA PESADA PRETA, E = 150 MICRA</t>
  </si>
  <si>
    <t>M2</t>
  </si>
  <si>
    <t>5.4</t>
  </si>
  <si>
    <t>MASSA ACRILICA PARA SUPERFICIES INTERNAS E EXTERNAS</t>
  </si>
  <si>
    <t>5.5</t>
  </si>
  <si>
    <t>MASSA CORRIDA PARA SUPERFICIES DE AMBIENTES INTERNOS</t>
  </si>
  <si>
    <t>5.6</t>
  </si>
  <si>
    <t>REJUNTE CIMENTICIO, QUALQUER COR</t>
  </si>
  <si>
    <t>5.7</t>
  </si>
  <si>
    <t>RESINA ACRILICA PREMIUM BASE AGUA - COR BRANCA</t>
  </si>
  <si>
    <t>5.8</t>
  </si>
  <si>
    <t>TINTA A OLEO BRILHANTE, PARA MADEIRAS E METAIS</t>
  </si>
  <si>
    <t>5.9</t>
  </si>
  <si>
    <t>TINTA ACRILICA PARA PISO</t>
  </si>
  <si>
    <t>5.10</t>
  </si>
  <si>
    <t>TINTA EPOXI PREMIUM, BRANCA</t>
  </si>
  <si>
    <t>5.11</t>
  </si>
  <si>
    <t>TINTA ESMALTE SINTETICO PREMIUM ACETINADO</t>
  </si>
  <si>
    <t>5.12</t>
  </si>
  <si>
    <t>TINTA ESMALTE SINTETICO PREMIUM FOSCO</t>
  </si>
  <si>
    <t>5.13</t>
  </si>
  <si>
    <t>TINTA ACRILICA PREMIUM, COR BRANCO FOSCO</t>
  </si>
  <si>
    <t>5.14</t>
  </si>
  <si>
    <t>SOLVENTE DILUENTE A BASE DE AGUARRAS L</t>
  </si>
  <si>
    <t>Subtotal Civil e Pintura</t>
  </si>
  <si>
    <t>6.</t>
  </si>
  <si>
    <t>MATERIAIS SISTEMAS DE REFRIGERAÇÃO, VENTILAÇÃO E EXAUSTÃO</t>
  </si>
  <si>
    <t>6.1</t>
  </si>
  <si>
    <t>BACTERICIDA E DESINCRUSTANTE PARA LIMPEZA DE AR CONDICIONADO (REF.: AIR SHIELD OU SIMILAR)</t>
  </si>
  <si>
    <t>5l</t>
  </si>
  <si>
    <t>6.2</t>
  </si>
  <si>
    <t>DESENGRAXANTE PARA LIMPEZA DE AR CONDICIONADO (REF.: METASIL)</t>
  </si>
  <si>
    <t>6.3</t>
  </si>
  <si>
    <t>COMPRESSOR INVERTER 30.000 BTUS - FUJITSU</t>
  </si>
  <si>
    <t>6.4</t>
  </si>
  <si>
    <t>PLACA ELETRÔNICA CONDENSADOR 1401HUE-C1 -FUJITSU</t>
  </si>
  <si>
    <t>6.5</t>
  </si>
  <si>
    <t>PLACA DE FORÇA EVAPORADORA 1105HSE-P - FUJITSU</t>
  </si>
  <si>
    <t>6.6</t>
  </si>
  <si>
    <t>COMPRESSOR INVERTER 24.000 BTUS - CONSUL</t>
  </si>
  <si>
    <t>6.7</t>
  </si>
  <si>
    <t>COMPRESSOR INVERTER 52.000 BTUS - LG</t>
  </si>
  <si>
    <t>6.8</t>
  </si>
  <si>
    <t>TUBO DE COBRE FLEXÍVEL 1/4"</t>
  </si>
  <si>
    <t>6.9</t>
  </si>
  <si>
    <t>TUBO DE COBRE FLEXÍVEL 3/4"</t>
  </si>
  <si>
    <t>6.10</t>
  </si>
  <si>
    <t>TUBO DE COBRE  FLEXÍVEL 5/8"</t>
  </si>
  <si>
    <t>6.11</t>
  </si>
  <si>
    <t>TUBO DE COBRE FLEXÍVEL 3/8"</t>
  </si>
  <si>
    <t>6.12</t>
  </si>
  <si>
    <t>TUBO DE COBRE  FLEXÍVEL 1/2"</t>
  </si>
  <si>
    <t>6.13</t>
  </si>
  <si>
    <t>GAS R141B 13,6kg (fornecimento por kg)</t>
  </si>
  <si>
    <t>kg</t>
  </si>
  <si>
    <t>6.14</t>
  </si>
  <si>
    <t>GAS R141B 13,6kg</t>
  </si>
  <si>
    <t>13,6KG</t>
  </si>
  <si>
    <t>6.15</t>
  </si>
  <si>
    <t>GÁS R-22 (fornecimento por kg)</t>
  </si>
  <si>
    <t>6.16</t>
  </si>
  <si>
    <t>GÁS R-22 (CILINDRO 13,600 KG)</t>
  </si>
  <si>
    <t>6.17</t>
  </si>
  <si>
    <t>GÁS R-410A (fornecimento por kg)</t>
  </si>
  <si>
    <t>6.18</t>
  </si>
  <si>
    <t>GÁS R-410A (CILINDRO DE 11,300 KG)</t>
  </si>
  <si>
    <t>GF</t>
  </si>
  <si>
    <t>6.19</t>
  </si>
  <si>
    <t>Solda Prata Vareta (30%) 1/16 - Aws</t>
  </si>
  <si>
    <t>6.20</t>
  </si>
  <si>
    <t>VARETA DE FOSCOPER 2,4MM - Kg</t>
  </si>
  <si>
    <t>Subtotal de Refrigeração, Ventilação e Exaustão</t>
  </si>
  <si>
    <t>SISTEMAS CONTRA INCÊNDIO</t>
  </si>
  <si>
    <t>7.1</t>
  </si>
  <si>
    <t>EXTINTOR DE INCENDIO PORTATIL COM CARGA DE AGUA PRESSURIZADA DE 10 L, CLASSE A,</t>
  </si>
  <si>
    <t>7.2</t>
  </si>
  <si>
    <t>PLACA DE SINALIZACAO DE SEGURANCA CONTRA INCENDIO, FOTOLUMINESCENTE RETANGULAR, *13 X 26* CM, EM PVC *2* MM ANTI-CHAMAS (SIMBOLOS, CORES E PICTOGRAMAS CONFORME NBR 13434)</t>
  </si>
  <si>
    <t>7.3</t>
  </si>
  <si>
    <t>EXTINTOR DE INCENDIO PORTATIL COM CARGA DE GAS CARBONICO CO2 DE 6 KG, CLASSE BC</t>
  </si>
  <si>
    <t>7.4</t>
  </si>
  <si>
    <t>EXTINTOR DE INCENDIO PORTATIL COM CARGA DE PO QUIMICO SECO (PQS) DE 4 KG, CLASSE BC</t>
  </si>
  <si>
    <t>Subtotal Sistemas Contra Incêndio</t>
  </si>
  <si>
    <t>TOTAL SEM BDI PARA 12 MESES</t>
  </si>
  <si>
    <t>BDI</t>
  </si>
  <si>
    <t>TOTAL PARA 12 MESES COM BDI</t>
  </si>
  <si>
    <t>TOTAL MENSAL COM BDI</t>
  </si>
  <si>
    <t>TOTAL 20 MESES COM BDI</t>
  </si>
  <si>
    <t>Obs.:</t>
  </si>
  <si>
    <t>Previsão feita com base no histórico de ordens de serviços de contratos anteriores.</t>
  </si>
  <si>
    <t>ANEXO B.VI - PLANILHA DE CUSTO DE SERVIÇOS EVENTUAIS</t>
  </si>
  <si>
    <t>QNT ANUAL</t>
  </si>
  <si>
    <t>NÃO DESONERADO</t>
  </si>
  <si>
    <t>ONERADO</t>
  </si>
  <si>
    <t>REFERÊNCIA</t>
  </si>
  <si>
    <t>R$ UNIT</t>
  </si>
  <si>
    <t>R$ ANUAL</t>
  </si>
  <si>
    <t>Aplicação manual de pintura com tinta látex acrílica em paredes, duas demãos</t>
  </si>
  <si>
    <t>m²</t>
  </si>
  <si>
    <t>SINAPI - 03/2022</t>
  </si>
  <si>
    <t>Aplicação manual de pintura com tinta látex acrílica em teto, duas demãos</t>
  </si>
  <si>
    <t>Aplicação e lixamento de massa látex em teto, uma demão</t>
  </si>
  <si>
    <t>Aplicação e lixamento de massa látex em teto, duas demãos</t>
  </si>
  <si>
    <t>Aplicação e lixamento de massa látex em paredes, uma demão</t>
  </si>
  <si>
    <t>Aplicação e lixamento de massa látex em paredes, duas demãos</t>
  </si>
  <si>
    <t>Pintura Tinta De Acabamento (Pigmentada) Esmalte Sintético Fosco Em Madeira, 2 Demãos</t>
  </si>
  <si>
    <t>Pintura Tinta De Acabamento (Pigmentada) Esmalte Sintético Acetinado Em Madeira, 2 Demãos</t>
  </si>
  <si>
    <t>Recarga extintor pó químico seco BC 4kg</t>
  </si>
  <si>
    <t>unid</t>
  </si>
  <si>
    <t>Pesquisa de mercado</t>
  </si>
  <si>
    <t>Recarga extintor CO2 6kg</t>
  </si>
  <si>
    <t>Recarga extintor água pressurizada 10l</t>
  </si>
  <si>
    <t>Manutenção preventiva em 2 nobreaks Sinus Double II 15KVA com 32 baterias, 2 estabilizadores de 125KVA e 1 Transformador Isolador de 120KVA, a ser realizado fora do horário comercial</t>
  </si>
  <si>
    <t>Composição de preços (TCPO/PINI e SINAPI)</t>
  </si>
  <si>
    <t>Fornecimento e troca de baterias do nobreak Sinus Double II 15KVA, 32 baterias 12V 18Ah, fora do horário comercial</t>
  </si>
  <si>
    <t>Fornecimento e instalação de cabo de cobre isolamento anti-chama 450/750V 1,5mm², flexivel</t>
  </si>
  <si>
    <t>m</t>
  </si>
  <si>
    <t>Fornecimento e instalação de cabo de cobre isolamento anti-chama 450/750V 2,5mm², flexivel</t>
  </si>
  <si>
    <t>Fornecimento e instalação de cabo de cobre isolamento anti-chama 450/750V 4mm², flexivel</t>
  </si>
  <si>
    <t>Fornecimento e instalação de cabo de cobre isolamento anti-chama 450/750V 6mm², flexivel</t>
  </si>
  <si>
    <t>Confecção de chave simples pelo miolo da fechadura</t>
  </si>
  <si>
    <t>und</t>
  </si>
  <si>
    <t>Confecção de cópia de chave simples</t>
  </si>
  <si>
    <t>Confecção de chave tetra pelo miolo da fechadura</t>
  </si>
  <si>
    <t>Confecção de cópia de chave tetra</t>
  </si>
  <si>
    <t>Fornecimento e instalação de parede de drywall (gesso acartonado) simples, sem vãos</t>
  </si>
  <si>
    <t>Fornecimento e instalação de parede de drywall (gesso acartonado) simples, com vãos</t>
  </si>
  <si>
    <t>Remoção de chapas e perfis de drywall, de forma manual, sem reaproveitamento</t>
  </si>
  <si>
    <t>Serviço de análise de qualidade do ar</t>
  </si>
  <si>
    <t>TOTAL  GERAL 12 MESES</t>
  </si>
  <si>
    <t>VALORES REFERENCIAIS</t>
  </si>
  <si>
    <t>Unidade</t>
  </si>
  <si>
    <t>Quantidade                    ( A )</t>
  </si>
  <si>
    <t>Prazo de Vida Útil (Meses)                  ( B )</t>
  </si>
  <si>
    <t>Valor Unitário                       ( C )</t>
  </si>
  <si>
    <t>Valor Total                       D = ( A x C) / ( B)</t>
  </si>
  <si>
    <t>Relógio Ponto</t>
  </si>
  <si>
    <t>Peça</t>
  </si>
  <si>
    <t>VALOR TOTAL</t>
  </si>
  <si>
    <t xml:space="preserve">VALOR TOTAL POR EMPREGADO </t>
  </si>
  <si>
    <t>BOBINA</t>
  </si>
  <si>
    <t>Tamanho da bobina (m)</t>
  </si>
  <si>
    <t>Quantidade de tickets por bobina</t>
  </si>
  <si>
    <t>Número estimado de tickets por dia</t>
  </si>
  <si>
    <t>Estimativa de meses por bobina</t>
  </si>
  <si>
    <t>Meses de Contrato</t>
  </si>
  <si>
    <t>Quantidade estimada de bobinas</t>
  </si>
  <si>
    <t>Balança digital para refrigeração 100kg</t>
  </si>
  <si>
    <t>Bolsa coletora de residuos saco de limpeza para ar condicionado split</t>
  </si>
  <si>
    <t>Vacuômetro digital</t>
  </si>
  <si>
    <t>Valvula ZL otimizadora para vácuo 1/4 1/4 5/16 R410A</t>
  </si>
  <si>
    <t>Borrifador pulverizador 1,5l p/ limpeza de ar condicionado</t>
  </si>
  <si>
    <t>Lavadora de alta pressão 1300 psi</t>
  </si>
  <si>
    <t>Paquímetro aço 150mm </t>
  </si>
  <si>
    <t>Manifold gás R410A com mangueira 90cm com maleta</t>
  </si>
  <si>
    <r>
      <t xml:space="preserve"> </t>
    </r>
    <r>
      <rPr>
        <b/>
        <sz val="14"/>
        <rFont val="Calibri"/>
        <family val="2"/>
        <charset val="1"/>
      </rPr>
      <t xml:space="preserve">ANEXO B.II -  EQUIPAMENTOS E FERRAMENTAS </t>
    </r>
  </si>
  <si>
    <t>ANEXO B.III -  CUSTO DE UNIFORMES</t>
  </si>
  <si>
    <t>ANEXO B.I - QUADRO RESUMO DA CONTRATAÇÃO</t>
  </si>
  <si>
    <t>Prestação de serviços de manutenção preventiva e corretiva com fornecimento de mão de obra especializada</t>
  </si>
  <si>
    <t>Fornecimento de materiais de reposição</t>
  </si>
  <si>
    <t xml:space="preserve">Prestação de serviços eventuais </t>
  </si>
  <si>
    <t xml:space="preserve"> Conjunto ATPV para eletricista - NR10 (Calça e camisa)</t>
  </si>
  <si>
    <t>Valor remuneração para 8 horas mensais</t>
  </si>
  <si>
    <t>Categoria profissional: Engenheiro Eletricista de Manutenção</t>
  </si>
  <si>
    <t>Categoria profissional: Engenheiro Mecânico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</si>
</sst>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&quot;R$&quot;\ #,##0.00"/>
    <numFmt numFmtId="168" formatCode="&quot;R$ &quot;#,##0.00_);[Red]\(&quot;R$ &quot;#,##0.00\)"/>
    <numFmt numFmtId="169" formatCode="&quot;R$ &quot;#,##0.00"/>
    <numFmt numFmtId="170" formatCode="&quot;R$ &quot;#,##0.00;[Red]&quot;-R$ &quot;#,##0.0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9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sz val="16"/>
      <name val="Calibri"/>
      <family val="2"/>
      <charset val="1"/>
    </font>
    <font>
      <b/>
      <sz val="14"/>
      <name val="Calibri"/>
      <family val="2"/>
      <charset val="1"/>
    </font>
    <font>
      <b/>
      <sz val="10"/>
      <name val="Calibri"/>
      <family val="2"/>
      <charset val="1"/>
    </font>
    <font>
      <b/>
      <sz val="8"/>
      <name val="Calibri"/>
      <family val="2"/>
      <charset val="1"/>
    </font>
    <font>
      <b/>
      <sz val="9"/>
      <name val="Calibri"/>
      <family val="2"/>
      <charset val="1"/>
    </font>
    <font>
      <sz val="8"/>
      <name val="Calibri"/>
      <family val="2"/>
      <charset val="1"/>
    </font>
    <font>
      <sz val="9"/>
      <name val="Calibri"/>
      <family val="2"/>
      <charset val="1"/>
    </font>
    <font>
      <b/>
      <sz val="11"/>
      <name val="Calibri"/>
      <family val="2"/>
      <charset val="1"/>
    </font>
    <font>
      <vertAlign val="superscript"/>
      <sz val="8"/>
      <name val="Calibri"/>
      <family val="2"/>
      <charset val="1"/>
    </font>
    <font>
      <b/>
      <sz val="20"/>
      <name val="Calibri"/>
      <family val="2"/>
      <charset val="1"/>
    </font>
    <font>
      <sz val="11"/>
      <name val="Calibri"/>
      <family val="2"/>
      <charset val="1"/>
    </font>
    <font>
      <sz val="10"/>
      <name val="Calibri"/>
      <family val="2"/>
      <charset val="1"/>
    </font>
    <font>
      <sz val="11"/>
      <color rgb="FFFF0000"/>
      <name val="Calibri"/>
      <family val="2"/>
      <charset val="1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DB9CA"/>
        <bgColor rgb="FFBFBFBF"/>
      </patternFill>
    </fill>
    <fill>
      <patternFill patternType="solid">
        <fgColor rgb="FFFFFFFF"/>
        <bgColor rgb="FFF2F2F2"/>
      </patternFill>
    </fill>
    <fill>
      <patternFill patternType="solid">
        <fgColor rgb="FFDEEBF7"/>
        <bgColor rgb="FFDAE3F3"/>
      </patternFill>
    </fill>
    <fill>
      <patternFill patternType="solid">
        <fgColor theme="0" tint="-0.14999847407452621"/>
        <bgColor rgb="FFADB9CA"/>
      </patternFill>
    </fill>
    <fill>
      <patternFill patternType="solid">
        <fgColor theme="0"/>
        <bgColor rgb="FFDAE3F3"/>
      </patternFill>
    </fill>
    <fill>
      <patternFill patternType="solid">
        <fgColor theme="0" tint="-0.14999847407452621"/>
        <bgColor rgb="FFF2F2F2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9" fontId="3" fillId="0" borderId="0" applyFill="0" applyBorder="0" applyAlignment="0" applyProtection="0"/>
    <xf numFmtId="165" fontId="3" fillId="0" borderId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2">
    <xf numFmtId="0" fontId="0" fillId="0" borderId="0" xfId="0"/>
    <xf numFmtId="2" fontId="3" fillId="0" borderId="3" xfId="2" applyNumberFormat="1" applyBorder="1" applyAlignment="1">
      <alignment vertical="center"/>
    </xf>
    <xf numFmtId="10" fontId="3" fillId="0" borderId="3" xfId="3" applyNumberForma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10" fontId="3" fillId="0" borderId="3" xfId="3" applyNumberFormat="1" applyFill="1" applyBorder="1" applyAlignment="1">
      <alignment horizontal="center" vertical="center"/>
    </xf>
    <xf numFmtId="2" fontId="4" fillId="0" borderId="3" xfId="2" applyNumberFormat="1" applyFont="1" applyBorder="1" applyAlignment="1">
      <alignment vertical="center"/>
    </xf>
    <xf numFmtId="0" fontId="4" fillId="0" borderId="0" xfId="2" applyFont="1" applyAlignment="1">
      <alignment horizontal="center" vertical="center"/>
    </xf>
    <xf numFmtId="2" fontId="4" fillId="0" borderId="0" xfId="2" applyNumberFormat="1" applyFont="1" applyAlignment="1">
      <alignment vertical="center"/>
    </xf>
    <xf numFmtId="10" fontId="3" fillId="0" borderId="3" xfId="2" applyNumberFormat="1" applyBorder="1" applyAlignment="1">
      <alignment horizontal="center" vertical="center"/>
    </xf>
    <xf numFmtId="10" fontId="3" fillId="3" borderId="3" xfId="2" applyNumberFormat="1" applyFill="1" applyBorder="1" applyAlignment="1">
      <alignment horizontal="center" vertical="center"/>
    </xf>
    <xf numFmtId="10" fontId="4" fillId="0" borderId="3" xfId="2" applyNumberFormat="1" applyFont="1" applyBorder="1" applyAlignment="1">
      <alignment horizontal="center" vertical="center"/>
    </xf>
    <xf numFmtId="2" fontId="3" fillId="0" borderId="3" xfId="2" applyNumberFormat="1" applyBorder="1" applyAlignment="1">
      <alignment horizontal="right" vertical="center"/>
    </xf>
    <xf numFmtId="10" fontId="3" fillId="0" borderId="3" xfId="2" applyNumberFormat="1" applyBorder="1" applyAlignment="1">
      <alignment vertical="center"/>
    </xf>
    <xf numFmtId="2" fontId="3" fillId="0" borderId="3" xfId="2" applyNumberFormat="1" applyBorder="1" applyAlignment="1">
      <alignment horizontal="center" vertical="center"/>
    </xf>
    <xf numFmtId="10" fontId="3" fillId="0" borderId="3" xfId="3" applyNumberFormat="1" applyBorder="1" applyAlignment="1">
      <alignment vertical="center"/>
    </xf>
    <xf numFmtId="0" fontId="5" fillId="0" borderId="10" xfId="2" applyFont="1" applyBorder="1" applyAlignment="1">
      <alignment horizontal="center" vertical="center"/>
    </xf>
    <xf numFmtId="10" fontId="5" fillId="0" borderId="0" xfId="3" applyNumberFormat="1" applyFont="1" applyBorder="1" applyAlignment="1">
      <alignment vertical="center"/>
    </xf>
    <xf numFmtId="2" fontId="5" fillId="0" borderId="11" xfId="2" applyNumberFormat="1" applyFont="1" applyBorder="1" applyAlignment="1">
      <alignment vertical="center"/>
    </xf>
    <xf numFmtId="0" fontId="6" fillId="0" borderId="10" xfId="2" applyFont="1" applyBorder="1" applyAlignment="1">
      <alignment vertical="center"/>
    </xf>
    <xf numFmtId="0" fontId="5" fillId="0" borderId="12" xfId="2" applyFont="1" applyBorder="1" applyAlignment="1">
      <alignment horizontal="center" vertical="center"/>
    </xf>
    <xf numFmtId="10" fontId="5" fillId="0" borderId="5" xfId="3" applyNumberFormat="1" applyFont="1" applyBorder="1" applyAlignment="1">
      <alignment vertical="center"/>
    </xf>
    <xf numFmtId="2" fontId="5" fillId="0" borderId="13" xfId="2" applyNumberFormat="1" applyFont="1" applyBorder="1" applyAlignment="1">
      <alignment vertical="center"/>
    </xf>
    <xf numFmtId="0" fontId="3" fillId="0" borderId="3" xfId="2" applyBorder="1" applyAlignment="1">
      <alignment horizontal="center" vertical="center"/>
    </xf>
    <xf numFmtId="164" fontId="7" fillId="0" borderId="3" xfId="2" applyNumberFormat="1" applyFont="1" applyBorder="1" applyAlignment="1">
      <alignment vertical="center"/>
    </xf>
    <xf numFmtId="0" fontId="3" fillId="0" borderId="0" xfId="2"/>
    <xf numFmtId="2" fontId="3" fillId="0" borderId="0" xfId="2" applyNumberFormat="1" applyAlignment="1">
      <alignment vertical="center"/>
    </xf>
    <xf numFmtId="0" fontId="4" fillId="0" borderId="0" xfId="2" applyFont="1" applyAlignment="1">
      <alignment vertical="center"/>
    </xf>
    <xf numFmtId="165" fontId="4" fillId="0" borderId="0" xfId="4" applyFont="1" applyAlignment="1">
      <alignment vertical="center"/>
    </xf>
    <xf numFmtId="43" fontId="3" fillId="0" borderId="0" xfId="2" applyNumberFormat="1" applyAlignment="1">
      <alignment vertical="center"/>
    </xf>
    <xf numFmtId="10" fontId="4" fillId="6" borderId="3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44" fontId="4" fillId="0" borderId="0" xfId="0" applyNumberFormat="1" applyFont="1" applyAlignment="1">
      <alignment vertical="center"/>
    </xf>
    <xf numFmtId="166" fontId="0" fillId="0" borderId="0" xfId="1" applyFont="1"/>
    <xf numFmtId="43" fontId="0" fillId="0" borderId="0" xfId="0" applyNumberFormat="1"/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9" fillId="7" borderId="3" xfId="0" applyNumberFormat="1" applyFont="1" applyFill="1" applyBorder="1" applyAlignment="1">
      <alignment horizontal="justify" vertical="center"/>
    </xf>
    <xf numFmtId="0" fontId="10" fillId="0" borderId="3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 wrapText="1"/>
    </xf>
    <xf numFmtId="0" fontId="11" fillId="0" borderId="14" xfId="0" applyFont="1" applyBorder="1" applyAlignment="1">
      <alignment horizontal="justify" vertical="center" wrapText="1"/>
    </xf>
    <xf numFmtId="0" fontId="11" fillId="0" borderId="15" xfId="0" applyFont="1" applyBorder="1" applyAlignment="1">
      <alignment horizontal="justify" vertical="center" wrapText="1"/>
    </xf>
    <xf numFmtId="0" fontId="0" fillId="0" borderId="3" xfId="0" applyBorder="1" applyAlignment="1">
      <alignment vertical="center"/>
    </xf>
    <xf numFmtId="0" fontId="10" fillId="0" borderId="3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9" fillId="0" borderId="3" xfId="0" applyFont="1" applyBorder="1" applyAlignment="1">
      <alignment horizontal="justify" vertical="center"/>
    </xf>
    <xf numFmtId="0" fontId="9" fillId="0" borderId="3" xfId="0" applyFont="1" applyBorder="1" applyAlignment="1">
      <alignment horizontal="justify" vertical="center" wrapText="1"/>
    </xf>
    <xf numFmtId="0" fontId="0" fillId="0" borderId="0" xfId="0" applyAlignment="1">
      <alignment horizontal="left" vertical="center"/>
    </xf>
    <xf numFmtId="164" fontId="0" fillId="0" borderId="0" xfId="6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3" fillId="0" borderId="0" xfId="9" applyAlignment="1">
      <alignment horizontal="center"/>
    </xf>
    <xf numFmtId="44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0" fillId="0" borderId="0" xfId="6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164" fontId="0" fillId="8" borderId="0" xfId="6" applyFont="1" applyFill="1" applyBorder="1" applyAlignment="1">
      <alignment horizontal="left" vertical="center"/>
    </xf>
    <xf numFmtId="0" fontId="13" fillId="0" borderId="0" xfId="9" applyBorder="1" applyAlignment="1">
      <alignment vertical="center"/>
    </xf>
    <xf numFmtId="0" fontId="13" fillId="0" borderId="0" xfId="9" applyBorder="1" applyAlignment="1"/>
    <xf numFmtId="164" fontId="0" fillId="9" borderId="0" xfId="6" applyFont="1" applyFill="1" applyBorder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13" fillId="0" borderId="20" xfId="9" applyBorder="1" applyAlignment="1"/>
    <xf numFmtId="0" fontId="0" fillId="0" borderId="20" xfId="0" applyBorder="1" applyAlignment="1">
      <alignment horizontal="center" vertical="center"/>
    </xf>
    <xf numFmtId="164" fontId="0" fillId="8" borderId="20" xfId="6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0" fillId="0" borderId="0" xfId="6" applyFont="1" applyBorder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0" fontId="0" fillId="0" borderId="20" xfId="0" applyBorder="1" applyAlignment="1">
      <alignment horizontal="left" vertical="center"/>
    </xf>
    <xf numFmtId="164" fontId="0" fillId="0" borderId="20" xfId="6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9" borderId="0" xfId="6" applyFont="1" applyFill="1" applyBorder="1" applyAlignment="1">
      <alignment horizontal="center" vertical="center"/>
    </xf>
    <xf numFmtId="164" fontId="0" fillId="8" borderId="0" xfId="6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 vertical="center"/>
    </xf>
    <xf numFmtId="14" fontId="0" fillId="0" borderId="20" xfId="0" applyNumberFormat="1" applyBorder="1" applyAlignment="1">
      <alignment horizontal="center" vertical="center"/>
    </xf>
    <xf numFmtId="164" fontId="0" fillId="9" borderId="20" xfId="6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44" fontId="2" fillId="0" borderId="16" xfId="0" applyNumberFormat="1" applyFont="1" applyBorder="1" applyAlignment="1">
      <alignment horizontal="center" vertical="center" wrapText="1"/>
    </xf>
    <xf numFmtId="164" fontId="0" fillId="9" borderId="20" xfId="6" applyFont="1" applyFill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3" borderId="0" xfId="6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justify" vertical="center" wrapText="1"/>
    </xf>
    <xf numFmtId="0" fontId="15" fillId="3" borderId="0" xfId="0" applyFont="1" applyFill="1" applyAlignment="1">
      <alignment horizontal="center" vertical="center" wrapText="1"/>
    </xf>
    <xf numFmtId="1" fontId="15" fillId="3" borderId="0" xfId="0" applyNumberFormat="1" applyFont="1" applyFill="1" applyAlignment="1">
      <alignment horizontal="center" vertical="center" wrapText="1"/>
    </xf>
    <xf numFmtId="167" fontId="15" fillId="3" borderId="0" xfId="0" applyNumberFormat="1" applyFont="1" applyFill="1" applyAlignment="1">
      <alignment horizontal="center" vertical="center" wrapText="1"/>
    </xf>
    <xf numFmtId="167" fontId="14" fillId="3" borderId="16" xfId="0" applyNumberFormat="1" applyFont="1" applyFill="1" applyBorder="1" applyAlignment="1">
      <alignment horizontal="center" vertical="center"/>
    </xf>
    <xf numFmtId="167" fontId="14" fillId="2" borderId="20" xfId="0" applyNumberFormat="1" applyFont="1" applyFill="1" applyBorder="1" applyAlignment="1">
      <alignment horizontal="center" vertical="center"/>
    </xf>
    <xf numFmtId="167" fontId="14" fillId="2" borderId="21" xfId="0" applyNumberFormat="1" applyFont="1" applyFill="1" applyBorder="1" applyAlignment="1">
      <alignment horizontal="center" vertical="center"/>
    </xf>
    <xf numFmtId="164" fontId="0" fillId="8" borderId="20" xfId="6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4" fontId="2" fillId="0" borderId="0" xfId="0" applyNumberFormat="1" applyFont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3" fillId="0" borderId="0" xfId="2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3" fillId="0" borderId="3" xfId="2" applyBorder="1" applyAlignment="1">
      <alignment vertical="center"/>
    </xf>
    <xf numFmtId="0" fontId="4" fillId="5" borderId="3" xfId="2" applyFont="1" applyFill="1" applyBorder="1" applyAlignment="1">
      <alignment horizontal="center" vertical="center"/>
    </xf>
    <xf numFmtId="0" fontId="4" fillId="6" borderId="3" xfId="2" applyFont="1" applyFill="1" applyBorder="1" applyAlignment="1">
      <alignment horizontal="center" vertical="center"/>
    </xf>
    <xf numFmtId="0" fontId="3" fillId="0" borderId="0" xfId="2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14" fontId="3" fillId="0" borderId="0" xfId="2" applyNumberFormat="1" applyAlignment="1">
      <alignment horizontal="center" vertical="center"/>
    </xf>
    <xf numFmtId="0" fontId="17" fillId="0" borderId="0" xfId="0" applyFont="1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164" fontId="0" fillId="0" borderId="0" xfId="6" applyFont="1" applyBorder="1" applyAlignment="1">
      <alignment horizontal="center" vertical="center" wrapText="1"/>
    </xf>
    <xf numFmtId="164" fontId="20" fillId="0" borderId="0" xfId="6" applyFont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1" fillId="3" borderId="26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167" fontId="23" fillId="11" borderId="0" xfId="0" applyNumberFormat="1" applyFont="1" applyFill="1" applyAlignment="1">
      <alignment horizontal="right" vertical="center" wrapText="1"/>
    </xf>
    <xf numFmtId="0" fontId="2" fillId="2" borderId="25" xfId="0" applyFont="1" applyFill="1" applyBorder="1" applyAlignment="1">
      <alignment horizontal="center" vertical="center" wrapText="1"/>
    </xf>
    <xf numFmtId="164" fontId="2" fillId="2" borderId="25" xfId="6" applyFont="1" applyFill="1" applyBorder="1" applyAlignment="1">
      <alignment horizontal="center" vertical="center" wrapText="1"/>
    </xf>
    <xf numFmtId="164" fontId="21" fillId="2" borderId="25" xfId="6" applyFont="1" applyFill="1" applyBorder="1" applyAlignment="1">
      <alignment horizontal="center" vertical="center" wrapText="1"/>
    </xf>
    <xf numFmtId="0" fontId="0" fillId="0" borderId="0" xfId="11" applyFont="1" applyAlignment="1">
      <alignment horizontal="center" vertical="center"/>
    </xf>
    <xf numFmtId="0" fontId="24" fillId="0" borderId="0" xfId="11" applyFont="1" applyAlignment="1">
      <alignment horizontal="left" vertical="center" wrapText="1"/>
    </xf>
    <xf numFmtId="0" fontId="22" fillId="2" borderId="27" xfId="0" applyFont="1" applyFill="1" applyBorder="1" applyAlignment="1">
      <alignment vertical="center" wrapText="1"/>
    </xf>
    <xf numFmtId="0" fontId="22" fillId="2" borderId="27" xfId="0" applyFont="1" applyFill="1" applyBorder="1" applyAlignment="1">
      <alignment horizontal="center" vertical="center" wrapText="1"/>
    </xf>
    <xf numFmtId="167" fontId="23" fillId="0" borderId="0" xfId="0" applyNumberFormat="1" applyFont="1" applyAlignment="1">
      <alignment horizontal="right" vertical="center" wrapText="1"/>
    </xf>
    <xf numFmtId="167" fontId="22" fillId="2" borderId="25" xfId="0" applyNumberFormat="1" applyFont="1" applyFill="1" applyBorder="1" applyAlignment="1">
      <alignment horizontal="right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10" fontId="0" fillId="3" borderId="0" xfId="0" applyNumberFormat="1" applyFill="1" applyAlignment="1">
      <alignment horizontal="center" vertical="center"/>
    </xf>
    <xf numFmtId="10" fontId="2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3" borderId="24" xfId="0" applyFont="1" applyFill="1" applyBorder="1" applyAlignment="1">
      <alignment vertical="center"/>
    </xf>
    <xf numFmtId="0" fontId="2" fillId="3" borderId="24" xfId="0" applyFont="1" applyFill="1" applyBorder="1" applyAlignment="1">
      <alignment horizontal="center" vertical="center"/>
    </xf>
    <xf numFmtId="10" fontId="2" fillId="3" borderId="5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2" fillId="2" borderId="25" xfId="0" applyFont="1" applyFill="1" applyBorder="1"/>
    <xf numFmtId="44" fontId="2" fillId="2" borderId="25" xfId="0" applyNumberFormat="1" applyFont="1" applyFill="1" applyBorder="1"/>
    <xf numFmtId="10" fontId="2" fillId="2" borderId="25" xfId="0" applyNumberFormat="1" applyFont="1" applyFill="1" applyBorder="1" applyAlignment="1">
      <alignment horizontal="center" vertical="center"/>
    </xf>
    <xf numFmtId="10" fontId="2" fillId="2" borderId="20" xfId="0" applyNumberFormat="1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10" fontId="2" fillId="3" borderId="26" xfId="0" applyNumberFormat="1" applyFont="1" applyFill="1" applyBorder="1" applyAlignment="1">
      <alignment horizontal="center" vertical="center"/>
    </xf>
    <xf numFmtId="2" fontId="3" fillId="3" borderId="3" xfId="2" applyNumberFormat="1" applyFill="1" applyBorder="1" applyAlignment="1">
      <alignment horizontal="right" vertical="center"/>
    </xf>
    <xf numFmtId="44" fontId="0" fillId="0" borderId="0" xfId="0" applyNumberFormat="1"/>
    <xf numFmtId="2" fontId="3" fillId="3" borderId="3" xfId="2" applyNumberFormat="1" applyFill="1" applyBorder="1" applyAlignment="1">
      <alignment vertical="center"/>
    </xf>
    <xf numFmtId="44" fontId="15" fillId="3" borderId="0" xfId="8" applyFont="1" applyFill="1" applyBorder="1" applyAlignment="1">
      <alignment horizontal="center" vertical="center"/>
    </xf>
    <xf numFmtId="0" fontId="14" fillId="2" borderId="25" xfId="0" applyFont="1" applyFill="1" applyBorder="1"/>
    <xf numFmtId="44" fontId="14" fillId="2" borderId="25" xfId="0" applyNumberFormat="1" applyFont="1" applyFill="1" applyBorder="1"/>
    <xf numFmtId="0" fontId="27" fillId="0" borderId="0" xfId="0" applyFont="1"/>
    <xf numFmtId="0" fontId="16" fillId="0" borderId="0" xfId="0" applyFont="1"/>
    <xf numFmtId="0" fontId="28" fillId="12" borderId="28" xfId="0" applyFont="1" applyFill="1" applyBorder="1" applyAlignment="1">
      <alignment horizontal="center" vertical="center"/>
    </xf>
    <xf numFmtId="0" fontId="28" fillId="12" borderId="29" xfId="0" applyFont="1" applyFill="1" applyBorder="1" applyAlignment="1">
      <alignment horizontal="center"/>
    </xf>
    <xf numFmtId="167" fontId="28" fillId="12" borderId="29" xfId="0" applyNumberFormat="1" applyFont="1" applyFill="1" applyBorder="1" applyAlignment="1">
      <alignment horizontal="center"/>
    </xf>
    <xf numFmtId="0" fontId="28" fillId="12" borderId="30" xfId="0" applyFont="1" applyFill="1" applyBorder="1" applyAlignment="1">
      <alignment horizontal="center"/>
    </xf>
    <xf numFmtId="0" fontId="29" fillId="0" borderId="0" xfId="0" applyFont="1"/>
    <xf numFmtId="0" fontId="28" fillId="2" borderId="31" xfId="0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center"/>
    </xf>
    <xf numFmtId="167" fontId="28" fillId="2" borderId="3" xfId="0" applyNumberFormat="1" applyFont="1" applyFill="1" applyBorder="1" applyAlignment="1">
      <alignment horizontal="center"/>
    </xf>
    <xf numFmtId="0" fontId="28" fillId="2" borderId="32" xfId="0" applyFont="1" applyFill="1" applyBorder="1" applyAlignment="1">
      <alignment horizontal="center"/>
    </xf>
    <xf numFmtId="0" fontId="29" fillId="0" borderId="31" xfId="0" applyFont="1" applyBorder="1" applyAlignment="1">
      <alignment horizontal="center" vertical="center"/>
    </xf>
    <xf numFmtId="0" fontId="29" fillId="0" borderId="3" xfId="0" applyFont="1" applyBorder="1" applyAlignment="1">
      <alignment wrapText="1"/>
    </xf>
    <xf numFmtId="0" fontId="29" fillId="0" borderId="3" xfId="0" applyFont="1" applyBorder="1" applyAlignment="1">
      <alignment horizontal="center"/>
    </xf>
    <xf numFmtId="0" fontId="29" fillId="0" borderId="3" xfId="0" applyFont="1" applyBorder="1"/>
    <xf numFmtId="167" fontId="29" fillId="0" borderId="3" xfId="0" applyNumberFormat="1" applyFont="1" applyBorder="1"/>
    <xf numFmtId="169" fontId="29" fillId="0" borderId="3" xfId="0" applyNumberFormat="1" applyFont="1" applyBorder="1"/>
    <xf numFmtId="0" fontId="29" fillId="0" borderId="32" xfId="0" applyFont="1" applyBorder="1"/>
    <xf numFmtId="169" fontId="28" fillId="12" borderId="3" xfId="0" applyNumberFormat="1" applyFont="1" applyFill="1" applyBorder="1"/>
    <xf numFmtId="0" fontId="28" fillId="12" borderId="3" xfId="0" applyFont="1" applyFill="1" applyBorder="1" applyAlignment="1">
      <alignment horizontal="center"/>
    </xf>
    <xf numFmtId="0" fontId="28" fillId="12" borderId="32" xfId="0" applyFont="1" applyFill="1" applyBorder="1"/>
    <xf numFmtId="0" fontId="28" fillId="2" borderId="3" xfId="0" applyFont="1" applyFill="1" applyBorder="1"/>
    <xf numFmtId="167" fontId="28" fillId="2" borderId="3" xfId="0" applyNumberFormat="1" applyFont="1" applyFill="1" applyBorder="1"/>
    <xf numFmtId="0" fontId="28" fillId="2" borderId="32" xfId="0" applyFont="1" applyFill="1" applyBorder="1"/>
    <xf numFmtId="169" fontId="28" fillId="12" borderId="34" xfId="0" applyNumberFormat="1" applyFont="1" applyFill="1" applyBorder="1"/>
    <xf numFmtId="0" fontId="28" fillId="12" borderId="34" xfId="0" applyFont="1" applyFill="1" applyBorder="1" applyAlignment="1">
      <alignment horizontal="center"/>
    </xf>
    <xf numFmtId="0" fontId="28" fillId="2" borderId="35" xfId="0" applyFont="1" applyFill="1" applyBorder="1" applyAlignment="1">
      <alignment horizontal="center"/>
    </xf>
    <xf numFmtId="44" fontId="28" fillId="12" borderId="38" xfId="8" applyFont="1" applyFill="1" applyBorder="1" applyAlignment="1">
      <alignment horizontal="center"/>
    </xf>
    <xf numFmtId="0" fontId="28" fillId="12" borderId="0" xfId="0" applyFont="1" applyFill="1" applyAlignment="1">
      <alignment horizontal="center"/>
    </xf>
    <xf numFmtId="0" fontId="28" fillId="12" borderId="39" xfId="0" applyFont="1" applyFill="1" applyBorder="1" applyAlignment="1">
      <alignment horizontal="left"/>
    </xf>
    <xf numFmtId="0" fontId="28" fillId="12" borderId="40" xfId="0" applyFont="1" applyFill="1" applyBorder="1" applyAlignment="1">
      <alignment horizontal="center" vertical="center"/>
    </xf>
    <xf numFmtId="0" fontId="29" fillId="12" borderId="23" xfId="0" applyFont="1" applyFill="1" applyBorder="1"/>
    <xf numFmtId="167" fontId="29" fillId="12" borderId="23" xfId="0" applyNumberFormat="1" applyFont="1" applyFill="1" applyBorder="1"/>
    <xf numFmtId="0" fontId="29" fillId="12" borderId="23" xfId="0" applyFont="1" applyFill="1" applyBorder="1" applyAlignment="1">
      <alignment horizontal="center"/>
    </xf>
    <xf numFmtId="0" fontId="29" fillId="12" borderId="41" xfId="0" applyFont="1" applyFill="1" applyBorder="1"/>
    <xf numFmtId="0" fontId="28" fillId="12" borderId="6" xfId="0" applyFont="1" applyFill="1" applyBorder="1" applyAlignment="1">
      <alignment horizontal="center" vertical="center"/>
    </xf>
    <xf numFmtId="0" fontId="29" fillId="12" borderId="16" xfId="0" applyFont="1" applyFill="1" applyBorder="1"/>
    <xf numFmtId="0" fontId="28" fillId="12" borderId="16" xfId="0" applyFont="1" applyFill="1" applyBorder="1"/>
    <xf numFmtId="4" fontId="28" fillId="12" borderId="42" xfId="0" applyNumberFormat="1" applyFont="1" applyFill="1" applyBorder="1"/>
    <xf numFmtId="0" fontId="28" fillId="12" borderId="43" xfId="0" applyFont="1" applyFill="1" applyBorder="1" applyAlignment="1">
      <alignment horizontal="center" vertical="center"/>
    </xf>
    <xf numFmtId="0" fontId="28" fillId="12" borderId="44" xfId="0" applyFont="1" applyFill="1" applyBorder="1"/>
    <xf numFmtId="43" fontId="28" fillId="12" borderId="45" xfId="7" applyFont="1" applyFill="1" applyBorder="1" applyAlignment="1"/>
    <xf numFmtId="0" fontId="30" fillId="0" borderId="0" xfId="0" applyFont="1" applyAlignment="1">
      <alignment horizontal="center" vertical="center"/>
    </xf>
    <xf numFmtId="0" fontId="30" fillId="0" borderId="0" xfId="0" applyFont="1"/>
    <xf numFmtId="167" fontId="16" fillId="0" borderId="0" xfId="0" applyNumberFormat="1" applyFont="1"/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3" fillId="13" borderId="3" xfId="0" applyFont="1" applyFill="1" applyBorder="1" applyAlignment="1">
      <alignment horizontal="center" vertical="center"/>
    </xf>
    <xf numFmtId="0" fontId="34" fillId="13" borderId="3" xfId="0" applyFont="1" applyFill="1" applyBorder="1" applyAlignment="1">
      <alignment horizontal="center" vertical="center"/>
    </xf>
    <xf numFmtId="0" fontId="35" fillId="13" borderId="3" xfId="0" applyFont="1" applyFill="1" applyBorder="1" applyAlignment="1">
      <alignment horizontal="center" vertical="center"/>
    </xf>
    <xf numFmtId="0" fontId="36" fillId="0" borderId="47" xfId="0" applyFont="1" applyBorder="1" applyAlignment="1">
      <alignment horizontal="center" vertical="center"/>
    </xf>
    <xf numFmtId="4" fontId="36" fillId="0" borderId="49" xfId="0" applyNumberFormat="1" applyFont="1" applyBorder="1" applyAlignment="1">
      <alignment horizontal="center" vertical="center"/>
    </xf>
    <xf numFmtId="0" fontId="36" fillId="14" borderId="47" xfId="0" applyFont="1" applyFill="1" applyBorder="1" applyAlignment="1">
      <alignment horizontal="center" vertical="center"/>
    </xf>
    <xf numFmtId="4" fontId="36" fillId="14" borderId="49" xfId="0" applyNumberFormat="1" applyFont="1" applyFill="1" applyBorder="1" applyAlignment="1">
      <alignment horizontal="center" vertical="center"/>
    </xf>
    <xf numFmtId="170" fontId="35" fillId="15" borderId="49" xfId="0" applyNumberFormat="1" applyFont="1" applyFill="1" applyBorder="1" applyAlignment="1">
      <alignment horizontal="center" vertical="center"/>
    </xf>
    <xf numFmtId="170" fontId="37" fillId="0" borderId="49" xfId="0" applyNumberFormat="1" applyFont="1" applyBorder="1" applyAlignment="1">
      <alignment horizontal="center" vertical="center"/>
    </xf>
    <xf numFmtId="9" fontId="37" fillId="0" borderId="47" xfId="0" applyNumberFormat="1" applyFont="1" applyBorder="1" applyAlignment="1">
      <alignment horizontal="center" vertical="center"/>
    </xf>
    <xf numFmtId="170" fontId="35" fillId="0" borderId="49" xfId="0" applyNumberFormat="1" applyFont="1" applyBorder="1" applyAlignment="1">
      <alignment horizontal="center" vertical="center"/>
    </xf>
    <xf numFmtId="0" fontId="37" fillId="0" borderId="49" xfId="0" applyFont="1" applyBorder="1" applyAlignment="1">
      <alignment horizontal="center" vertical="center"/>
    </xf>
    <xf numFmtId="170" fontId="38" fillId="0" borderId="49" xfId="0" applyNumberFormat="1" applyFont="1" applyBorder="1" applyAlignment="1">
      <alignment horizontal="center" vertical="center"/>
    </xf>
    <xf numFmtId="164" fontId="36" fillId="0" borderId="47" xfId="6" applyFont="1" applyBorder="1" applyAlignment="1">
      <alignment horizontal="center" vertical="center"/>
    </xf>
    <xf numFmtId="0" fontId="41" fillId="0" borderId="0" xfId="0" applyFont="1"/>
    <xf numFmtId="0" fontId="36" fillId="0" borderId="54" xfId="0" applyFont="1" applyBorder="1" applyAlignment="1">
      <alignment vertical="center" wrapText="1"/>
    </xf>
    <xf numFmtId="0" fontId="41" fillId="0" borderId="0" xfId="0" applyFont="1" applyAlignment="1">
      <alignment vertical="center"/>
    </xf>
    <xf numFmtId="0" fontId="43" fillId="0" borderId="0" xfId="0" applyFont="1"/>
    <xf numFmtId="0" fontId="43" fillId="0" borderId="0" xfId="0" applyFont="1" applyAlignment="1">
      <alignment horizontal="center" wrapText="1"/>
    </xf>
    <xf numFmtId="0" fontId="43" fillId="0" borderId="0" xfId="0" applyFont="1" applyAlignment="1">
      <alignment horizontal="center"/>
    </xf>
    <xf numFmtId="2" fontId="43" fillId="0" borderId="0" xfId="0" applyNumberFormat="1" applyFont="1" applyAlignment="1">
      <alignment horizontal="center"/>
    </xf>
    <xf numFmtId="4" fontId="43" fillId="0" borderId="0" xfId="0" applyNumberFormat="1" applyFont="1" applyAlignment="1">
      <alignment horizontal="center"/>
    </xf>
    <xf numFmtId="0" fontId="43" fillId="0" borderId="0" xfId="0" applyFont="1" applyAlignment="1">
      <alignment vertical="center"/>
    </xf>
    <xf numFmtId="0" fontId="16" fillId="0" borderId="53" xfId="0" applyFont="1" applyBorder="1" applyAlignment="1">
      <alignment vertical="center" wrapText="1"/>
    </xf>
    <xf numFmtId="0" fontId="16" fillId="0" borderId="53" xfId="0" applyFont="1" applyBorder="1" applyAlignment="1">
      <alignment horizontal="center" vertical="center" wrapText="1"/>
    </xf>
    <xf numFmtId="2" fontId="16" fillId="0" borderId="53" xfId="0" applyNumberFormat="1" applyFont="1" applyBorder="1" applyAlignment="1">
      <alignment horizontal="center" vertical="center" wrapText="1"/>
    </xf>
    <xf numFmtId="2" fontId="0" fillId="0" borderId="0" xfId="0" applyNumberFormat="1"/>
    <xf numFmtId="10" fontId="28" fillId="12" borderId="42" xfId="0" applyNumberFormat="1" applyFont="1" applyFill="1" applyBorder="1"/>
    <xf numFmtId="0" fontId="29" fillId="0" borderId="50" xfId="0" applyFont="1" applyBorder="1" applyAlignment="1">
      <alignment horizontal="center"/>
    </xf>
    <xf numFmtId="0" fontId="29" fillId="0" borderId="50" xfId="0" applyFont="1" applyBorder="1" applyAlignment="1">
      <alignment horizontal="left"/>
    </xf>
    <xf numFmtId="0" fontId="29" fillId="0" borderId="3" xfId="0" applyFont="1" applyBorder="1" applyAlignment="1">
      <alignment horizontal="left"/>
    </xf>
    <xf numFmtId="0" fontId="29" fillId="3" borderId="3" xfId="0" applyFont="1" applyFill="1" applyBorder="1" applyAlignment="1">
      <alignment horizontal="left"/>
    </xf>
    <xf numFmtId="0" fontId="16" fillId="3" borderId="3" xfId="0" applyFont="1" applyFill="1" applyBorder="1" applyAlignment="1">
      <alignment horizontal="left"/>
    </xf>
    <xf numFmtId="0" fontId="29" fillId="0" borderId="3" xfId="0" applyFon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left" vertical="center"/>
    </xf>
    <xf numFmtId="164" fontId="0" fillId="9" borderId="24" xfId="6" applyFont="1" applyFill="1" applyBorder="1" applyAlignment="1">
      <alignment horizontal="left" vertical="center"/>
    </xf>
    <xf numFmtId="14" fontId="0" fillId="0" borderId="24" xfId="0" applyNumberFormat="1" applyBorder="1" applyAlignment="1">
      <alignment horizontal="center" vertical="center"/>
    </xf>
    <xf numFmtId="164" fontId="0" fillId="8" borderId="24" xfId="6" applyFont="1" applyFill="1" applyBorder="1" applyAlignment="1">
      <alignment horizontal="center" vertical="center"/>
    </xf>
    <xf numFmtId="164" fontId="0" fillId="9" borderId="24" xfId="6" applyFont="1" applyFill="1" applyBorder="1" applyAlignment="1">
      <alignment horizontal="center" vertical="center"/>
    </xf>
    <xf numFmtId="0" fontId="8" fillId="7" borderId="64" xfId="0" applyFont="1" applyFill="1" applyBorder="1" applyAlignment="1">
      <alignment horizontal="justify" vertical="center"/>
    </xf>
    <xf numFmtId="49" fontId="9" fillId="7" borderId="64" xfId="0" applyNumberFormat="1" applyFont="1" applyFill="1" applyBorder="1" applyAlignment="1">
      <alignment horizontal="justify" vertical="center"/>
    </xf>
    <xf numFmtId="0" fontId="5" fillId="0" borderId="66" xfId="2" applyFont="1" applyBorder="1" applyAlignment="1">
      <alignment horizontal="center" vertical="center"/>
    </xf>
    <xf numFmtId="10" fontId="5" fillId="0" borderId="65" xfId="3" applyNumberFormat="1" applyFont="1" applyBorder="1" applyAlignment="1">
      <alignment vertical="center"/>
    </xf>
    <xf numFmtId="2" fontId="5" fillId="0" borderId="67" xfId="2" applyNumberFormat="1" applyFont="1" applyBorder="1" applyAlignment="1">
      <alignment vertical="center"/>
    </xf>
    <xf numFmtId="0" fontId="29" fillId="0" borderId="68" xfId="0" applyFont="1" applyBorder="1" applyAlignment="1">
      <alignment horizontal="left"/>
    </xf>
    <xf numFmtId="0" fontId="36" fillId="0" borderId="69" xfId="0" applyFont="1" applyBorder="1" applyAlignment="1">
      <alignment horizontal="center" vertical="center"/>
    </xf>
    <xf numFmtId="164" fontId="36" fillId="0" borderId="69" xfId="6" applyFont="1" applyBorder="1" applyAlignment="1">
      <alignment horizontal="center" vertical="center"/>
    </xf>
    <xf numFmtId="2" fontId="3" fillId="3" borderId="3" xfId="2" applyNumberFormat="1" applyFont="1" applyFill="1" applyBorder="1" applyAlignment="1">
      <alignment vertical="center"/>
    </xf>
    <xf numFmtId="2" fontId="38" fillId="16" borderId="56" xfId="0" applyNumberFormat="1" applyFont="1" applyFill="1" applyBorder="1" applyAlignment="1">
      <alignment horizontal="center" vertical="center"/>
    </xf>
    <xf numFmtId="169" fontId="38" fillId="16" borderId="57" xfId="0" applyNumberFormat="1" applyFont="1" applyFill="1" applyBorder="1" applyAlignment="1">
      <alignment horizontal="center" vertical="center"/>
    </xf>
    <xf numFmtId="2" fontId="41" fillId="16" borderId="59" xfId="0" applyNumberFormat="1" applyFont="1" applyFill="1" applyBorder="1" applyAlignment="1">
      <alignment horizontal="center" vertical="center"/>
    </xf>
    <xf numFmtId="0" fontId="38" fillId="16" borderId="55" xfId="0" applyFont="1" applyFill="1" applyBorder="1" applyAlignment="1">
      <alignment horizontal="right" vertical="center"/>
    </xf>
    <xf numFmtId="0" fontId="38" fillId="16" borderId="58" xfId="0" applyFont="1" applyFill="1" applyBorder="1" applyAlignment="1">
      <alignment horizontal="right" vertical="center"/>
    </xf>
    <xf numFmtId="0" fontId="38" fillId="16" borderId="56" xfId="0" applyFont="1" applyFill="1" applyBorder="1" applyAlignment="1">
      <alignment horizontal="center" vertical="center"/>
    </xf>
    <xf numFmtId="169" fontId="41" fillId="16" borderId="60" xfId="0" applyNumberFormat="1" applyFont="1" applyFill="1" applyBorder="1" applyAlignment="1">
      <alignment horizontal="center" vertical="center"/>
    </xf>
    <xf numFmtId="169" fontId="38" fillId="16" borderId="56" xfId="0" applyNumberFormat="1" applyFont="1" applyFill="1" applyBorder="1" applyAlignment="1">
      <alignment horizontal="center" vertical="center"/>
    </xf>
    <xf numFmtId="0" fontId="38" fillId="16" borderId="59" xfId="0" applyFont="1" applyFill="1" applyBorder="1" applyAlignment="1">
      <alignment horizontal="center" vertical="center"/>
    </xf>
    <xf numFmtId="10" fontId="42" fillId="16" borderId="59" xfId="0" applyNumberFormat="1" applyFont="1" applyFill="1" applyBorder="1" applyAlignment="1">
      <alignment horizontal="center" vertical="center"/>
    </xf>
    <xf numFmtId="164" fontId="38" fillId="16" borderId="56" xfId="6" applyFont="1" applyFill="1" applyBorder="1" applyAlignment="1" applyProtection="1">
      <alignment horizontal="center" vertical="center"/>
    </xf>
    <xf numFmtId="0" fontId="41" fillId="16" borderId="59" xfId="0" applyFont="1" applyFill="1" applyBorder="1" applyAlignment="1">
      <alignment horizontal="center" vertical="center"/>
    </xf>
    <xf numFmtId="0" fontId="41" fillId="16" borderId="58" xfId="0" applyFont="1" applyFill="1" applyBorder="1" applyAlignment="1">
      <alignment horizontal="right" vertical="center"/>
    </xf>
    <xf numFmtId="169" fontId="41" fillId="16" borderId="59" xfId="0" applyNumberFormat="1" applyFont="1" applyFill="1" applyBorder="1" applyAlignment="1">
      <alignment horizontal="center" vertical="center"/>
    </xf>
    <xf numFmtId="164" fontId="41" fillId="16" borderId="59" xfId="6" applyFont="1" applyFill="1" applyBorder="1" applyAlignment="1" applyProtection="1">
      <alignment horizontal="center" vertical="center"/>
    </xf>
    <xf numFmtId="0" fontId="29" fillId="0" borderId="70" xfId="0" applyFont="1" applyBorder="1" applyAlignment="1">
      <alignment horizontal="center"/>
    </xf>
    <xf numFmtId="164" fontId="38" fillId="16" borderId="59" xfId="6" applyFont="1" applyFill="1" applyBorder="1" applyAlignment="1" applyProtection="1">
      <alignment horizontal="center" vertical="center"/>
    </xf>
    <xf numFmtId="2" fontId="38" fillId="16" borderId="59" xfId="0" applyNumberFormat="1" applyFont="1" applyFill="1" applyBorder="1" applyAlignment="1">
      <alignment horizontal="center" vertical="center"/>
    </xf>
    <xf numFmtId="169" fontId="38" fillId="16" borderId="59" xfId="0" applyNumberFormat="1" applyFont="1" applyFill="1" applyBorder="1" applyAlignment="1">
      <alignment horizontal="center" vertical="center"/>
    </xf>
    <xf numFmtId="169" fontId="38" fillId="16" borderId="60" xfId="0" applyNumberFormat="1" applyFont="1" applyFill="1" applyBorder="1" applyAlignment="1">
      <alignment horizontal="center" vertical="center"/>
    </xf>
    <xf numFmtId="0" fontId="38" fillId="16" borderId="61" xfId="0" applyFont="1" applyFill="1" applyBorder="1" applyAlignment="1">
      <alignment horizontal="right" vertical="center" wrapText="1"/>
    </xf>
    <xf numFmtId="0" fontId="38" fillId="16" borderId="62" xfId="0" applyFont="1" applyFill="1" applyBorder="1" applyAlignment="1">
      <alignment horizontal="center" vertical="center" wrapText="1"/>
    </xf>
    <xf numFmtId="169" fontId="38" fillId="16" borderId="63" xfId="0" applyNumberFormat="1" applyFont="1" applyFill="1" applyBorder="1" applyAlignment="1">
      <alignment horizontal="center" vertical="center"/>
    </xf>
    <xf numFmtId="2" fontId="35" fillId="2" borderId="3" xfId="0" applyNumberFormat="1" applyFont="1" applyFill="1" applyBorder="1" applyAlignment="1">
      <alignment horizontal="center" vertical="center" wrapText="1"/>
    </xf>
    <xf numFmtId="4" fontId="35" fillId="2" borderId="3" xfId="0" applyNumberFormat="1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3" fillId="0" borderId="26" xfId="0" applyFont="1" applyBorder="1" applyAlignment="1">
      <alignment vertical="center" wrapText="1"/>
    </xf>
    <xf numFmtId="164" fontId="0" fillId="0" borderId="24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4" xfId="6" applyFont="1" applyBorder="1" applyAlignment="1">
      <alignment horizontal="center" vertical="center"/>
    </xf>
    <xf numFmtId="164" fontId="0" fillId="0" borderId="0" xfId="6" applyFont="1" applyBorder="1" applyAlignment="1">
      <alignment horizontal="center" vertical="center"/>
    </xf>
    <xf numFmtId="164" fontId="0" fillId="0" borderId="20" xfId="6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10" borderId="18" xfId="0" applyFont="1" applyFill="1" applyBorder="1" applyAlignment="1">
      <alignment horizontal="center" vertical="center"/>
    </xf>
    <xf numFmtId="0" fontId="12" fillId="10" borderId="1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64" fontId="0" fillId="0" borderId="0" xfId="6" applyFont="1" applyAlignment="1">
      <alignment horizontal="center" vertical="center"/>
    </xf>
    <xf numFmtId="0" fontId="2" fillId="10" borderId="17" xfId="0" applyFont="1" applyFill="1" applyBorder="1" applyAlignment="1">
      <alignment horizontal="center" vertical="center"/>
    </xf>
    <xf numFmtId="0" fontId="22" fillId="2" borderId="25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3" fillId="0" borderId="3" xfId="2" applyBorder="1" applyAlignment="1">
      <alignment horizontal="left" vertical="center"/>
    </xf>
    <xf numFmtId="0" fontId="4" fillId="0" borderId="3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3" fillId="0" borderId="0" xfId="2" applyAlignment="1">
      <alignment horizontal="left" vertical="center"/>
    </xf>
    <xf numFmtId="0" fontId="5" fillId="0" borderId="65" xfId="2" applyFont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5" fillId="0" borderId="5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0" fontId="3" fillId="0" borderId="3" xfId="2" applyBorder="1" applyAlignment="1">
      <alignment vertical="center"/>
    </xf>
    <xf numFmtId="0" fontId="4" fillId="5" borderId="8" xfId="2" applyFont="1" applyFill="1" applyBorder="1" applyAlignment="1">
      <alignment horizontal="center" vertical="center"/>
    </xf>
    <xf numFmtId="0" fontId="4" fillId="5" borderId="65" xfId="2" applyFont="1" applyFill="1" applyBorder="1" applyAlignment="1">
      <alignment horizontal="center" vertical="center"/>
    </xf>
    <xf numFmtId="0" fontId="4" fillId="4" borderId="3" xfId="2" applyFont="1" applyFill="1" applyBorder="1" applyAlignment="1">
      <alignment horizontal="center" vertical="center"/>
    </xf>
    <xf numFmtId="0" fontId="4" fillId="5" borderId="9" xfId="2" applyFont="1" applyFill="1" applyBorder="1" applyAlignment="1">
      <alignment horizontal="center" vertical="center"/>
    </xf>
    <xf numFmtId="0" fontId="4" fillId="5" borderId="5" xfId="2" applyFont="1" applyFill="1" applyBorder="1" applyAlignment="1">
      <alignment horizontal="center" vertical="center"/>
    </xf>
    <xf numFmtId="0" fontId="4" fillId="5" borderId="6" xfId="2" applyFont="1" applyFill="1" applyBorder="1" applyAlignment="1">
      <alignment horizontal="center" vertical="center"/>
    </xf>
    <xf numFmtId="0" fontId="4" fillId="5" borderId="16" xfId="2" applyFont="1" applyFill="1" applyBorder="1" applyAlignment="1">
      <alignment horizontal="center" vertical="center"/>
    </xf>
    <xf numFmtId="0" fontId="3" fillId="0" borderId="3" xfId="2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4" fillId="0" borderId="16" xfId="2" applyFont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 wrapText="1"/>
    </xf>
    <xf numFmtId="0" fontId="4" fillId="5" borderId="3" xfId="2" applyFont="1" applyFill="1" applyBorder="1" applyAlignment="1">
      <alignment horizontal="center" vertical="center"/>
    </xf>
    <xf numFmtId="0" fontId="4" fillId="5" borderId="1" xfId="2" applyFont="1" applyFill="1" applyBorder="1" applyAlignment="1">
      <alignment horizontal="center" vertical="center"/>
    </xf>
    <xf numFmtId="0" fontId="3" fillId="0" borderId="1" xfId="2" applyBorder="1" applyAlignment="1">
      <alignment horizontal="left" vertical="center"/>
    </xf>
    <xf numFmtId="0" fontId="3" fillId="0" borderId="16" xfId="2" applyBorder="1" applyAlignment="1">
      <alignment horizontal="left" vertical="center"/>
    </xf>
    <xf numFmtId="0" fontId="3" fillId="0" borderId="2" xfId="2" applyBorder="1" applyAlignment="1">
      <alignment horizontal="left" vertical="center"/>
    </xf>
    <xf numFmtId="0" fontId="4" fillId="6" borderId="3" xfId="2" applyFont="1" applyFill="1" applyBorder="1" applyAlignment="1">
      <alignment horizontal="center" vertical="center"/>
    </xf>
    <xf numFmtId="0" fontId="4" fillId="5" borderId="7" xfId="2" applyFont="1" applyFill="1" applyBorder="1" applyAlignment="1">
      <alignment horizontal="center" vertical="center"/>
    </xf>
    <xf numFmtId="0" fontId="4" fillId="5" borderId="0" xfId="2" applyFont="1" applyFill="1" applyAlignment="1">
      <alignment horizontal="center" vertical="center"/>
    </xf>
    <xf numFmtId="14" fontId="3" fillId="0" borderId="3" xfId="2" applyNumberFormat="1" applyBorder="1" applyAlignment="1">
      <alignment horizontal="center" vertical="center"/>
    </xf>
    <xf numFmtId="0" fontId="3" fillId="0" borderId="3" xfId="2" applyBorder="1" applyAlignment="1">
      <alignment horizontal="center" vertical="center"/>
    </xf>
    <xf numFmtId="0" fontId="3" fillId="0" borderId="0" xfId="2" applyAlignment="1">
      <alignment horizontal="center" vertical="center"/>
    </xf>
    <xf numFmtId="168" fontId="3" fillId="0" borderId="3" xfId="2" applyNumberFormat="1" applyBorder="1" applyAlignment="1">
      <alignment horizontal="center" vertical="center"/>
    </xf>
    <xf numFmtId="0" fontId="3" fillId="0" borderId="5" xfId="2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3" fillId="0" borderId="0" xfId="2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left" vertical="center"/>
    </xf>
    <xf numFmtId="0" fontId="3" fillId="0" borderId="3" xfId="2" applyBorder="1" applyAlignment="1">
      <alignment horizontal="center" vertical="center" wrapText="1"/>
    </xf>
    <xf numFmtId="164" fontId="3" fillId="0" borderId="3" xfId="6" applyFont="1" applyBorder="1" applyAlignment="1">
      <alignment horizontal="center" vertical="center"/>
    </xf>
    <xf numFmtId="0" fontId="3" fillId="0" borderId="66" xfId="2" applyBorder="1" applyAlignment="1">
      <alignment horizontal="center" vertical="center"/>
    </xf>
    <xf numFmtId="0" fontId="3" fillId="0" borderId="65" xfId="2" applyBorder="1" applyAlignment="1">
      <alignment horizontal="center" vertical="center"/>
    </xf>
    <xf numFmtId="0" fontId="3" fillId="0" borderId="67" xfId="2" applyBorder="1" applyAlignment="1">
      <alignment horizontal="center" vertical="center"/>
    </xf>
    <xf numFmtId="0" fontId="3" fillId="0" borderId="12" xfId="2" applyBorder="1" applyAlignment="1">
      <alignment horizontal="center" vertical="center"/>
    </xf>
    <xf numFmtId="0" fontId="3" fillId="0" borderId="13" xfId="2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1" fillId="3" borderId="2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/>
    </xf>
    <xf numFmtId="0" fontId="35" fillId="0" borderId="48" xfId="0" applyFont="1" applyBorder="1" applyAlignment="1">
      <alignment horizontal="center" vertical="center"/>
    </xf>
    <xf numFmtId="0" fontId="36" fillId="0" borderId="51" xfId="0" applyFont="1" applyBorder="1" applyAlignment="1">
      <alignment horizontal="left" vertical="center" wrapText="1"/>
    </xf>
    <xf numFmtId="0" fontId="36" fillId="0" borderId="51" xfId="0" applyFont="1" applyBorder="1" applyAlignment="1">
      <alignment horizontal="left" vertical="center"/>
    </xf>
    <xf numFmtId="0" fontId="36" fillId="0" borderId="52" xfId="0" applyFont="1" applyBorder="1" applyAlignment="1">
      <alignment horizontal="left" vertical="center"/>
    </xf>
    <xf numFmtId="0" fontId="35" fillId="0" borderId="48" xfId="0" applyFont="1" applyBorder="1" applyAlignment="1">
      <alignment horizontal="right" vertical="center"/>
    </xf>
    <xf numFmtId="0" fontId="31" fillId="0" borderId="5" xfId="0" applyFont="1" applyBorder="1" applyAlignment="1">
      <alignment horizontal="center" vertical="center"/>
    </xf>
    <xf numFmtId="0" fontId="33" fillId="15" borderId="48" xfId="0" applyFont="1" applyFill="1" applyBorder="1" applyAlignment="1">
      <alignment horizontal="center" vertical="center" wrapText="1"/>
    </xf>
    <xf numFmtId="0" fontId="37" fillId="0" borderId="48" xfId="0" applyFont="1" applyBorder="1" applyAlignment="1">
      <alignment horizontal="left" vertical="center"/>
    </xf>
    <xf numFmtId="0" fontId="37" fillId="0" borderId="48" xfId="0" applyFont="1" applyBorder="1" applyAlignment="1">
      <alignment horizontal="right" vertical="center"/>
    </xf>
    <xf numFmtId="0" fontId="18" fillId="0" borderId="2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12" fillId="0" borderId="0" xfId="0" applyFont="1" applyAlignment="1">
      <alignment horizontal="center"/>
    </xf>
    <xf numFmtId="0" fontId="25" fillId="0" borderId="18" xfId="0" applyFont="1" applyBorder="1" applyAlignment="1">
      <alignment horizontal="left" vertical="top" wrapText="1"/>
    </xf>
    <xf numFmtId="0" fontId="2" fillId="3" borderId="2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top" wrapText="1"/>
    </xf>
    <xf numFmtId="0" fontId="19" fillId="2" borderId="18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8" fillId="12" borderId="46" xfId="0" applyFont="1" applyFill="1" applyBorder="1" applyAlignment="1">
      <alignment horizontal="right"/>
    </xf>
    <xf numFmtId="0" fontId="28" fillId="12" borderId="31" xfId="0" applyFont="1" applyFill="1" applyBorder="1" applyAlignment="1">
      <alignment horizontal="right" vertical="center"/>
    </xf>
    <xf numFmtId="0" fontId="28" fillId="12" borderId="3" xfId="0" applyFont="1" applyFill="1" applyBorder="1" applyAlignment="1">
      <alignment horizontal="right" vertical="center"/>
    </xf>
    <xf numFmtId="0" fontId="28" fillId="12" borderId="33" xfId="0" applyFont="1" applyFill="1" applyBorder="1" applyAlignment="1">
      <alignment horizontal="right" vertical="center"/>
    </xf>
    <xf numFmtId="0" fontId="28" fillId="12" borderId="34" xfId="0" applyFont="1" applyFill="1" applyBorder="1" applyAlignment="1">
      <alignment horizontal="right" vertical="center"/>
    </xf>
    <xf numFmtId="0" fontId="28" fillId="12" borderId="36" xfId="0" applyFont="1" applyFill="1" applyBorder="1" applyAlignment="1">
      <alignment horizontal="right"/>
    </xf>
    <xf numFmtId="0" fontId="28" fillId="12" borderId="26" xfId="0" applyFont="1" applyFill="1" applyBorder="1" applyAlignment="1">
      <alignment horizontal="right"/>
    </xf>
    <xf numFmtId="0" fontId="28" fillId="12" borderId="37" xfId="0" applyFont="1" applyFill="1" applyBorder="1" applyAlignment="1">
      <alignment horizontal="right"/>
    </xf>
    <xf numFmtId="0" fontId="28" fillId="12" borderId="16" xfId="0" applyFont="1" applyFill="1" applyBorder="1" applyAlignment="1">
      <alignment horizontal="right"/>
    </xf>
    <xf numFmtId="0" fontId="28" fillId="12" borderId="44" xfId="0" applyFont="1" applyFill="1" applyBorder="1" applyAlignment="1">
      <alignment horizontal="right"/>
    </xf>
    <xf numFmtId="0" fontId="18" fillId="0" borderId="1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8" fillId="12" borderId="31" xfId="0" applyFont="1" applyFill="1" applyBorder="1" applyAlignment="1">
      <alignment horizontal="right"/>
    </xf>
    <xf numFmtId="0" fontId="28" fillId="12" borderId="3" xfId="0" applyFont="1" applyFill="1" applyBorder="1" applyAlignment="1">
      <alignment horizontal="right"/>
    </xf>
    <xf numFmtId="0" fontId="40" fillId="17" borderId="3" xfId="0" applyFont="1" applyFill="1" applyBorder="1" applyAlignment="1">
      <alignment horizontal="center" vertical="center"/>
    </xf>
    <xf numFmtId="0" fontId="33" fillId="2" borderId="3" xfId="0" applyFont="1" applyFill="1" applyBorder="1" applyAlignment="1">
      <alignment horizontal="center" vertical="center"/>
    </xf>
    <xf numFmtId="0" fontId="33" fillId="2" borderId="3" xfId="0" applyFont="1" applyFill="1" applyBorder="1" applyAlignment="1">
      <alignment horizontal="center" vertical="center" wrapText="1"/>
    </xf>
    <xf numFmtId="2" fontId="38" fillId="2" borderId="3" xfId="0" applyNumberFormat="1" applyFont="1" applyFill="1" applyBorder="1" applyAlignment="1">
      <alignment horizontal="center" vertical="center"/>
    </xf>
    <xf numFmtId="0" fontId="38" fillId="18" borderId="3" xfId="0" applyFont="1" applyFill="1" applyBorder="1" applyAlignment="1">
      <alignment horizontal="center" vertical="center"/>
    </xf>
    <xf numFmtId="0" fontId="2" fillId="10" borderId="18" xfId="0" applyFont="1" applyFill="1" applyBorder="1" applyAlignment="1">
      <alignment horizontal="center"/>
    </xf>
    <xf numFmtId="0" fontId="14" fillId="2" borderId="21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2" fillId="10" borderId="19" xfId="0" applyFont="1" applyFill="1" applyBorder="1" applyAlignment="1">
      <alignment horizontal="center"/>
    </xf>
  </cellXfs>
  <cellStyles count="23">
    <cellStyle name="Hiperlink" xfId="9" builtinId="8"/>
    <cellStyle name="Moeda" xfId="6" builtinId="4"/>
    <cellStyle name="Moeda 2" xfId="8" xr:uid="{6F3DF74B-83FE-48E8-B7D2-1871FC592213}"/>
    <cellStyle name="Moeda 2 2" xfId="14" xr:uid="{C0DD8BAF-D662-4C6D-9071-31C3DF0E4B60}"/>
    <cellStyle name="Moeda 2 2 2" xfId="21" xr:uid="{D02AC2DC-9F8D-4126-9684-26BF14170553}"/>
    <cellStyle name="Moeda 2 3" xfId="17" xr:uid="{277A10BA-577E-41B6-BC6A-D8AF7E54CCB8}"/>
    <cellStyle name="Moeda 3" xfId="4" xr:uid="{808B5339-4C0D-46E1-8635-0F69445771DA}"/>
    <cellStyle name="Moeda 3 2" xfId="15" xr:uid="{4FD7C20A-DCE7-4847-823A-48B8493947E3}"/>
    <cellStyle name="Moeda 3 2 2" xfId="22" xr:uid="{1E8F6C6E-40CC-444F-978D-A1D373B2D7D0}"/>
    <cellStyle name="Moeda 4" xfId="10" xr:uid="{65684B29-D94A-4E82-BF00-31DE7CF4F75B}"/>
    <cellStyle name="Moeda 4 2" xfId="18" xr:uid="{3AEDAFD0-C331-4ADF-9668-5A31F64D1CAF}"/>
    <cellStyle name="Moeda 5" xfId="12" xr:uid="{41E7B8D0-ADD4-4241-9427-42A1C8087A84}"/>
    <cellStyle name="Moeda 5 2" xfId="19" xr:uid="{6FC385BF-9B98-429F-9CEF-58305C30E9DC}"/>
    <cellStyle name="Moeda 6" xfId="13" xr:uid="{7B01B530-78F4-4AE5-A0F7-B957EB02223C}"/>
    <cellStyle name="Moeda 6 2" xfId="20" xr:uid="{6B462916-E9C1-4B0C-9F1E-F4D79904AC1B}"/>
    <cellStyle name="Normal" xfId="0" builtinId="0"/>
    <cellStyle name="Normal 2" xfId="2" xr:uid="{1465AF81-0025-41F7-A8A9-10FB7BAC5101}"/>
    <cellStyle name="Normal 2 2" xfId="5" xr:uid="{BFAE33D4-1961-435A-A000-505E248F19CB}"/>
    <cellStyle name="Normal 3" xfId="11" xr:uid="{9D20C1B3-08E0-4DA3-8836-E0CE9780436E}"/>
    <cellStyle name="Porcentagem 2" xfId="3" xr:uid="{947EA1A2-51CE-4182-9FCF-CB917206EB31}"/>
    <cellStyle name="Vírgula" xfId="1" builtinId="3"/>
    <cellStyle name="Vírgula 2" xfId="7" xr:uid="{35C80681-BE1B-49AA-B9E8-8B152FB6DE6A}"/>
    <cellStyle name="Vírgula 2 2" xfId="16" xr:uid="{CD7425BB-39EE-4333-9533-27BFF7AD2FDF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975360</xdr:colOff>
      <xdr:row>2</xdr:row>
      <xdr:rowOff>160020</xdr:rowOff>
    </xdr:to>
    <xdr:pic>
      <xdr:nvPicPr>
        <xdr:cNvPr id="2" name="Imagem 1" descr="anac_comp_horz_esp-cor.png">
          <a:extLst>
            <a:ext uri="{FF2B5EF4-FFF2-40B4-BE49-F238E27FC236}">
              <a16:creationId xmlns:a16="http://schemas.microsoft.com/office/drawing/2014/main" id="{E4F7D353-2858-4D71-8DED-C1DAB0327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2880"/>
          <a:ext cx="97536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975360</xdr:colOff>
      <xdr:row>2</xdr:row>
      <xdr:rowOff>161501</xdr:rowOff>
    </xdr:to>
    <xdr:pic>
      <xdr:nvPicPr>
        <xdr:cNvPr id="2" name="Imagem 1" descr="anac_comp_horz_esp-cor.png">
          <a:extLst>
            <a:ext uri="{FF2B5EF4-FFF2-40B4-BE49-F238E27FC236}">
              <a16:creationId xmlns:a16="http://schemas.microsoft.com/office/drawing/2014/main" id="{79BBE453-4D69-42C7-A5B5-0BBB1CB9E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2880"/>
          <a:ext cx="975360" cy="344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lario.com.br/profissao/assistente-administrativo-cbo-411010/sao-paulo-sp/" TargetMode="External"/><Relationship Id="rId2" Type="http://schemas.openxmlformats.org/officeDocument/2006/relationships/hyperlink" Target="https://www.infojobs.com.br/salario/assistente-administrativo?il=64&amp;pn=1" TargetMode="External"/><Relationship Id="rId1" Type="http://schemas.openxmlformats.org/officeDocument/2006/relationships/hyperlink" Target="https://dissidio.com.br/salario/assistente-administrativo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2D5BD-05E9-45E4-AE56-BA3038B6A274}">
  <dimension ref="B3:J115"/>
  <sheetViews>
    <sheetView showGridLines="0" topLeftCell="A70" zoomScale="80" zoomScaleNormal="80" workbookViewId="0">
      <selection activeCell="H34" sqref="H34"/>
    </sheetView>
  </sheetViews>
  <sheetFormatPr defaultColWidth="8.88671875" defaultRowHeight="14.4" x14ac:dyDescent="0.3"/>
  <cols>
    <col min="1" max="1" width="8.88671875" style="47"/>
    <col min="2" max="2" width="67.88671875" style="47" bestFit="1" customWidth="1"/>
    <col min="3" max="3" width="19.44140625" style="47" bestFit="1" customWidth="1"/>
    <col min="4" max="4" width="17.5546875" style="47" customWidth="1"/>
    <col min="5" max="5" width="40.44140625" style="47" bestFit="1" customWidth="1"/>
    <col min="6" max="6" width="17.5546875" style="47" bestFit="1" customWidth="1"/>
    <col min="7" max="7" width="15.44140625" style="47" bestFit="1" customWidth="1"/>
    <col min="8" max="8" width="16.88671875" style="47" bestFit="1" customWidth="1"/>
    <col min="9" max="9" width="12.5546875" style="47" customWidth="1"/>
    <col min="10" max="10" width="15.5546875" style="47" bestFit="1" customWidth="1"/>
    <col min="11" max="16384" width="8.88671875" style="47"/>
  </cols>
  <sheetData>
    <row r="3" spans="2:10" ht="15" thickBot="1" x14ac:dyDescent="0.35">
      <c r="J3" s="51"/>
    </row>
    <row r="4" spans="2:10" ht="19.2" thickTop="1" thickBot="1" x14ac:dyDescent="0.35">
      <c r="B4" s="284" t="s">
        <v>0</v>
      </c>
      <c r="C4" s="284"/>
      <c r="D4" s="284"/>
      <c r="E4" s="284"/>
      <c r="F4" s="284"/>
      <c r="G4" s="284"/>
      <c r="H4" s="284"/>
      <c r="I4" s="284"/>
      <c r="J4" s="284"/>
    </row>
    <row r="5" spans="2:10" ht="18.600000000000001" thickTop="1" x14ac:dyDescent="0.3">
      <c r="B5" s="71"/>
      <c r="C5" s="71"/>
      <c r="D5" s="71"/>
      <c r="E5" s="71"/>
      <c r="F5" s="71"/>
      <c r="G5" s="71"/>
      <c r="H5" s="71"/>
      <c r="I5" s="71"/>
      <c r="J5" s="71"/>
    </row>
    <row r="6" spans="2:10" ht="18" x14ac:dyDescent="0.3">
      <c r="B6" s="71"/>
      <c r="C6" s="71"/>
      <c r="D6" s="71"/>
      <c r="E6" s="71"/>
      <c r="F6" s="71"/>
      <c r="G6" s="71"/>
      <c r="H6" s="71"/>
      <c r="I6" s="71"/>
      <c r="J6" s="71"/>
    </row>
    <row r="7" spans="2:10" ht="15" thickBot="1" x14ac:dyDescent="0.35">
      <c r="J7" s="51"/>
    </row>
    <row r="8" spans="2:10" ht="15" thickTop="1" x14ac:dyDescent="0.3">
      <c r="B8" s="288" t="s">
        <v>1</v>
      </c>
      <c r="C8" s="288"/>
      <c r="D8" s="288"/>
      <c r="E8" s="288"/>
      <c r="F8" s="288"/>
      <c r="G8" s="288"/>
      <c r="H8" s="288"/>
      <c r="I8" s="288"/>
      <c r="J8" s="288"/>
    </row>
    <row r="9" spans="2:10" ht="28.8" x14ac:dyDescent="0.3">
      <c r="B9" s="64" t="s">
        <v>2</v>
      </c>
      <c r="C9" s="64" t="s">
        <v>3</v>
      </c>
      <c r="D9" s="64" t="s">
        <v>4</v>
      </c>
      <c r="E9" s="64" t="s">
        <v>5</v>
      </c>
      <c r="F9" s="64" t="s">
        <v>6</v>
      </c>
      <c r="G9" s="64" t="s">
        <v>7</v>
      </c>
      <c r="H9" s="64" t="s">
        <v>8</v>
      </c>
      <c r="I9" s="64" t="s">
        <v>9</v>
      </c>
      <c r="J9" s="64" t="s">
        <v>10</v>
      </c>
    </row>
    <row r="10" spans="2:10" x14ac:dyDescent="0.3">
      <c r="B10" s="229" t="s">
        <v>11</v>
      </c>
      <c r="C10" s="230">
        <v>343009</v>
      </c>
      <c r="D10" s="231" t="s">
        <v>12</v>
      </c>
      <c r="E10" s="232" t="s">
        <v>13</v>
      </c>
      <c r="F10" s="231" t="s">
        <v>14</v>
      </c>
      <c r="G10" s="233">
        <v>2729.16</v>
      </c>
      <c r="H10" s="274">
        <f>AVERAGE(G10:G15)</f>
        <v>2273.7511111111112</v>
      </c>
      <c r="I10" s="274">
        <f>STDEV(G10:G15)</f>
        <v>259.9363161123751</v>
      </c>
      <c r="J10" s="280">
        <f>AVERAGE(G11,G12,G13,G15)</f>
        <v>2244.336666666667</v>
      </c>
    </row>
    <row r="11" spans="2:10" x14ac:dyDescent="0.3">
      <c r="B11" s="47" t="s">
        <v>15</v>
      </c>
      <c r="C11" s="49">
        <v>393025</v>
      </c>
      <c r="D11" s="60" t="s">
        <v>16</v>
      </c>
      <c r="E11" s="55" t="s">
        <v>17</v>
      </c>
      <c r="F11" s="60" t="s">
        <v>18</v>
      </c>
      <c r="G11" s="56">
        <v>2309.91</v>
      </c>
      <c r="H11" s="275"/>
      <c r="I11" s="275"/>
      <c r="J11" s="285"/>
    </row>
    <row r="12" spans="2:10" x14ac:dyDescent="0.3">
      <c r="B12" s="47" t="s">
        <v>19</v>
      </c>
      <c r="C12" s="49">
        <v>130067</v>
      </c>
      <c r="D12" s="60" t="s">
        <v>20</v>
      </c>
      <c r="E12" s="55" t="s">
        <v>21</v>
      </c>
      <c r="F12" s="60" t="s">
        <v>22</v>
      </c>
      <c r="G12" s="56">
        <v>2194.35</v>
      </c>
      <c r="H12" s="275"/>
      <c r="I12" s="275"/>
      <c r="J12" s="285"/>
    </row>
    <row r="13" spans="2:10" x14ac:dyDescent="0.3">
      <c r="B13" s="57" t="s">
        <v>23</v>
      </c>
      <c r="C13" s="49" t="s">
        <v>24</v>
      </c>
      <c r="D13" s="49" t="s">
        <v>24</v>
      </c>
      <c r="E13" s="49" t="s">
        <v>24</v>
      </c>
      <c r="F13" s="49" t="s">
        <v>24</v>
      </c>
      <c r="G13" s="56">
        <v>2181.86</v>
      </c>
      <c r="H13" s="275"/>
      <c r="I13" s="275"/>
      <c r="J13" s="285"/>
    </row>
    <row r="14" spans="2:10" x14ac:dyDescent="0.3">
      <c r="B14" s="58" t="s">
        <v>25</v>
      </c>
      <c r="C14" s="49" t="s">
        <v>24</v>
      </c>
      <c r="D14" s="49" t="s">
        <v>24</v>
      </c>
      <c r="E14" s="49" t="s">
        <v>24</v>
      </c>
      <c r="F14" s="49" t="s">
        <v>24</v>
      </c>
      <c r="G14" s="59">
        <v>1936</v>
      </c>
      <c r="H14" s="275"/>
      <c r="I14" s="275"/>
      <c r="J14" s="285"/>
    </row>
    <row r="15" spans="2:10" ht="15" thickBot="1" x14ac:dyDescent="0.35">
      <c r="B15" s="61" t="s">
        <v>26</v>
      </c>
      <c r="C15" s="62" t="s">
        <v>24</v>
      </c>
      <c r="D15" s="62" t="s">
        <v>24</v>
      </c>
      <c r="E15" s="62" t="s">
        <v>24</v>
      </c>
      <c r="F15" s="62" t="s">
        <v>24</v>
      </c>
      <c r="G15" s="63">
        <f>2187.08*44/42</f>
        <v>2291.2266666666665</v>
      </c>
      <c r="H15" s="276"/>
      <c r="I15" s="276"/>
      <c r="J15" s="286"/>
    </row>
    <row r="16" spans="2:10" ht="15" thickTop="1" x14ac:dyDescent="0.3">
      <c r="B16" s="58"/>
      <c r="C16" s="49"/>
      <c r="D16" s="49"/>
      <c r="E16" s="49"/>
      <c r="F16" s="49"/>
      <c r="G16" s="82"/>
      <c r="H16" s="81"/>
      <c r="I16" s="81"/>
      <c r="J16" s="65"/>
    </row>
    <row r="17" spans="2:10" x14ac:dyDescent="0.3">
      <c r="B17" s="50"/>
      <c r="C17" s="50"/>
      <c r="D17" s="50"/>
      <c r="E17" s="50"/>
      <c r="F17" s="50"/>
      <c r="G17" s="48"/>
    </row>
    <row r="18" spans="2:10" ht="15" thickBot="1" x14ac:dyDescent="0.35">
      <c r="I18" s="51"/>
    </row>
    <row r="19" spans="2:10" ht="15" thickTop="1" x14ac:dyDescent="0.3">
      <c r="B19" s="283" t="s">
        <v>27</v>
      </c>
      <c r="C19" s="283"/>
      <c r="D19" s="283"/>
      <c r="E19" s="283"/>
      <c r="F19" s="283"/>
      <c r="G19" s="283"/>
      <c r="H19" s="283"/>
      <c r="I19" s="51"/>
    </row>
    <row r="20" spans="2:10" x14ac:dyDescent="0.3">
      <c r="B20" s="70" t="s">
        <v>2</v>
      </c>
      <c r="C20" s="70" t="s">
        <v>3</v>
      </c>
      <c r="D20" s="70" t="s">
        <v>4</v>
      </c>
      <c r="E20" s="70" t="s">
        <v>5</v>
      </c>
      <c r="F20" s="70" t="s">
        <v>6</v>
      </c>
      <c r="G20" s="70" t="s">
        <v>7</v>
      </c>
      <c r="H20" s="70" t="s">
        <v>8</v>
      </c>
      <c r="I20" s="52"/>
      <c r="J20" s="52"/>
    </row>
    <row r="21" spans="2:10" x14ac:dyDescent="0.3">
      <c r="B21" s="47" t="s">
        <v>11</v>
      </c>
      <c r="C21" s="49">
        <v>343009</v>
      </c>
      <c r="D21" s="60" t="s">
        <v>12</v>
      </c>
      <c r="E21" s="55" t="s">
        <v>13</v>
      </c>
      <c r="F21" s="60" t="s">
        <v>14</v>
      </c>
      <c r="G21" s="66">
        <v>8</v>
      </c>
      <c r="H21" s="281">
        <f>AVERAGE(G21:G27)</f>
        <v>3.2871428571428574</v>
      </c>
      <c r="I21" s="287"/>
      <c r="J21" s="281"/>
    </row>
    <row r="22" spans="2:10" x14ac:dyDescent="0.3">
      <c r="B22" s="47" t="s">
        <v>15</v>
      </c>
      <c r="C22" s="49">
        <v>393025</v>
      </c>
      <c r="D22" s="49" t="s">
        <v>16</v>
      </c>
      <c r="E22" s="47" t="s">
        <v>17</v>
      </c>
      <c r="F22" s="49" t="s">
        <v>18</v>
      </c>
      <c r="G22" s="66">
        <v>1.41</v>
      </c>
      <c r="H22" s="281"/>
      <c r="I22" s="287"/>
      <c r="J22" s="281"/>
    </row>
    <row r="23" spans="2:10" x14ac:dyDescent="0.3">
      <c r="B23" s="47" t="s">
        <v>19</v>
      </c>
      <c r="C23" s="49">
        <v>130067</v>
      </c>
      <c r="D23" s="60" t="s">
        <v>20</v>
      </c>
      <c r="E23" s="47" t="s">
        <v>21</v>
      </c>
      <c r="F23" s="49" t="s">
        <v>22</v>
      </c>
      <c r="G23" s="66">
        <v>2.4</v>
      </c>
      <c r="H23" s="281"/>
      <c r="I23" s="287"/>
      <c r="J23" s="281"/>
    </row>
    <row r="24" spans="2:10" x14ac:dyDescent="0.3">
      <c r="B24" s="47" t="s">
        <v>28</v>
      </c>
      <c r="C24" s="49">
        <v>389423</v>
      </c>
      <c r="D24" s="67" t="s">
        <v>29</v>
      </c>
      <c r="E24" s="47" t="s">
        <v>30</v>
      </c>
      <c r="F24" s="49" t="s">
        <v>31</v>
      </c>
      <c r="G24" s="66">
        <v>2.4</v>
      </c>
      <c r="H24" s="281"/>
      <c r="I24" s="287"/>
      <c r="J24" s="281"/>
    </row>
    <row r="25" spans="2:10" x14ac:dyDescent="0.3">
      <c r="B25" s="47" t="s">
        <v>32</v>
      </c>
      <c r="C25" s="49">
        <v>200050</v>
      </c>
      <c r="D25" s="67" t="s">
        <v>33</v>
      </c>
      <c r="E25" s="47" t="s">
        <v>34</v>
      </c>
      <c r="F25" s="49" t="s">
        <v>35</v>
      </c>
      <c r="G25" s="66">
        <v>0.6</v>
      </c>
      <c r="H25" s="281"/>
      <c r="I25" s="287"/>
      <c r="J25" s="281"/>
    </row>
    <row r="26" spans="2:10" x14ac:dyDescent="0.3">
      <c r="B26" s="47" t="s">
        <v>36</v>
      </c>
      <c r="C26" s="49">
        <v>158154</v>
      </c>
      <c r="D26" s="49" t="s">
        <v>37</v>
      </c>
      <c r="E26" s="47" t="s">
        <v>38</v>
      </c>
      <c r="F26" s="49" t="s">
        <v>39</v>
      </c>
      <c r="G26" s="66">
        <v>7.6</v>
      </c>
      <c r="H26" s="281"/>
      <c r="I26" s="287"/>
      <c r="J26" s="281"/>
    </row>
    <row r="27" spans="2:10" ht="15" thickBot="1" x14ac:dyDescent="0.35">
      <c r="B27" s="68" t="s">
        <v>40</v>
      </c>
      <c r="C27" s="62">
        <v>510178</v>
      </c>
      <c r="D27" s="62" t="s">
        <v>41</v>
      </c>
      <c r="E27" s="68" t="s">
        <v>42</v>
      </c>
      <c r="F27" s="62" t="s">
        <v>43</v>
      </c>
      <c r="G27" s="69">
        <v>0.6</v>
      </c>
      <c r="H27" s="282"/>
      <c r="I27" s="287"/>
      <c r="J27" s="281"/>
    </row>
    <row r="28" spans="2:10" ht="15" thickTop="1" x14ac:dyDescent="0.3">
      <c r="C28" s="49"/>
      <c r="D28" s="49"/>
      <c r="F28" s="49"/>
      <c r="G28" s="66"/>
      <c r="H28" s="54"/>
      <c r="I28" s="53"/>
      <c r="J28" s="54"/>
    </row>
    <row r="30" spans="2:10" ht="15" thickBot="1" x14ac:dyDescent="0.35"/>
    <row r="31" spans="2:10" ht="15" thickTop="1" x14ac:dyDescent="0.3">
      <c r="B31" s="283" t="s">
        <v>44</v>
      </c>
      <c r="C31" s="283"/>
      <c r="D31" s="283"/>
      <c r="E31" s="283"/>
      <c r="F31" s="283"/>
      <c r="G31" s="283"/>
      <c r="H31" s="283"/>
    </row>
    <row r="32" spans="2:10" ht="33.6" customHeight="1" x14ac:dyDescent="0.3">
      <c r="B32" s="78" t="s">
        <v>44</v>
      </c>
      <c r="C32" s="78" t="s">
        <v>6</v>
      </c>
      <c r="D32" s="78" t="s">
        <v>45</v>
      </c>
      <c r="E32" s="78" t="s">
        <v>7</v>
      </c>
      <c r="F32" s="78" t="s">
        <v>8</v>
      </c>
      <c r="G32" s="78" t="s">
        <v>9</v>
      </c>
      <c r="H32" s="79" t="s">
        <v>10</v>
      </c>
      <c r="I32" s="51"/>
      <c r="J32" s="51"/>
    </row>
    <row r="33" spans="2:9" x14ac:dyDescent="0.3">
      <c r="B33" s="47" t="s">
        <v>46</v>
      </c>
      <c r="C33" s="49" t="s">
        <v>47</v>
      </c>
      <c r="D33" s="72">
        <v>44460</v>
      </c>
      <c r="E33" s="73">
        <v>1329</v>
      </c>
      <c r="F33" s="275">
        <f>AVERAGE(E33:E43)</f>
        <v>1468.1872727272728</v>
      </c>
      <c r="G33" s="278">
        <f>STDEV(E33:E43)</f>
        <v>138.40064270738841</v>
      </c>
    </row>
    <row r="34" spans="2:9" x14ac:dyDescent="0.3">
      <c r="B34" s="47" t="s">
        <v>48</v>
      </c>
      <c r="C34" s="49" t="s">
        <v>49</v>
      </c>
      <c r="D34" s="72">
        <v>44460</v>
      </c>
      <c r="E34" s="74">
        <f>1398.95+25.84</f>
        <v>1424.79</v>
      </c>
      <c r="F34" s="275"/>
      <c r="G34" s="278"/>
    </row>
    <row r="35" spans="2:9" x14ac:dyDescent="0.3">
      <c r="B35" s="47" t="s">
        <v>50</v>
      </c>
      <c r="C35" s="49" t="s">
        <v>51</v>
      </c>
      <c r="D35" s="72">
        <v>44460</v>
      </c>
      <c r="E35" s="74">
        <f>1472.63+24.9</f>
        <v>1497.5300000000002</v>
      </c>
      <c r="F35" s="275"/>
      <c r="G35" s="278"/>
    </row>
    <row r="36" spans="2:9" x14ac:dyDescent="0.3">
      <c r="B36" s="47" t="s">
        <v>52</v>
      </c>
      <c r="C36" s="49" t="s">
        <v>53</v>
      </c>
      <c r="D36" s="72">
        <v>44460</v>
      </c>
      <c r="E36" s="74">
        <f>1367+38.84</f>
        <v>1405.84</v>
      </c>
      <c r="F36" s="275"/>
      <c r="G36" s="278"/>
    </row>
    <row r="37" spans="2:9" x14ac:dyDescent="0.3">
      <c r="B37" s="47" t="s">
        <v>54</v>
      </c>
      <c r="C37" s="49" t="s">
        <v>55</v>
      </c>
      <c r="D37" s="72">
        <v>44460</v>
      </c>
      <c r="E37" s="74">
        <f>1328+36.35</f>
        <v>1364.35</v>
      </c>
      <c r="F37" s="275"/>
      <c r="G37" s="278"/>
    </row>
    <row r="38" spans="2:9" x14ac:dyDescent="0.3">
      <c r="B38" s="47" t="s">
        <v>56</v>
      </c>
      <c r="C38" s="49" t="s">
        <v>57</v>
      </c>
      <c r="D38" s="72">
        <v>44460</v>
      </c>
      <c r="E38" s="74">
        <v>1420</v>
      </c>
      <c r="F38" s="275"/>
      <c r="G38" s="278"/>
      <c r="H38" s="75">
        <f>AVERAGE(E34:E42)</f>
        <v>1444.6733333333334</v>
      </c>
    </row>
    <row r="39" spans="2:9" x14ac:dyDescent="0.3">
      <c r="B39" s="47" t="s">
        <v>58</v>
      </c>
      <c r="C39" s="49" t="s">
        <v>59</v>
      </c>
      <c r="D39" s="72">
        <v>44460</v>
      </c>
      <c r="E39" s="74">
        <f>1462.31+29.35</f>
        <v>1491.6599999999999</v>
      </c>
      <c r="F39" s="275"/>
      <c r="G39" s="278"/>
    </row>
    <row r="40" spans="2:9" x14ac:dyDescent="0.3">
      <c r="B40" s="47" t="s">
        <v>60</v>
      </c>
      <c r="C40" s="49" t="s">
        <v>61</v>
      </c>
      <c r="D40" s="72">
        <v>44460</v>
      </c>
      <c r="E40" s="74">
        <f>1443+14.45</f>
        <v>1457.45</v>
      </c>
      <c r="F40" s="275"/>
      <c r="G40" s="278"/>
    </row>
    <row r="41" spans="2:9" x14ac:dyDescent="0.3">
      <c r="B41" s="47" t="s">
        <v>62</v>
      </c>
      <c r="C41" s="49" t="s">
        <v>63</v>
      </c>
      <c r="D41" s="72">
        <v>44460</v>
      </c>
      <c r="E41" s="74">
        <f>1299+51.44</f>
        <v>1350.44</v>
      </c>
      <c r="F41" s="275"/>
      <c r="G41" s="278"/>
    </row>
    <row r="42" spans="2:9" x14ac:dyDescent="0.3">
      <c r="B42" s="47" t="s">
        <v>64</v>
      </c>
      <c r="C42" s="49" t="s">
        <v>65</v>
      </c>
      <c r="D42" s="72">
        <v>44460</v>
      </c>
      <c r="E42" s="74">
        <v>1590</v>
      </c>
      <c r="F42" s="275"/>
      <c r="G42" s="278"/>
    </row>
    <row r="43" spans="2:9" ht="15" thickBot="1" x14ac:dyDescent="0.35">
      <c r="B43" s="68" t="s">
        <v>66</v>
      </c>
      <c r="C43" s="62" t="s">
        <v>67</v>
      </c>
      <c r="D43" s="76">
        <v>44460</v>
      </c>
      <c r="E43" s="77">
        <v>1819</v>
      </c>
      <c r="F43" s="276"/>
      <c r="G43" s="279"/>
      <c r="H43" s="68"/>
    </row>
    <row r="44" spans="2:9" ht="15" thickTop="1" x14ac:dyDescent="0.3">
      <c r="C44" s="49"/>
      <c r="D44" s="72"/>
      <c r="E44" s="53"/>
    </row>
    <row r="45" spans="2:9" x14ac:dyDescent="0.3">
      <c r="C45" s="49"/>
      <c r="D45" s="72"/>
      <c r="E45" s="53"/>
    </row>
    <row r="46" spans="2:9" ht="15" thickBot="1" x14ac:dyDescent="0.35"/>
    <row r="47" spans="2:9" ht="15" thickTop="1" x14ac:dyDescent="0.3">
      <c r="B47" s="283" t="s">
        <v>68</v>
      </c>
      <c r="C47" s="283"/>
      <c r="D47" s="283"/>
      <c r="E47" s="283"/>
      <c r="F47" s="283"/>
      <c r="G47" s="283"/>
      <c r="H47" s="283"/>
    </row>
    <row r="48" spans="2:9" x14ac:dyDescent="0.3">
      <c r="B48" s="70" t="s">
        <v>5</v>
      </c>
      <c r="C48" s="70" t="s">
        <v>6</v>
      </c>
      <c r="D48" s="70" t="s">
        <v>45</v>
      </c>
      <c r="E48" s="70" t="s">
        <v>7</v>
      </c>
      <c r="F48" s="70" t="s">
        <v>8</v>
      </c>
      <c r="G48" s="78" t="s">
        <v>9</v>
      </c>
      <c r="H48" s="79" t="s">
        <v>10</v>
      </c>
      <c r="I48" s="51"/>
    </row>
    <row r="49" spans="2:10" x14ac:dyDescent="0.3">
      <c r="B49" s="47" t="s">
        <v>46</v>
      </c>
      <c r="C49" s="49" t="s">
        <v>47</v>
      </c>
      <c r="D49" s="72">
        <v>44460</v>
      </c>
      <c r="E49" s="73">
        <f>120+49.2</f>
        <v>169.2</v>
      </c>
      <c r="F49" s="275">
        <f>AVERAGE(E49:E56)</f>
        <v>200.8125</v>
      </c>
      <c r="G49" s="278">
        <f>STDEV(E49:E56)</f>
        <v>31.184853809868237</v>
      </c>
      <c r="H49" s="281">
        <f>AVERAGE(E50:E54)</f>
        <v>203.93600000000001</v>
      </c>
    </row>
    <row r="50" spans="2:10" x14ac:dyDescent="0.3">
      <c r="B50" s="47" t="s">
        <v>48</v>
      </c>
      <c r="C50" s="49" t="s">
        <v>69</v>
      </c>
      <c r="D50" s="72">
        <v>44460</v>
      </c>
      <c r="E50" s="74">
        <f>172+32.69</f>
        <v>204.69</v>
      </c>
      <c r="F50" s="275"/>
      <c r="G50" s="278"/>
      <c r="H50" s="281"/>
    </row>
    <row r="51" spans="2:10" x14ac:dyDescent="0.3">
      <c r="B51" s="47" t="s">
        <v>50</v>
      </c>
      <c r="C51" s="49" t="s">
        <v>51</v>
      </c>
      <c r="D51" s="72">
        <v>44460</v>
      </c>
      <c r="E51" s="74">
        <f>192+22.22</f>
        <v>214.22</v>
      </c>
      <c r="F51" s="275"/>
      <c r="G51" s="278"/>
      <c r="H51" s="281"/>
    </row>
    <row r="52" spans="2:10" x14ac:dyDescent="0.3">
      <c r="B52" s="47" t="s">
        <v>52</v>
      </c>
      <c r="C52" s="49" t="s">
        <v>53</v>
      </c>
      <c r="D52" s="72">
        <v>44460</v>
      </c>
      <c r="E52" s="74">
        <f>6*30+32.72</f>
        <v>212.72</v>
      </c>
      <c r="F52" s="275"/>
      <c r="G52" s="278"/>
      <c r="H52" s="281"/>
    </row>
    <row r="53" spans="2:10" x14ac:dyDescent="0.3">
      <c r="B53" s="47" t="s">
        <v>54</v>
      </c>
      <c r="C53" s="49" t="s">
        <v>55</v>
      </c>
      <c r="D53" s="72">
        <v>44460</v>
      </c>
      <c r="E53" s="74">
        <f>29*6+39.71</f>
        <v>213.71</v>
      </c>
      <c r="F53" s="275"/>
      <c r="G53" s="278"/>
      <c r="H53" s="281"/>
    </row>
    <row r="54" spans="2:10" x14ac:dyDescent="0.3">
      <c r="B54" s="47" t="s">
        <v>56</v>
      </c>
      <c r="C54" s="49" t="s">
        <v>57</v>
      </c>
      <c r="D54" s="72">
        <v>44460</v>
      </c>
      <c r="E54" s="56">
        <f>150+24.34</f>
        <v>174.34</v>
      </c>
      <c r="F54" s="275"/>
      <c r="G54" s="278"/>
      <c r="H54" s="281"/>
    </row>
    <row r="55" spans="2:10" x14ac:dyDescent="0.3">
      <c r="B55" s="47" t="s">
        <v>58</v>
      </c>
      <c r="C55" s="49" t="s">
        <v>59</v>
      </c>
      <c r="D55" s="72">
        <v>44460</v>
      </c>
      <c r="E55" s="59">
        <f>135.57+25.93</f>
        <v>161.5</v>
      </c>
      <c r="F55" s="275"/>
      <c r="G55" s="278"/>
      <c r="H55" s="281"/>
    </row>
    <row r="56" spans="2:10" ht="15" thickBot="1" x14ac:dyDescent="0.35">
      <c r="B56" s="68" t="s">
        <v>60</v>
      </c>
      <c r="C56" s="62" t="s">
        <v>61</v>
      </c>
      <c r="D56" s="76">
        <v>44460</v>
      </c>
      <c r="E56" s="80">
        <f>40*6+16.12</f>
        <v>256.12</v>
      </c>
      <c r="F56" s="276"/>
      <c r="G56" s="279"/>
      <c r="H56" s="282"/>
    </row>
    <row r="57" spans="2:10" ht="15" thickTop="1" x14ac:dyDescent="0.3"/>
    <row r="58" spans="2:10" ht="15" thickBot="1" x14ac:dyDescent="0.35"/>
    <row r="59" spans="2:10" ht="15" thickTop="1" x14ac:dyDescent="0.3">
      <c r="B59" s="283" t="s">
        <v>70</v>
      </c>
      <c r="C59" s="283"/>
      <c r="D59" s="283"/>
      <c r="E59" s="283"/>
      <c r="F59" s="283"/>
      <c r="G59" s="283"/>
      <c r="H59" s="283"/>
    </row>
    <row r="60" spans="2:10" x14ac:dyDescent="0.3">
      <c r="B60" s="70" t="s">
        <v>5</v>
      </c>
      <c r="C60" s="70" t="s">
        <v>6</v>
      </c>
      <c r="D60" s="70" t="s">
        <v>45</v>
      </c>
      <c r="E60" s="70" t="s">
        <v>7</v>
      </c>
      <c r="F60" s="70" t="s">
        <v>8</v>
      </c>
      <c r="G60" s="78" t="s">
        <v>9</v>
      </c>
      <c r="H60" s="79" t="s">
        <v>10</v>
      </c>
    </row>
    <row r="61" spans="2:10" x14ac:dyDescent="0.3">
      <c r="B61" s="229" t="s">
        <v>71</v>
      </c>
      <c r="C61" s="230" t="s">
        <v>72</v>
      </c>
      <c r="D61" s="234">
        <v>44455</v>
      </c>
      <c r="E61" s="235">
        <v>56.8</v>
      </c>
      <c r="F61" s="274">
        <f>AVERAGE(E61:E66)</f>
        <v>99.381666666666661</v>
      </c>
      <c r="G61" s="277">
        <f>STDEV(E61:E66)</f>
        <v>48.968716714517541</v>
      </c>
      <c r="H61" s="280">
        <f>AVERAGE(E61,E62,E63,E66)</f>
        <v>69.072499999999991</v>
      </c>
      <c r="I61" s="51"/>
      <c r="J61" s="51"/>
    </row>
    <row r="62" spans="2:10" x14ac:dyDescent="0.3">
      <c r="B62" s="47" t="s">
        <v>73</v>
      </c>
      <c r="C62" s="49" t="s">
        <v>72</v>
      </c>
      <c r="D62" s="72">
        <v>44455</v>
      </c>
      <c r="E62" s="74">
        <v>53</v>
      </c>
      <c r="F62" s="275"/>
      <c r="G62" s="278"/>
      <c r="H62" s="281"/>
      <c r="I62" s="51"/>
      <c r="J62" s="51"/>
    </row>
    <row r="63" spans="2:10" x14ac:dyDescent="0.3">
      <c r="B63" s="47" t="s">
        <v>74</v>
      </c>
      <c r="C63" s="49" t="s">
        <v>75</v>
      </c>
      <c r="D63" s="72">
        <v>44463</v>
      </c>
      <c r="E63" s="74">
        <v>75.989999999999995</v>
      </c>
      <c r="F63" s="275"/>
      <c r="G63" s="278"/>
      <c r="H63" s="281"/>
      <c r="J63" s="51"/>
    </row>
    <row r="64" spans="2:10" x14ac:dyDescent="0.3">
      <c r="B64" s="47" t="s">
        <v>76</v>
      </c>
      <c r="C64" s="49" t="s">
        <v>77</v>
      </c>
      <c r="D64" s="72">
        <v>44455</v>
      </c>
      <c r="E64" s="73">
        <v>165</v>
      </c>
      <c r="F64" s="275"/>
      <c r="G64" s="278"/>
      <c r="H64" s="281"/>
    </row>
    <row r="65" spans="2:10" x14ac:dyDescent="0.3">
      <c r="B65" s="47" t="s">
        <v>78</v>
      </c>
      <c r="C65" s="49" t="s">
        <v>77</v>
      </c>
      <c r="D65" s="72">
        <v>44455</v>
      </c>
      <c r="E65" s="73">
        <v>155</v>
      </c>
      <c r="F65" s="275"/>
      <c r="G65" s="278"/>
      <c r="H65" s="281"/>
    </row>
    <row r="66" spans="2:10" ht="15" thickBot="1" x14ac:dyDescent="0.35">
      <c r="B66" s="68" t="s">
        <v>79</v>
      </c>
      <c r="C66" s="62" t="s">
        <v>80</v>
      </c>
      <c r="D66" s="76">
        <v>44463</v>
      </c>
      <c r="E66" s="93">
        <v>90.5</v>
      </c>
      <c r="F66" s="276"/>
      <c r="G66" s="279"/>
      <c r="H66" s="282"/>
    </row>
    <row r="67" spans="2:10" ht="15" thickTop="1" x14ac:dyDescent="0.3"/>
    <row r="68" spans="2:10" ht="15" thickBot="1" x14ac:dyDescent="0.35"/>
    <row r="69" spans="2:10" ht="15" thickTop="1" x14ac:dyDescent="0.3">
      <c r="B69" s="283" t="s">
        <v>81</v>
      </c>
      <c r="C69" s="283"/>
      <c r="D69" s="283"/>
      <c r="E69" s="283"/>
      <c r="F69" s="283"/>
      <c r="G69" s="283"/>
      <c r="H69" s="283"/>
    </row>
    <row r="70" spans="2:10" x14ac:dyDescent="0.3">
      <c r="B70" s="70" t="s">
        <v>5</v>
      </c>
      <c r="C70" s="70" t="s">
        <v>6</v>
      </c>
      <c r="D70" s="70" t="s">
        <v>45</v>
      </c>
      <c r="E70" s="70" t="s">
        <v>7</v>
      </c>
      <c r="F70" s="70" t="s">
        <v>8</v>
      </c>
      <c r="G70" s="78" t="s">
        <v>9</v>
      </c>
      <c r="H70" s="79" t="s">
        <v>10</v>
      </c>
      <c r="J70" s="51"/>
    </row>
    <row r="71" spans="2:10" x14ac:dyDescent="0.3">
      <c r="B71" s="229" t="s">
        <v>73</v>
      </c>
      <c r="C71" s="230" t="s">
        <v>72</v>
      </c>
      <c r="D71" s="234">
        <v>44455</v>
      </c>
      <c r="E71" s="236">
        <v>48.4</v>
      </c>
      <c r="F71" s="274">
        <f>AVERAGE(E71:E77)</f>
        <v>88.308571428571426</v>
      </c>
      <c r="G71" s="277">
        <f>STDEV(E71:E77)</f>
        <v>26.466185613956203</v>
      </c>
      <c r="H71" s="280">
        <f>AVERAGE(E72:E75)</f>
        <v>82.467500000000001</v>
      </c>
      <c r="J71" s="51"/>
    </row>
    <row r="72" spans="2:10" x14ac:dyDescent="0.3">
      <c r="B72" s="47" t="s">
        <v>82</v>
      </c>
      <c r="C72" s="49" t="s">
        <v>83</v>
      </c>
      <c r="D72" s="72">
        <v>44463</v>
      </c>
      <c r="E72" s="74">
        <v>69.989999999999995</v>
      </c>
      <c r="F72" s="275"/>
      <c r="G72" s="278"/>
      <c r="H72" s="281"/>
      <c r="I72" s="51"/>
      <c r="J72" s="51"/>
    </row>
    <row r="73" spans="2:10" x14ac:dyDescent="0.3">
      <c r="B73" s="47" t="s">
        <v>84</v>
      </c>
      <c r="C73" s="49" t="s">
        <v>85</v>
      </c>
      <c r="D73" s="72">
        <v>44463</v>
      </c>
      <c r="E73" s="74">
        <v>99.9</v>
      </c>
      <c r="F73" s="275"/>
      <c r="G73" s="278"/>
      <c r="H73" s="281"/>
      <c r="I73" s="51"/>
    </row>
    <row r="74" spans="2:10" x14ac:dyDescent="0.3">
      <c r="B74" s="47" t="s">
        <v>86</v>
      </c>
      <c r="C74" s="49" t="s">
        <v>87</v>
      </c>
      <c r="D74" s="72">
        <v>44463</v>
      </c>
      <c r="E74" s="74">
        <v>79.989999999999995</v>
      </c>
      <c r="F74" s="275"/>
      <c r="G74" s="278"/>
      <c r="H74" s="281"/>
    </row>
    <row r="75" spans="2:10" x14ac:dyDescent="0.3">
      <c r="B75" s="47" t="s">
        <v>88</v>
      </c>
      <c r="C75" s="49" t="s">
        <v>89</v>
      </c>
      <c r="D75" s="72">
        <v>44463</v>
      </c>
      <c r="E75" s="74">
        <v>79.989999999999995</v>
      </c>
      <c r="F75" s="275"/>
      <c r="G75" s="278"/>
      <c r="H75" s="281"/>
    </row>
    <row r="76" spans="2:10" x14ac:dyDescent="0.3">
      <c r="B76" s="47" t="s">
        <v>90</v>
      </c>
      <c r="C76" s="49" t="s">
        <v>91</v>
      </c>
      <c r="D76" s="72">
        <v>44463</v>
      </c>
      <c r="E76" s="73">
        <v>119.99</v>
      </c>
      <c r="F76" s="275"/>
      <c r="G76" s="278"/>
      <c r="H76" s="281"/>
    </row>
    <row r="77" spans="2:10" ht="15" thickBot="1" x14ac:dyDescent="0.35">
      <c r="B77" s="68" t="s">
        <v>92</v>
      </c>
      <c r="C77" s="62" t="s">
        <v>93</v>
      </c>
      <c r="D77" s="76">
        <v>44463</v>
      </c>
      <c r="E77" s="77">
        <v>119.9</v>
      </c>
      <c r="F77" s="276"/>
      <c r="G77" s="279"/>
      <c r="H77" s="282"/>
    </row>
    <row r="78" spans="2:10" ht="15" thickTop="1" x14ac:dyDescent="0.3"/>
    <row r="79" spans="2:10" ht="15" thickBot="1" x14ac:dyDescent="0.35"/>
    <row r="80" spans="2:10" ht="15" thickTop="1" x14ac:dyDescent="0.3">
      <c r="B80" s="283" t="s">
        <v>94</v>
      </c>
      <c r="C80" s="283"/>
      <c r="D80" s="283"/>
      <c r="E80" s="283"/>
      <c r="F80" s="283"/>
      <c r="G80" s="283"/>
      <c r="H80" s="283"/>
    </row>
    <row r="81" spans="2:10" x14ac:dyDescent="0.3">
      <c r="B81" s="70" t="s">
        <v>5</v>
      </c>
      <c r="C81" s="70" t="s">
        <v>6</v>
      </c>
      <c r="D81" s="70" t="s">
        <v>45</v>
      </c>
      <c r="E81" s="70" t="s">
        <v>7</v>
      </c>
      <c r="F81" s="70" t="s">
        <v>8</v>
      </c>
      <c r="G81" s="78" t="s">
        <v>9</v>
      </c>
      <c r="H81" s="79" t="s">
        <v>10</v>
      </c>
    </row>
    <row r="82" spans="2:10" x14ac:dyDescent="0.3">
      <c r="B82" s="229" t="s">
        <v>95</v>
      </c>
      <c r="C82" s="230" t="s">
        <v>96</v>
      </c>
      <c r="D82" s="234">
        <v>44463</v>
      </c>
      <c r="E82" s="235">
        <v>69.989999999999995</v>
      </c>
      <c r="F82" s="274">
        <f>AVERAGE(E82:E87)</f>
        <v>58.793333333333329</v>
      </c>
      <c r="G82" s="277">
        <f>STDEV(E82:E87)</f>
        <v>23.56617972151335</v>
      </c>
      <c r="H82" s="280">
        <f>AVERAGE(E82,E84,E85,E86,E87)</f>
        <v>50.572000000000003</v>
      </c>
    </row>
    <row r="83" spans="2:10" x14ac:dyDescent="0.3">
      <c r="B83" s="47" t="s">
        <v>97</v>
      </c>
      <c r="C83" s="49" t="s">
        <v>98</v>
      </c>
      <c r="D83" s="72">
        <v>44463</v>
      </c>
      <c r="E83" s="73">
        <v>99.9</v>
      </c>
      <c r="F83" s="275"/>
      <c r="G83" s="278"/>
      <c r="H83" s="281"/>
      <c r="I83" s="51"/>
    </row>
    <row r="84" spans="2:10" x14ac:dyDescent="0.3">
      <c r="B84" s="47" t="s">
        <v>99</v>
      </c>
      <c r="C84" s="49" t="s">
        <v>87</v>
      </c>
      <c r="D84" s="72">
        <v>44463</v>
      </c>
      <c r="E84" s="74">
        <v>59.99</v>
      </c>
      <c r="F84" s="275"/>
      <c r="G84" s="278"/>
      <c r="H84" s="281"/>
      <c r="I84" s="51"/>
    </row>
    <row r="85" spans="2:10" x14ac:dyDescent="0.3">
      <c r="B85" s="47" t="s">
        <v>100</v>
      </c>
      <c r="C85" s="49" t="s">
        <v>89</v>
      </c>
      <c r="D85" s="72">
        <v>44463</v>
      </c>
      <c r="E85" s="74">
        <v>42.99</v>
      </c>
      <c r="F85" s="275"/>
      <c r="G85" s="278"/>
      <c r="H85" s="281"/>
    </row>
    <row r="86" spans="2:10" x14ac:dyDescent="0.3">
      <c r="B86" s="47" t="s">
        <v>101</v>
      </c>
      <c r="C86" s="49" t="s">
        <v>91</v>
      </c>
      <c r="D86" s="72">
        <v>44463</v>
      </c>
      <c r="E86" s="74">
        <v>39.99</v>
      </c>
      <c r="F86" s="275"/>
      <c r="G86" s="278"/>
      <c r="H86" s="281"/>
    </row>
    <row r="87" spans="2:10" ht="15" thickBot="1" x14ac:dyDescent="0.35">
      <c r="B87" s="68" t="s">
        <v>102</v>
      </c>
      <c r="C87" s="62" t="s">
        <v>93</v>
      </c>
      <c r="D87" s="76">
        <v>44463</v>
      </c>
      <c r="E87" s="93">
        <v>39.9</v>
      </c>
      <c r="F87" s="276"/>
      <c r="G87" s="279"/>
      <c r="H87" s="282"/>
    </row>
    <row r="88" spans="2:10" ht="15" thickTop="1" x14ac:dyDescent="0.3"/>
    <row r="89" spans="2:10" ht="15" thickBot="1" x14ac:dyDescent="0.35"/>
    <row r="90" spans="2:10" ht="15" thickTop="1" x14ac:dyDescent="0.3">
      <c r="B90" s="283" t="s">
        <v>103</v>
      </c>
      <c r="C90" s="283"/>
      <c r="D90" s="283"/>
      <c r="E90" s="283"/>
      <c r="F90" s="283"/>
      <c r="G90" s="283"/>
      <c r="H90" s="283"/>
    </row>
    <row r="91" spans="2:10" x14ac:dyDescent="0.3">
      <c r="B91" s="70" t="s">
        <v>5</v>
      </c>
      <c r="C91" s="70" t="s">
        <v>6</v>
      </c>
      <c r="D91" s="70" t="s">
        <v>45</v>
      </c>
      <c r="E91" s="70" t="s">
        <v>7</v>
      </c>
      <c r="F91" s="70" t="s">
        <v>8</v>
      </c>
      <c r="G91" s="78" t="s">
        <v>9</v>
      </c>
      <c r="H91" s="79" t="s">
        <v>10</v>
      </c>
    </row>
    <row r="92" spans="2:10" x14ac:dyDescent="0.3">
      <c r="B92" s="229" t="s">
        <v>104</v>
      </c>
      <c r="C92" s="230" t="s">
        <v>105</v>
      </c>
      <c r="D92" s="234">
        <v>44463</v>
      </c>
      <c r="E92" s="235">
        <v>169.9</v>
      </c>
      <c r="F92" s="274">
        <f>AVERAGE(E92:E97)</f>
        <v>125.42666666666666</v>
      </c>
      <c r="G92" s="277">
        <f>STDEV(E92:E97)</f>
        <v>61.579166498635466</v>
      </c>
      <c r="H92" s="280">
        <f>AVERAGE(E92,E93,E94,E96)</f>
        <v>120.66749999999999</v>
      </c>
      <c r="J92" s="51"/>
    </row>
    <row r="93" spans="2:10" x14ac:dyDescent="0.3">
      <c r="B93" s="47" t="s">
        <v>106</v>
      </c>
      <c r="C93" s="49" t="s">
        <v>107</v>
      </c>
      <c r="D93" s="72">
        <v>44463</v>
      </c>
      <c r="E93" s="74">
        <v>92.97</v>
      </c>
      <c r="F93" s="275"/>
      <c r="G93" s="278"/>
      <c r="H93" s="281"/>
      <c r="J93" s="51"/>
    </row>
    <row r="94" spans="2:10" x14ac:dyDescent="0.3">
      <c r="B94" s="47" t="s">
        <v>108</v>
      </c>
      <c r="C94" s="49" t="s">
        <v>109</v>
      </c>
      <c r="D94" s="72">
        <v>44463</v>
      </c>
      <c r="E94" s="74">
        <v>129.9</v>
      </c>
      <c r="F94" s="275"/>
      <c r="G94" s="278"/>
      <c r="H94" s="281"/>
    </row>
    <row r="95" spans="2:10" x14ac:dyDescent="0.3">
      <c r="B95" s="47" t="s">
        <v>110</v>
      </c>
      <c r="C95" s="49" t="s">
        <v>111</v>
      </c>
      <c r="D95" s="72">
        <v>44463</v>
      </c>
      <c r="E95" s="73">
        <v>219.99</v>
      </c>
      <c r="F95" s="275"/>
      <c r="G95" s="278"/>
      <c r="H95" s="281"/>
    </row>
    <row r="96" spans="2:10" x14ac:dyDescent="0.3">
      <c r="B96" s="47" t="s">
        <v>112</v>
      </c>
      <c r="C96" s="49" t="s">
        <v>113</v>
      </c>
      <c r="D96" s="72">
        <v>44463</v>
      </c>
      <c r="E96" s="74">
        <v>89.9</v>
      </c>
      <c r="F96" s="275"/>
      <c r="G96" s="278"/>
      <c r="H96" s="281"/>
    </row>
    <row r="97" spans="2:9" ht="15" thickBot="1" x14ac:dyDescent="0.35">
      <c r="B97" s="68" t="s">
        <v>92</v>
      </c>
      <c r="C97" s="62" t="s">
        <v>93</v>
      </c>
      <c r="D97" s="76">
        <v>44463</v>
      </c>
      <c r="E97" s="77">
        <v>49.9</v>
      </c>
      <c r="F97" s="276"/>
      <c r="G97" s="279"/>
      <c r="H97" s="282"/>
    </row>
    <row r="98" spans="2:9" ht="15" thickTop="1" x14ac:dyDescent="0.3"/>
    <row r="99" spans="2:9" ht="15" thickBot="1" x14ac:dyDescent="0.35"/>
    <row r="100" spans="2:9" ht="15" thickTop="1" x14ac:dyDescent="0.3">
      <c r="B100" s="288" t="s">
        <v>114</v>
      </c>
      <c r="C100" s="288"/>
      <c r="D100" s="288"/>
      <c r="E100" s="288"/>
      <c r="F100" s="288"/>
      <c r="G100" s="96"/>
      <c r="H100" s="96"/>
    </row>
    <row r="101" spans="2:9" x14ac:dyDescent="0.3">
      <c r="B101" s="70" t="s">
        <v>5</v>
      </c>
      <c r="C101" s="70" t="s">
        <v>6</v>
      </c>
      <c r="D101" s="70" t="s">
        <v>45</v>
      </c>
      <c r="E101" s="70" t="s">
        <v>7</v>
      </c>
      <c r="F101" s="70" t="s">
        <v>8</v>
      </c>
      <c r="G101" s="94"/>
      <c r="H101" s="95"/>
    </row>
    <row r="102" spans="2:9" x14ac:dyDescent="0.3">
      <c r="B102" s="47" t="s">
        <v>115</v>
      </c>
      <c r="C102" s="49" t="s">
        <v>111</v>
      </c>
      <c r="D102" s="72">
        <v>44463</v>
      </c>
      <c r="E102" s="235">
        <v>74.989999999999995</v>
      </c>
      <c r="F102" s="280">
        <f>AVERAGE(E102:E104)</f>
        <v>71.296666666666667</v>
      </c>
      <c r="G102" s="278"/>
      <c r="H102" s="281"/>
    </row>
    <row r="103" spans="2:9" x14ac:dyDescent="0.3">
      <c r="B103" s="47" t="s">
        <v>116</v>
      </c>
      <c r="C103" s="49" t="s">
        <v>117</v>
      </c>
      <c r="D103" s="72">
        <v>44463</v>
      </c>
      <c r="E103" s="74">
        <v>79.900000000000006</v>
      </c>
      <c r="F103" s="281"/>
      <c r="G103" s="278"/>
      <c r="H103" s="281"/>
    </row>
    <row r="104" spans="2:9" ht="15" thickBot="1" x14ac:dyDescent="0.35">
      <c r="B104" s="68" t="s">
        <v>118</v>
      </c>
      <c r="C104" s="62" t="s">
        <v>119</v>
      </c>
      <c r="D104" s="76">
        <v>44463</v>
      </c>
      <c r="E104" s="93">
        <v>59</v>
      </c>
      <c r="F104" s="282"/>
      <c r="G104" s="278"/>
      <c r="H104" s="281"/>
    </row>
    <row r="105" spans="2:9" ht="15" thickTop="1" x14ac:dyDescent="0.3"/>
    <row r="106" spans="2:9" ht="15" thickBot="1" x14ac:dyDescent="0.35"/>
    <row r="107" spans="2:9" ht="15" thickTop="1" x14ac:dyDescent="0.3">
      <c r="B107" s="283" t="s">
        <v>120</v>
      </c>
      <c r="C107" s="283"/>
      <c r="D107" s="283"/>
      <c r="E107" s="283"/>
      <c r="F107" s="283"/>
      <c r="G107" s="283"/>
      <c r="H107" s="283"/>
    </row>
    <row r="108" spans="2:9" x14ac:dyDescent="0.3">
      <c r="B108" s="70" t="s">
        <v>5</v>
      </c>
      <c r="C108" s="70" t="s">
        <v>6</v>
      </c>
      <c r="D108" s="70" t="s">
        <v>45</v>
      </c>
      <c r="E108" s="70" t="s">
        <v>7</v>
      </c>
      <c r="F108" s="70" t="s">
        <v>8</v>
      </c>
      <c r="G108" s="78" t="s">
        <v>9</v>
      </c>
      <c r="H108" s="79" t="s">
        <v>10</v>
      </c>
      <c r="I108" s="51"/>
    </row>
    <row r="109" spans="2:9" x14ac:dyDescent="0.3">
      <c r="B109" s="229" t="s">
        <v>121</v>
      </c>
      <c r="C109" s="230" t="s">
        <v>122</v>
      </c>
      <c r="D109" s="234">
        <v>44467</v>
      </c>
      <c r="E109" s="236">
        <f>26.99/12</f>
        <v>2.2491666666666665</v>
      </c>
      <c r="F109" s="274">
        <f>AVERAGE(E109:E114)</f>
        <v>4.7095555555555553</v>
      </c>
      <c r="G109" s="277">
        <f>STDEV(E109:E114)</f>
        <v>2.0867551676297889</v>
      </c>
      <c r="H109" s="280">
        <f>AVERAGE(E110,E111,E112,E114)</f>
        <v>4.7422916666666666</v>
      </c>
      <c r="I109" s="51"/>
    </row>
    <row r="110" spans="2:9" x14ac:dyDescent="0.3">
      <c r="B110" s="47" t="s">
        <v>123</v>
      </c>
      <c r="C110" s="49" t="s">
        <v>124</v>
      </c>
      <c r="D110" s="72">
        <v>44467</v>
      </c>
      <c r="E110" s="74">
        <f>39.99/12</f>
        <v>3.3325</v>
      </c>
      <c r="F110" s="275"/>
      <c r="G110" s="278"/>
      <c r="H110" s="281"/>
    </row>
    <row r="111" spans="2:9" x14ac:dyDescent="0.3">
      <c r="B111" s="47" t="s">
        <v>100</v>
      </c>
      <c r="C111" s="49" t="s">
        <v>89</v>
      </c>
      <c r="D111" s="72">
        <v>44467</v>
      </c>
      <c r="E111" s="74">
        <f>19.99/3</f>
        <v>6.6633333333333331</v>
      </c>
      <c r="F111" s="275"/>
      <c r="G111" s="278"/>
      <c r="H111" s="281"/>
    </row>
    <row r="112" spans="2:9" x14ac:dyDescent="0.3">
      <c r="B112" s="47" t="s">
        <v>125</v>
      </c>
      <c r="C112" s="49" t="s">
        <v>93</v>
      </c>
      <c r="D112" s="72">
        <v>44467</v>
      </c>
      <c r="E112" s="74">
        <f>35.9/6</f>
        <v>5.9833333333333334</v>
      </c>
      <c r="F112" s="275"/>
      <c r="G112" s="278"/>
      <c r="H112" s="281"/>
    </row>
    <row r="113" spans="2:8" x14ac:dyDescent="0.3">
      <c r="B113" s="47" t="s">
        <v>126</v>
      </c>
      <c r="C113" s="49" t="s">
        <v>127</v>
      </c>
      <c r="D113" s="72">
        <v>44467</v>
      </c>
      <c r="E113" s="73">
        <f>70.39/10</f>
        <v>7.0389999999999997</v>
      </c>
      <c r="F113" s="275"/>
      <c r="G113" s="278"/>
      <c r="H113" s="281"/>
    </row>
    <row r="114" spans="2:8" ht="15" thickBot="1" x14ac:dyDescent="0.35">
      <c r="B114" s="68" t="s">
        <v>128</v>
      </c>
      <c r="C114" s="62" t="s">
        <v>129</v>
      </c>
      <c r="D114" s="76">
        <v>44467</v>
      </c>
      <c r="E114" s="93">
        <f>29.9/10</f>
        <v>2.9899999999999998</v>
      </c>
      <c r="F114" s="276"/>
      <c r="G114" s="279"/>
      <c r="H114" s="282"/>
    </row>
    <row r="115" spans="2:8" ht="15" thickTop="1" x14ac:dyDescent="0.3"/>
  </sheetData>
  <dataConsolidate/>
  <mergeCells count="40">
    <mergeCell ref="B107:H107"/>
    <mergeCell ref="F109:F114"/>
    <mergeCell ref="G109:G114"/>
    <mergeCell ref="H109:H114"/>
    <mergeCell ref="F92:F97"/>
    <mergeCell ref="G92:G97"/>
    <mergeCell ref="H92:H97"/>
    <mergeCell ref="F102:F104"/>
    <mergeCell ref="G102:G104"/>
    <mergeCell ref="H102:H104"/>
    <mergeCell ref="B100:F100"/>
    <mergeCell ref="B80:H80"/>
    <mergeCell ref="F82:F87"/>
    <mergeCell ref="G82:G87"/>
    <mergeCell ref="H82:H87"/>
    <mergeCell ref="B90:H90"/>
    <mergeCell ref="F49:F56"/>
    <mergeCell ref="G49:G56"/>
    <mergeCell ref="H49:H56"/>
    <mergeCell ref="B4:J4"/>
    <mergeCell ref="B19:H19"/>
    <mergeCell ref="F33:F43"/>
    <mergeCell ref="G33:G43"/>
    <mergeCell ref="B31:H31"/>
    <mergeCell ref="B47:H47"/>
    <mergeCell ref="J10:J15"/>
    <mergeCell ref="H21:H27"/>
    <mergeCell ref="I21:I27"/>
    <mergeCell ref="J21:J27"/>
    <mergeCell ref="B8:J8"/>
    <mergeCell ref="H10:H15"/>
    <mergeCell ref="I10:I15"/>
    <mergeCell ref="F71:F77"/>
    <mergeCell ref="G71:G77"/>
    <mergeCell ref="H71:H77"/>
    <mergeCell ref="B59:H59"/>
    <mergeCell ref="F61:F66"/>
    <mergeCell ref="G61:G66"/>
    <mergeCell ref="H61:H66"/>
    <mergeCell ref="B69:H69"/>
  </mergeCells>
  <hyperlinks>
    <hyperlink ref="B13" r:id="rId1" xr:uid="{4448B5D0-9D4E-4F19-82AD-0AA24108134F}"/>
    <hyperlink ref="B14" r:id="rId2" display="https://www.infojobs.com.br/salario/assistente-administrativo?il=64&amp;pn=1" xr:uid="{3B8779DF-C0C7-4E8A-96E1-30BB0EDE4596}"/>
    <hyperlink ref="B15" r:id="rId3" display="https://www.salario.com.br/profissao/assistente-administrativo-cbo-411010/sao-paulo-sp/" xr:uid="{C6B92069-CEA7-4F51-9D28-CDE4AE5339D0}"/>
  </hyperlinks>
  <pageMargins left="0.511811024" right="0.511811024" top="0.78740157499999996" bottom="0.78740157499999996" header="0.31496062000000002" footer="0.31496062000000002"/>
  <pageSetup paperSize="9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C247F-9A5E-4E5A-AB4A-7C0233739FDA}">
  <sheetPr>
    <pageSetUpPr fitToPage="1"/>
  </sheetPr>
  <dimension ref="B1:G21"/>
  <sheetViews>
    <sheetView showGridLines="0" workbookViewId="0">
      <selection activeCell="F23" sqref="F23"/>
    </sheetView>
  </sheetViews>
  <sheetFormatPr defaultColWidth="8.88671875" defaultRowHeight="14.4" x14ac:dyDescent="0.3"/>
  <cols>
    <col min="1" max="1" width="3.44140625" customWidth="1"/>
    <col min="2" max="2" width="56.88671875" customWidth="1"/>
    <col min="3" max="5" width="15.88671875" customWidth="1"/>
    <col min="6" max="7" width="10.44140625" bestFit="1" customWidth="1"/>
  </cols>
  <sheetData>
    <row r="1" spans="2:5" ht="18" x14ac:dyDescent="0.3">
      <c r="B1" s="353" t="s">
        <v>1057</v>
      </c>
      <c r="C1" s="353"/>
      <c r="D1" s="353"/>
      <c r="E1" s="353"/>
    </row>
    <row r="2" spans="2:5" ht="18.600000000000001" thickBot="1" x14ac:dyDescent="0.35">
      <c r="B2" s="352"/>
      <c r="C2" s="352"/>
      <c r="D2" s="352"/>
      <c r="E2" s="352"/>
    </row>
    <row r="3" spans="2:5" ht="30" thickTop="1" thickBot="1" x14ac:dyDescent="0.35">
      <c r="B3" s="124" t="s">
        <v>453</v>
      </c>
      <c r="C3" s="124" t="s">
        <v>454</v>
      </c>
      <c r="D3" s="124" t="s">
        <v>455</v>
      </c>
      <c r="E3" s="124" t="s">
        <v>456</v>
      </c>
    </row>
    <row r="4" spans="2:5" x14ac:dyDescent="0.3">
      <c r="B4" s="119" t="s">
        <v>457</v>
      </c>
      <c r="C4" s="118">
        <v>6</v>
      </c>
      <c r="D4" s="144">
        <v>34.24</v>
      </c>
      <c r="E4" s="144">
        <f>C4*D4</f>
        <v>205.44</v>
      </c>
    </row>
    <row r="5" spans="2:5" x14ac:dyDescent="0.3">
      <c r="B5" s="119" t="s">
        <v>458</v>
      </c>
      <c r="C5" s="118">
        <v>6</v>
      </c>
      <c r="D5" s="144">
        <v>49.16</v>
      </c>
      <c r="E5" s="144">
        <f t="shared" ref="E5:E11" si="0">C5*D5</f>
        <v>294.95999999999998</v>
      </c>
    </row>
    <row r="6" spans="2:5" x14ac:dyDescent="0.3">
      <c r="B6" s="119" t="s">
        <v>459</v>
      </c>
      <c r="C6" s="118">
        <v>9</v>
      </c>
      <c r="D6" s="144">
        <v>6.62</v>
      </c>
      <c r="E6" s="144">
        <f t="shared" si="0"/>
        <v>59.58</v>
      </c>
    </row>
    <row r="7" spans="2:5" x14ac:dyDescent="0.3">
      <c r="B7" s="119" t="s">
        <v>460</v>
      </c>
      <c r="C7" s="118">
        <v>3</v>
      </c>
      <c r="D7" s="144">
        <v>28.09</v>
      </c>
      <c r="E7" s="144">
        <f t="shared" si="0"/>
        <v>84.27</v>
      </c>
    </row>
    <row r="8" spans="2:5" x14ac:dyDescent="0.3">
      <c r="B8" s="119" t="s">
        <v>461</v>
      </c>
      <c r="C8" s="118">
        <v>3</v>
      </c>
      <c r="D8" s="144">
        <v>50.03</v>
      </c>
      <c r="E8" s="144">
        <f t="shared" si="0"/>
        <v>150.09</v>
      </c>
    </row>
    <row r="9" spans="2:5" x14ac:dyDescent="0.3">
      <c r="B9" s="119" t="s">
        <v>462</v>
      </c>
      <c r="C9" s="118">
        <v>4</v>
      </c>
      <c r="D9" s="144">
        <v>62.84</v>
      </c>
      <c r="E9" s="144">
        <f t="shared" si="0"/>
        <v>251.36</v>
      </c>
    </row>
    <row r="10" spans="2:5" x14ac:dyDescent="0.3">
      <c r="B10" s="119" t="s">
        <v>463</v>
      </c>
      <c r="C10" s="118">
        <v>3</v>
      </c>
      <c r="D10" s="144">
        <v>13.42</v>
      </c>
      <c r="E10" s="144">
        <f t="shared" si="0"/>
        <v>40.26</v>
      </c>
    </row>
    <row r="11" spans="2:5" ht="15" thickBot="1" x14ac:dyDescent="0.35">
      <c r="B11" s="119" t="s">
        <v>1062</v>
      </c>
      <c r="C11" s="118">
        <v>2</v>
      </c>
      <c r="D11" s="144">
        <v>280.35000000000002</v>
      </c>
      <c r="E11" s="144">
        <f t="shared" si="0"/>
        <v>560.70000000000005</v>
      </c>
    </row>
    <row r="12" spans="2:5" ht="15" thickBot="1" x14ac:dyDescent="0.35">
      <c r="B12" s="134" t="s">
        <v>464</v>
      </c>
      <c r="C12" s="135"/>
      <c r="D12" s="145"/>
      <c r="E12" s="146">
        <f>SUM(E4:E11)/3/6</f>
        <v>91.481111111111105</v>
      </c>
    </row>
    <row r="13" spans="2:5" ht="15" thickTop="1" x14ac:dyDescent="0.3"/>
    <row r="16" spans="2:5" x14ac:dyDescent="0.3">
      <c r="C16" s="142"/>
      <c r="E16" s="142"/>
    </row>
    <row r="17" spans="3:7" x14ac:dyDescent="0.3">
      <c r="C17" s="142"/>
      <c r="E17" s="142"/>
      <c r="F17" s="142"/>
      <c r="G17" s="142"/>
    </row>
    <row r="18" spans="3:7" x14ac:dyDescent="0.3">
      <c r="C18" s="142"/>
    </row>
    <row r="21" spans="3:7" x14ac:dyDescent="0.3">
      <c r="E21" s="142"/>
    </row>
  </sheetData>
  <mergeCells count="2">
    <mergeCell ref="B2:E2"/>
    <mergeCell ref="B1:E1"/>
  </mergeCells>
  <pageMargins left="0.51181102362204722" right="0.51181102362204722" top="0.78740157480314965" bottom="0.78740157480314965" header="0.31496062992125984" footer="0.31496062992125984"/>
  <pageSetup paperSize="9" scale="7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529A8-E213-43FC-857E-CB2CEFBAAAC8}">
  <sheetPr>
    <pageSetUpPr fitToPage="1"/>
  </sheetPr>
  <dimension ref="B1:I24"/>
  <sheetViews>
    <sheetView showGridLines="0" workbookViewId="0">
      <selection activeCell="H29" sqref="H29"/>
    </sheetView>
  </sheetViews>
  <sheetFormatPr defaultColWidth="8.88671875" defaultRowHeight="14.4" x14ac:dyDescent="0.3"/>
  <cols>
    <col min="1" max="1" width="2.5546875" customWidth="1"/>
    <col min="2" max="2" width="3.5546875" customWidth="1"/>
    <col min="3" max="3" width="43.5546875" bestFit="1" customWidth="1"/>
    <col min="4" max="4" width="10.5546875" bestFit="1" customWidth="1"/>
    <col min="7" max="7" width="6.109375" bestFit="1" customWidth="1"/>
    <col min="8" max="8" width="43.5546875" bestFit="1" customWidth="1"/>
  </cols>
  <sheetData>
    <row r="1" spans="2:9" ht="18" x14ac:dyDescent="0.35">
      <c r="B1" s="358" t="s">
        <v>465</v>
      </c>
      <c r="C1" s="358"/>
      <c r="D1" s="358"/>
      <c r="E1" s="358"/>
      <c r="F1" s="358"/>
      <c r="G1" s="358"/>
      <c r="H1" s="358"/>
      <c r="I1" s="358"/>
    </row>
    <row r="2" spans="2:9" ht="15" thickBot="1" x14ac:dyDescent="0.35"/>
    <row r="3" spans="2:9" ht="16.8" thickTop="1" thickBot="1" x14ac:dyDescent="0.35">
      <c r="B3" s="356" t="s">
        <v>466</v>
      </c>
      <c r="C3" s="356"/>
      <c r="D3" s="356"/>
      <c r="G3" s="364" t="s">
        <v>467</v>
      </c>
      <c r="H3" s="364"/>
      <c r="I3" s="364"/>
    </row>
    <row r="4" spans="2:9" x14ac:dyDescent="0.3">
      <c r="B4" s="355" t="s">
        <v>468</v>
      </c>
      <c r="C4" s="355"/>
      <c r="D4" s="125" t="s">
        <v>469</v>
      </c>
      <c r="G4" s="365" t="s">
        <v>468</v>
      </c>
      <c r="H4" s="365"/>
      <c r="I4" s="138" t="s">
        <v>469</v>
      </c>
    </row>
    <row r="5" spans="2:9" x14ac:dyDescent="0.3">
      <c r="B5" s="130" t="s">
        <v>134</v>
      </c>
      <c r="C5" s="130" t="s">
        <v>470</v>
      </c>
      <c r="D5" s="131" t="s">
        <v>170</v>
      </c>
      <c r="G5" s="96" t="s">
        <v>134</v>
      </c>
      <c r="H5" s="96" t="s">
        <v>470</v>
      </c>
      <c r="I5" s="125" t="s">
        <v>170</v>
      </c>
    </row>
    <row r="6" spans="2:9" x14ac:dyDescent="0.3">
      <c r="B6" s="126" t="s">
        <v>135</v>
      </c>
      <c r="C6" s="126" t="s">
        <v>471</v>
      </c>
      <c r="D6" s="127">
        <v>0.04</v>
      </c>
      <c r="G6" s="126" t="s">
        <v>135</v>
      </c>
      <c r="H6" s="126" t="s">
        <v>471</v>
      </c>
      <c r="I6" s="127">
        <v>3.4500000000000003E-2</v>
      </c>
    </row>
    <row r="7" spans="2:9" x14ac:dyDescent="0.3">
      <c r="B7" s="126" t="s">
        <v>136</v>
      </c>
      <c r="C7" s="126" t="s">
        <v>472</v>
      </c>
      <c r="D7" s="127">
        <v>8.0000000000000002E-3</v>
      </c>
      <c r="G7" s="126" t="s">
        <v>136</v>
      </c>
      <c r="H7" s="126" t="s">
        <v>472</v>
      </c>
      <c r="I7" s="127">
        <v>4.7999999999999996E-3</v>
      </c>
    </row>
    <row r="8" spans="2:9" x14ac:dyDescent="0.3">
      <c r="B8" s="126" t="s">
        <v>473</v>
      </c>
      <c r="C8" s="126" t="s">
        <v>474</v>
      </c>
      <c r="D8" s="127">
        <v>1.2699999999999999E-2</v>
      </c>
      <c r="G8" s="126" t="s">
        <v>473</v>
      </c>
      <c r="H8" s="126" t="s">
        <v>474</v>
      </c>
      <c r="I8" s="127">
        <v>8.5000000000000006E-3</v>
      </c>
    </row>
    <row r="9" spans="2:9" x14ac:dyDescent="0.3">
      <c r="B9" s="354" t="s">
        <v>475</v>
      </c>
      <c r="C9" s="354"/>
      <c r="D9" s="132">
        <f>SUM(D6:D8)</f>
        <v>6.0700000000000004E-2</v>
      </c>
      <c r="G9" s="355" t="s">
        <v>475</v>
      </c>
      <c r="H9" s="355"/>
      <c r="I9" s="128">
        <f>SUM(I6:I8)</f>
        <v>4.7800000000000002E-2</v>
      </c>
    </row>
    <row r="10" spans="2:9" x14ac:dyDescent="0.3">
      <c r="B10" s="96" t="s">
        <v>137</v>
      </c>
      <c r="C10" s="96" t="s">
        <v>476</v>
      </c>
      <c r="D10" s="125" t="s">
        <v>170</v>
      </c>
      <c r="G10" s="130" t="s">
        <v>137</v>
      </c>
      <c r="H10" s="130" t="s">
        <v>476</v>
      </c>
      <c r="I10" s="131" t="s">
        <v>170</v>
      </c>
    </row>
    <row r="11" spans="2:9" x14ac:dyDescent="0.3">
      <c r="B11" s="126" t="s">
        <v>138</v>
      </c>
      <c r="C11" s="126" t="s">
        <v>293</v>
      </c>
      <c r="D11" s="127">
        <v>7.3999999999999996E-2</v>
      </c>
      <c r="G11" s="126" t="s">
        <v>138</v>
      </c>
      <c r="H11" s="126" t="s">
        <v>293</v>
      </c>
      <c r="I11" s="127">
        <v>5.11E-2</v>
      </c>
    </row>
    <row r="12" spans="2:9" x14ac:dyDescent="0.3">
      <c r="B12" s="355" t="s">
        <v>477</v>
      </c>
      <c r="C12" s="355"/>
      <c r="D12" s="128">
        <f>D11</f>
        <v>7.3999999999999996E-2</v>
      </c>
      <c r="G12" s="354" t="s">
        <v>477</v>
      </c>
      <c r="H12" s="354"/>
      <c r="I12" s="132">
        <f>I11</f>
        <v>5.11E-2</v>
      </c>
    </row>
    <row r="13" spans="2:9" x14ac:dyDescent="0.3">
      <c r="B13" s="130" t="s">
        <v>148</v>
      </c>
      <c r="C13" s="130" t="s">
        <v>478</v>
      </c>
      <c r="D13" s="131" t="s">
        <v>170</v>
      </c>
      <c r="G13" s="96" t="s">
        <v>148</v>
      </c>
      <c r="H13" s="96" t="s">
        <v>478</v>
      </c>
      <c r="I13" s="125" t="s">
        <v>170</v>
      </c>
    </row>
    <row r="14" spans="2:9" x14ac:dyDescent="0.3">
      <c r="B14" s="126" t="s">
        <v>296</v>
      </c>
      <c r="C14" s="126" t="s">
        <v>479</v>
      </c>
      <c r="D14" s="127">
        <v>6.4999999999999997E-3</v>
      </c>
      <c r="G14" s="126" t="s">
        <v>296</v>
      </c>
      <c r="H14" s="126" t="s">
        <v>479</v>
      </c>
      <c r="I14" s="127">
        <v>6.4999999999999997E-3</v>
      </c>
    </row>
    <row r="15" spans="2:9" x14ac:dyDescent="0.3">
      <c r="B15" s="126" t="s">
        <v>299</v>
      </c>
      <c r="C15" s="126" t="s">
        <v>480</v>
      </c>
      <c r="D15" s="127">
        <v>0.03</v>
      </c>
      <c r="G15" s="126" t="s">
        <v>299</v>
      </c>
      <c r="H15" s="126" t="s">
        <v>480</v>
      </c>
      <c r="I15" s="127">
        <v>0.03</v>
      </c>
    </row>
    <row r="16" spans="2:9" x14ac:dyDescent="0.3">
      <c r="B16" s="126" t="s">
        <v>302</v>
      </c>
      <c r="C16" s="133" t="s">
        <v>481</v>
      </c>
      <c r="D16" s="127">
        <v>0.03</v>
      </c>
      <c r="G16" s="126" t="s">
        <v>302</v>
      </c>
      <c r="H16" s="133" t="s">
        <v>481</v>
      </c>
      <c r="I16" s="127">
        <v>2.5000000000000001E-2</v>
      </c>
    </row>
    <row r="17" spans="2:9" ht="14.25" customHeight="1" x14ac:dyDescent="0.3">
      <c r="B17" s="126" t="s">
        <v>482</v>
      </c>
      <c r="C17" s="133" t="s">
        <v>483</v>
      </c>
      <c r="D17" s="127">
        <v>0</v>
      </c>
      <c r="G17" s="126" t="s">
        <v>482</v>
      </c>
      <c r="H17" s="133" t="s">
        <v>483</v>
      </c>
      <c r="I17" s="127">
        <v>0</v>
      </c>
    </row>
    <row r="18" spans="2:9" x14ac:dyDescent="0.3">
      <c r="B18" s="354" t="s">
        <v>484</v>
      </c>
      <c r="C18" s="354"/>
      <c r="D18" s="132">
        <f>SUM(D14:D17)</f>
        <v>6.6500000000000004E-2</v>
      </c>
      <c r="G18" s="355" t="s">
        <v>484</v>
      </c>
      <c r="H18" s="355"/>
      <c r="I18" s="128">
        <f>SUM(I14:I17)</f>
        <v>6.1499999999999999E-2</v>
      </c>
    </row>
    <row r="19" spans="2:9" x14ac:dyDescent="0.3">
      <c r="B19" s="96" t="s">
        <v>151</v>
      </c>
      <c r="C19" s="96" t="s">
        <v>485</v>
      </c>
      <c r="D19" s="129" t="s">
        <v>170</v>
      </c>
      <c r="G19" s="130" t="s">
        <v>151</v>
      </c>
      <c r="H19" s="130" t="s">
        <v>485</v>
      </c>
      <c r="I19" s="139" t="s">
        <v>170</v>
      </c>
    </row>
    <row r="20" spans="2:9" x14ac:dyDescent="0.3">
      <c r="B20" s="126"/>
      <c r="C20" s="126" t="s">
        <v>486</v>
      </c>
      <c r="D20" s="127">
        <v>1.23E-2</v>
      </c>
      <c r="G20" s="126"/>
      <c r="H20" s="126" t="s">
        <v>486</v>
      </c>
      <c r="I20" s="127">
        <v>8.5000000000000006E-3</v>
      </c>
    </row>
    <row r="21" spans="2:9" ht="15" thickBot="1" x14ac:dyDescent="0.35">
      <c r="B21" s="355" t="s">
        <v>487</v>
      </c>
      <c r="C21" s="355"/>
      <c r="D21" s="128">
        <f>D20</f>
        <v>1.23E-2</v>
      </c>
      <c r="G21" s="360" t="s">
        <v>487</v>
      </c>
      <c r="H21" s="360"/>
      <c r="I21" s="140">
        <f>I20</f>
        <v>8.5000000000000006E-3</v>
      </c>
    </row>
    <row r="22" spans="2:9" ht="15" thickBot="1" x14ac:dyDescent="0.35">
      <c r="B22" s="362" t="s">
        <v>488</v>
      </c>
      <c r="C22" s="362"/>
      <c r="D22" s="136">
        <f>((1+(D6+D7+D8))*(1+D21)*(1+D12))/(1-D18)-1</f>
        <v>0.23535496426352442</v>
      </c>
      <c r="G22" s="361" t="s">
        <v>488</v>
      </c>
      <c r="H22" s="361"/>
      <c r="I22" s="137">
        <f>((1+(I6+I7+I8))*(1+I21)*(1+I12))/(1-I18)-1</f>
        <v>0.18348853695258383</v>
      </c>
    </row>
    <row r="23" spans="2:9" ht="53.25" customHeight="1" thickTop="1" x14ac:dyDescent="0.3">
      <c r="B23" s="363" t="s">
        <v>489</v>
      </c>
      <c r="C23" s="363"/>
      <c r="D23" s="363"/>
      <c r="G23" s="359" t="s">
        <v>490</v>
      </c>
      <c r="H23" s="359"/>
      <c r="I23" s="359"/>
    </row>
    <row r="24" spans="2:9" x14ac:dyDescent="0.3">
      <c r="G24" s="357"/>
      <c r="H24" s="357"/>
      <c r="I24" s="357"/>
    </row>
  </sheetData>
  <mergeCells count="18">
    <mergeCell ref="G24:I24"/>
    <mergeCell ref="B1:I1"/>
    <mergeCell ref="G23:I23"/>
    <mergeCell ref="G18:H18"/>
    <mergeCell ref="G21:H21"/>
    <mergeCell ref="G22:H22"/>
    <mergeCell ref="G12:H12"/>
    <mergeCell ref="B21:C21"/>
    <mergeCell ref="B22:C22"/>
    <mergeCell ref="B23:D23"/>
    <mergeCell ref="G3:I3"/>
    <mergeCell ref="G4:H4"/>
    <mergeCell ref="G9:H9"/>
    <mergeCell ref="B18:C18"/>
    <mergeCell ref="B9:C9"/>
    <mergeCell ref="B12:C12"/>
    <mergeCell ref="B3:D3"/>
    <mergeCell ref="B4:C4"/>
  </mergeCells>
  <pageMargins left="0.51181102362204722" right="0.51181102362204722" top="0.78740157480314965" bottom="0.78740157480314965" header="0.31496062992125984" footer="0.31496062992125984"/>
  <pageSetup paperSize="9" scale="6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1FB7C-AD20-4057-A5E9-2E58ADCB7A34}">
  <sheetPr>
    <pageSetUpPr fitToPage="1"/>
  </sheetPr>
  <dimension ref="A1:M251"/>
  <sheetViews>
    <sheetView showGridLines="0" workbookViewId="0">
      <selection activeCell="F263" sqref="F263"/>
    </sheetView>
  </sheetViews>
  <sheetFormatPr defaultColWidth="9.109375" defaultRowHeight="10.199999999999999" x14ac:dyDescent="0.2"/>
  <cols>
    <col min="1" max="1" width="11.6640625" style="193" customWidth="1"/>
    <col min="2" max="2" width="95" style="147" customWidth="1"/>
    <col min="3" max="3" width="9.109375" style="147"/>
    <col min="4" max="4" width="8.44140625" style="147" customWidth="1"/>
    <col min="5" max="5" width="11" style="191" bestFit="1" customWidth="1"/>
    <col min="6" max="6" width="11.44140625" style="147" customWidth="1"/>
    <col min="7" max="7" width="8.6640625" style="192" bestFit="1" customWidth="1"/>
    <col min="8" max="8" width="20.6640625" style="147" customWidth="1"/>
    <col min="9" max="9" width="13.6640625" style="147" bestFit="1" customWidth="1"/>
    <col min="10" max="10" width="17.33203125" style="147" bestFit="1" customWidth="1"/>
    <col min="11" max="13" width="13.33203125" style="147" bestFit="1" customWidth="1"/>
    <col min="14" max="16384" width="9.109375" style="147"/>
  </cols>
  <sheetData>
    <row r="1" spans="1:13" ht="61.5" customHeight="1" thickBot="1" x14ac:dyDescent="0.25">
      <c r="A1" s="376" t="s">
        <v>491</v>
      </c>
      <c r="B1" s="377"/>
      <c r="C1" s="377"/>
      <c r="D1" s="377"/>
      <c r="E1" s="378"/>
      <c r="F1" s="378"/>
      <c r="G1" s="377"/>
      <c r="H1" s="379"/>
      <c r="J1" s="148"/>
      <c r="K1" s="148"/>
    </row>
    <row r="2" spans="1:13" x14ac:dyDescent="0.2">
      <c r="A2" s="149" t="s">
        <v>130</v>
      </c>
      <c r="B2" s="150" t="s">
        <v>131</v>
      </c>
      <c r="C2" s="150" t="s">
        <v>492</v>
      </c>
      <c r="D2" s="150" t="s">
        <v>493</v>
      </c>
      <c r="E2" s="151" t="s">
        <v>494</v>
      </c>
      <c r="F2" s="150" t="s">
        <v>495</v>
      </c>
      <c r="G2" s="150" t="s">
        <v>496</v>
      </c>
      <c r="H2" s="152" t="s">
        <v>497</v>
      </c>
      <c r="J2" s="153"/>
      <c r="K2" s="153"/>
      <c r="L2" s="153"/>
      <c r="M2" s="153"/>
    </row>
    <row r="3" spans="1:13" x14ac:dyDescent="0.2">
      <c r="A3" s="154" t="s">
        <v>498</v>
      </c>
      <c r="B3" s="155" t="s">
        <v>499</v>
      </c>
      <c r="C3" s="155"/>
      <c r="D3" s="155"/>
      <c r="E3" s="156"/>
      <c r="F3" s="155"/>
      <c r="G3" s="155"/>
      <c r="H3" s="157"/>
      <c r="J3" s="153"/>
      <c r="K3" s="153"/>
      <c r="L3" s="153"/>
      <c r="M3" s="153"/>
    </row>
    <row r="4" spans="1:13" x14ac:dyDescent="0.2">
      <c r="A4" s="158" t="s">
        <v>500</v>
      </c>
      <c r="B4" s="159" t="s">
        <v>501</v>
      </c>
      <c r="C4" s="160" t="s">
        <v>502</v>
      </c>
      <c r="D4" s="161">
        <v>1</v>
      </c>
      <c r="E4" s="162">
        <v>42.74</v>
      </c>
      <c r="F4" s="163">
        <f>D4*E4</f>
        <v>42.74</v>
      </c>
      <c r="G4" s="160">
        <v>4791</v>
      </c>
      <c r="H4" s="164" t="s">
        <v>503</v>
      </c>
      <c r="J4" s="153"/>
      <c r="K4" s="153"/>
      <c r="L4" s="153"/>
      <c r="M4" s="153"/>
    </row>
    <row r="5" spans="1:13" x14ac:dyDescent="0.2">
      <c r="A5" s="158" t="s">
        <v>504</v>
      </c>
      <c r="B5" s="161" t="s">
        <v>505</v>
      </c>
      <c r="C5" s="160" t="s">
        <v>506</v>
      </c>
      <c r="D5" s="161">
        <v>25</v>
      </c>
      <c r="E5" s="162">
        <v>33.47</v>
      </c>
      <c r="F5" s="163">
        <f t="shared" ref="F5:F41" si="0">D5*E5</f>
        <v>836.75</v>
      </c>
      <c r="G5" s="161">
        <v>39606</v>
      </c>
      <c r="H5" s="164" t="s">
        <v>503</v>
      </c>
      <c r="J5" s="153"/>
      <c r="K5" s="153"/>
      <c r="L5" s="153"/>
      <c r="M5" s="153"/>
    </row>
    <row r="6" spans="1:13" x14ac:dyDescent="0.2">
      <c r="A6" s="158" t="s">
        <v>507</v>
      </c>
      <c r="B6" s="161" t="s">
        <v>508</v>
      </c>
      <c r="C6" s="160" t="s">
        <v>506</v>
      </c>
      <c r="D6" s="161">
        <v>25</v>
      </c>
      <c r="E6" s="162">
        <v>38.4</v>
      </c>
      <c r="F6" s="163">
        <f t="shared" si="0"/>
        <v>960</v>
      </c>
      <c r="G6" s="161">
        <v>39607</v>
      </c>
      <c r="H6" s="164" t="s">
        <v>503</v>
      </c>
      <c r="J6" s="153"/>
      <c r="K6" s="153"/>
      <c r="L6" s="153"/>
      <c r="M6" s="153"/>
    </row>
    <row r="7" spans="1:13" ht="20.399999999999999" x14ac:dyDescent="0.2">
      <c r="A7" s="158" t="s">
        <v>509</v>
      </c>
      <c r="B7" s="159" t="s">
        <v>510</v>
      </c>
      <c r="C7" s="160" t="s">
        <v>506</v>
      </c>
      <c r="D7" s="161">
        <v>4</v>
      </c>
      <c r="E7" s="162">
        <v>18.22</v>
      </c>
      <c r="F7" s="163">
        <f t="shared" si="0"/>
        <v>72.88</v>
      </c>
      <c r="G7" s="160">
        <v>5090</v>
      </c>
      <c r="H7" s="164" t="s">
        <v>503</v>
      </c>
    </row>
    <row r="8" spans="1:13" x14ac:dyDescent="0.2">
      <c r="A8" s="158" t="s">
        <v>511</v>
      </c>
      <c r="B8" s="159" t="s">
        <v>512</v>
      </c>
      <c r="C8" s="160" t="s">
        <v>506</v>
      </c>
      <c r="D8" s="161">
        <v>10</v>
      </c>
      <c r="E8" s="162">
        <v>33.43</v>
      </c>
      <c r="F8" s="163">
        <f t="shared" si="0"/>
        <v>334.3</v>
      </c>
      <c r="G8" s="160">
        <v>39601</v>
      </c>
      <c r="H8" s="164" t="s">
        <v>503</v>
      </c>
    </row>
    <row r="9" spans="1:13" x14ac:dyDescent="0.2">
      <c r="A9" s="158" t="s">
        <v>513</v>
      </c>
      <c r="B9" s="159" t="s">
        <v>514</v>
      </c>
      <c r="C9" s="160" t="s">
        <v>506</v>
      </c>
      <c r="D9" s="161">
        <v>20</v>
      </c>
      <c r="E9" s="162">
        <v>3.77</v>
      </c>
      <c r="F9" s="163">
        <f t="shared" si="0"/>
        <v>75.400000000000006</v>
      </c>
      <c r="G9" s="160">
        <v>39603</v>
      </c>
      <c r="H9" s="164" t="s">
        <v>503</v>
      </c>
    </row>
    <row r="10" spans="1:13" x14ac:dyDescent="0.2">
      <c r="A10" s="158" t="s">
        <v>515</v>
      </c>
      <c r="B10" s="161" t="s">
        <v>516</v>
      </c>
      <c r="C10" s="160" t="s">
        <v>506</v>
      </c>
      <c r="D10" s="161">
        <v>1</v>
      </c>
      <c r="E10" s="162">
        <v>32</v>
      </c>
      <c r="F10" s="163">
        <f t="shared" si="0"/>
        <v>32</v>
      </c>
      <c r="G10" s="160">
        <v>38124</v>
      </c>
      <c r="H10" s="164" t="s">
        <v>503</v>
      </c>
    </row>
    <row r="11" spans="1:13" x14ac:dyDescent="0.2">
      <c r="A11" s="158" t="s">
        <v>517</v>
      </c>
      <c r="B11" s="159" t="s">
        <v>518</v>
      </c>
      <c r="C11" s="160" t="s">
        <v>519</v>
      </c>
      <c r="D11" s="161">
        <v>5</v>
      </c>
      <c r="E11" s="162">
        <v>16.059999999999999</v>
      </c>
      <c r="F11" s="163">
        <f t="shared" si="0"/>
        <v>80.3</v>
      </c>
      <c r="G11" s="160">
        <v>20111</v>
      </c>
      <c r="H11" s="164" t="s">
        <v>503</v>
      </c>
    </row>
    <row r="12" spans="1:13" x14ac:dyDescent="0.2">
      <c r="A12" s="158" t="s">
        <v>520</v>
      </c>
      <c r="B12" s="159" t="s">
        <v>521</v>
      </c>
      <c r="C12" s="160" t="s">
        <v>522</v>
      </c>
      <c r="D12" s="161">
        <v>5</v>
      </c>
      <c r="E12" s="162">
        <v>2.19</v>
      </c>
      <c r="F12" s="163">
        <f t="shared" si="0"/>
        <v>10.95</v>
      </c>
      <c r="G12" s="160">
        <v>404</v>
      </c>
      <c r="H12" s="164" t="s">
        <v>503</v>
      </c>
    </row>
    <row r="13" spans="1:13" x14ac:dyDescent="0.2">
      <c r="A13" s="158" t="s">
        <v>523</v>
      </c>
      <c r="B13" s="159" t="s">
        <v>524</v>
      </c>
      <c r="C13" s="160" t="s">
        <v>519</v>
      </c>
      <c r="D13" s="161">
        <v>5</v>
      </c>
      <c r="E13" s="162">
        <v>10.14</v>
      </c>
      <c r="F13" s="163">
        <f t="shared" si="0"/>
        <v>50.7</v>
      </c>
      <c r="G13" s="160">
        <v>3148</v>
      </c>
      <c r="H13" s="164" t="s">
        <v>503</v>
      </c>
    </row>
    <row r="14" spans="1:13" x14ac:dyDescent="0.2">
      <c r="A14" s="158" t="s">
        <v>525</v>
      </c>
      <c r="B14" s="159" t="s">
        <v>526</v>
      </c>
      <c r="C14" s="160" t="s">
        <v>502</v>
      </c>
      <c r="D14" s="161">
        <v>5</v>
      </c>
      <c r="E14" s="162">
        <v>0.69</v>
      </c>
      <c r="F14" s="163">
        <f t="shared" si="0"/>
        <v>3.4499999999999997</v>
      </c>
      <c r="G14" s="160">
        <v>3315</v>
      </c>
      <c r="H14" s="164" t="s">
        <v>503</v>
      </c>
    </row>
    <row r="15" spans="1:13" x14ac:dyDescent="0.2">
      <c r="A15" s="158" t="s">
        <v>527</v>
      </c>
      <c r="B15" s="159" t="s">
        <v>528</v>
      </c>
      <c r="C15" s="160" t="s">
        <v>502</v>
      </c>
      <c r="D15" s="161">
        <v>1</v>
      </c>
      <c r="E15" s="162">
        <v>32.130000000000003</v>
      </c>
      <c r="F15" s="163">
        <f t="shared" si="0"/>
        <v>32.130000000000003</v>
      </c>
      <c r="G15" s="160">
        <v>4229</v>
      </c>
      <c r="H15" s="164" t="s">
        <v>503</v>
      </c>
    </row>
    <row r="16" spans="1:13" x14ac:dyDescent="0.2">
      <c r="A16" s="158" t="s">
        <v>529</v>
      </c>
      <c r="B16" s="159" t="s">
        <v>530</v>
      </c>
      <c r="C16" s="160" t="s">
        <v>506</v>
      </c>
      <c r="D16" s="161">
        <v>10</v>
      </c>
      <c r="E16" s="162">
        <v>3.59</v>
      </c>
      <c r="F16" s="163">
        <f t="shared" si="0"/>
        <v>35.9</v>
      </c>
      <c r="G16" s="160">
        <v>3768</v>
      </c>
      <c r="H16" s="164" t="s">
        <v>503</v>
      </c>
    </row>
    <row r="17" spans="1:8" x14ac:dyDescent="0.2">
      <c r="A17" s="158" t="s">
        <v>531</v>
      </c>
      <c r="B17" s="159" t="s">
        <v>532</v>
      </c>
      <c r="C17" s="160" t="s">
        <v>506</v>
      </c>
      <c r="D17" s="161">
        <v>20</v>
      </c>
      <c r="E17" s="162">
        <v>1.2</v>
      </c>
      <c r="F17" s="163">
        <f t="shared" si="0"/>
        <v>24</v>
      </c>
      <c r="G17" s="160">
        <v>3767</v>
      </c>
      <c r="H17" s="164" t="s">
        <v>503</v>
      </c>
    </row>
    <row r="18" spans="1:8" x14ac:dyDescent="0.2">
      <c r="A18" s="158" t="s">
        <v>533</v>
      </c>
      <c r="B18" s="159" t="s">
        <v>534</v>
      </c>
      <c r="C18" s="160" t="s">
        <v>502</v>
      </c>
      <c r="D18" s="161">
        <v>1</v>
      </c>
      <c r="E18" s="162">
        <v>134.63999999999999</v>
      </c>
      <c r="F18" s="163">
        <f t="shared" si="0"/>
        <v>134.63999999999999</v>
      </c>
      <c r="G18" s="160">
        <v>38120</v>
      </c>
      <c r="H18" s="164" t="s">
        <v>503</v>
      </c>
    </row>
    <row r="19" spans="1:8" x14ac:dyDescent="0.2">
      <c r="A19" s="158" t="s">
        <v>535</v>
      </c>
      <c r="B19" s="161" t="s">
        <v>536</v>
      </c>
      <c r="C19" s="160" t="s">
        <v>502</v>
      </c>
      <c r="D19" s="161">
        <v>2</v>
      </c>
      <c r="E19" s="162">
        <v>40.869999999999997</v>
      </c>
      <c r="F19" s="163">
        <f t="shared" si="0"/>
        <v>81.739999999999995</v>
      </c>
      <c r="G19" s="160">
        <v>4823</v>
      </c>
      <c r="H19" s="164" t="s">
        <v>503</v>
      </c>
    </row>
    <row r="20" spans="1:8" x14ac:dyDescent="0.2">
      <c r="A20" s="158" t="s">
        <v>537</v>
      </c>
      <c r="B20" s="159" t="s">
        <v>538</v>
      </c>
      <c r="C20" s="160" t="s">
        <v>506</v>
      </c>
      <c r="D20" s="161">
        <v>10</v>
      </c>
      <c r="E20" s="162">
        <v>9.7899999999999991</v>
      </c>
      <c r="F20" s="163">
        <f t="shared" si="0"/>
        <v>97.899999999999991</v>
      </c>
      <c r="G20" s="160">
        <v>11963</v>
      </c>
      <c r="H20" s="164" t="s">
        <v>503</v>
      </c>
    </row>
    <row r="21" spans="1:8" x14ac:dyDescent="0.2">
      <c r="A21" s="158" t="s">
        <v>539</v>
      </c>
      <c r="B21" s="159" t="s">
        <v>540</v>
      </c>
      <c r="C21" s="160" t="s">
        <v>506</v>
      </c>
      <c r="D21" s="161">
        <v>10</v>
      </c>
      <c r="E21" s="162">
        <v>0.19</v>
      </c>
      <c r="F21" s="163">
        <f t="shared" si="0"/>
        <v>1.9</v>
      </c>
      <c r="G21" s="160">
        <v>4377</v>
      </c>
      <c r="H21" s="164" t="s">
        <v>503</v>
      </c>
    </row>
    <row r="22" spans="1:8" x14ac:dyDescent="0.2">
      <c r="A22" s="158" t="s">
        <v>541</v>
      </c>
      <c r="B22" s="159" t="s">
        <v>542</v>
      </c>
      <c r="C22" s="160" t="s">
        <v>543</v>
      </c>
      <c r="D22" s="161">
        <v>5</v>
      </c>
      <c r="E22" s="162">
        <v>9.7200000000000006</v>
      </c>
      <c r="F22" s="163">
        <f t="shared" si="0"/>
        <v>48.6</v>
      </c>
      <c r="G22" s="160">
        <v>4812</v>
      </c>
      <c r="H22" s="164" t="s">
        <v>503</v>
      </c>
    </row>
    <row r="23" spans="1:8" x14ac:dyDescent="0.2">
      <c r="A23" s="158" t="s">
        <v>544</v>
      </c>
      <c r="B23" s="159" t="s">
        <v>545</v>
      </c>
      <c r="C23" s="160" t="s">
        <v>502</v>
      </c>
      <c r="D23" s="161">
        <v>0.1</v>
      </c>
      <c r="E23" s="162">
        <v>71.989999999999995</v>
      </c>
      <c r="F23" s="163">
        <f t="shared" si="0"/>
        <v>7.1989999999999998</v>
      </c>
      <c r="G23" s="160">
        <v>5104</v>
      </c>
      <c r="H23" s="164" t="s">
        <v>503</v>
      </c>
    </row>
    <row r="24" spans="1:8" x14ac:dyDescent="0.2">
      <c r="A24" s="158" t="s">
        <v>546</v>
      </c>
      <c r="B24" s="159" t="s">
        <v>547</v>
      </c>
      <c r="C24" s="160" t="s">
        <v>506</v>
      </c>
      <c r="D24" s="161">
        <v>1</v>
      </c>
      <c r="E24" s="162">
        <v>34.909999999999997</v>
      </c>
      <c r="F24" s="163">
        <f t="shared" si="0"/>
        <v>34.909999999999997</v>
      </c>
      <c r="G24" s="160">
        <v>142</v>
      </c>
      <c r="H24" s="164" t="s">
        <v>503</v>
      </c>
    </row>
    <row r="25" spans="1:8" x14ac:dyDescent="0.2">
      <c r="A25" s="158" t="s">
        <v>548</v>
      </c>
      <c r="B25" s="159" t="s">
        <v>549</v>
      </c>
      <c r="C25" s="160" t="s">
        <v>506</v>
      </c>
      <c r="D25" s="161">
        <v>2</v>
      </c>
      <c r="E25" s="162">
        <v>23.07</v>
      </c>
      <c r="F25" s="163">
        <f t="shared" si="0"/>
        <v>46.14</v>
      </c>
      <c r="G25" s="160">
        <v>39961</v>
      </c>
      <c r="H25" s="164" t="s">
        <v>503</v>
      </c>
    </row>
    <row r="26" spans="1:8" x14ac:dyDescent="0.2">
      <c r="A26" s="158" t="s">
        <v>550</v>
      </c>
      <c r="B26" s="159" t="s">
        <v>551</v>
      </c>
      <c r="C26" s="160" t="s">
        <v>552</v>
      </c>
      <c r="D26" s="161">
        <v>38</v>
      </c>
      <c r="E26" s="162">
        <v>0.37</v>
      </c>
      <c r="F26" s="163">
        <f t="shared" si="0"/>
        <v>14.06</v>
      </c>
      <c r="G26" s="160">
        <v>4374</v>
      </c>
      <c r="H26" s="164" t="s">
        <v>503</v>
      </c>
    </row>
    <row r="27" spans="1:8" x14ac:dyDescent="0.2">
      <c r="A27" s="158" t="s">
        <v>553</v>
      </c>
      <c r="B27" s="159" t="s">
        <v>554</v>
      </c>
      <c r="C27" s="160" t="s">
        <v>552</v>
      </c>
      <c r="D27" s="161">
        <v>1</v>
      </c>
      <c r="E27" s="162">
        <v>0.1</v>
      </c>
      <c r="F27" s="163">
        <f t="shared" si="0"/>
        <v>0.1</v>
      </c>
      <c r="G27" s="160">
        <v>4375</v>
      </c>
      <c r="H27" s="164" t="s">
        <v>503</v>
      </c>
    </row>
    <row r="28" spans="1:8" x14ac:dyDescent="0.2">
      <c r="A28" s="158" t="s">
        <v>555</v>
      </c>
      <c r="B28" s="159" t="s">
        <v>556</v>
      </c>
      <c r="C28" s="160" t="s">
        <v>552</v>
      </c>
      <c r="D28" s="161">
        <v>17</v>
      </c>
      <c r="E28" s="162">
        <v>0.19</v>
      </c>
      <c r="F28" s="163">
        <f t="shared" si="0"/>
        <v>3.23</v>
      </c>
      <c r="G28" s="160">
        <v>4376</v>
      </c>
      <c r="H28" s="164" t="s">
        <v>503</v>
      </c>
    </row>
    <row r="29" spans="1:8" ht="20.399999999999999" x14ac:dyDescent="0.2">
      <c r="A29" s="158" t="s">
        <v>557</v>
      </c>
      <c r="B29" s="159" t="s">
        <v>558</v>
      </c>
      <c r="C29" s="160" t="s">
        <v>559</v>
      </c>
      <c r="D29" s="161">
        <v>1</v>
      </c>
      <c r="E29" s="162">
        <v>70.510000000000005</v>
      </c>
      <c r="F29" s="163">
        <f t="shared" si="0"/>
        <v>70.510000000000005</v>
      </c>
      <c r="G29" s="160">
        <v>3090</v>
      </c>
      <c r="H29" s="164" t="s">
        <v>503</v>
      </c>
    </row>
    <row r="30" spans="1:8" x14ac:dyDescent="0.2">
      <c r="A30" s="158" t="s">
        <v>560</v>
      </c>
      <c r="B30" s="159" t="s">
        <v>561</v>
      </c>
      <c r="C30" s="160" t="s">
        <v>552</v>
      </c>
      <c r="D30" s="161">
        <v>2</v>
      </c>
      <c r="E30" s="162">
        <v>162.84</v>
      </c>
      <c r="F30" s="163">
        <f t="shared" si="0"/>
        <v>325.68</v>
      </c>
      <c r="G30" s="160">
        <v>11560</v>
      </c>
      <c r="H30" s="164" t="s">
        <v>503</v>
      </c>
    </row>
    <row r="31" spans="1:8" x14ac:dyDescent="0.2">
      <c r="A31" s="158" t="s">
        <v>562</v>
      </c>
      <c r="B31" s="159" t="s">
        <v>563</v>
      </c>
      <c r="C31" s="160" t="s">
        <v>552</v>
      </c>
      <c r="D31" s="161">
        <v>18</v>
      </c>
      <c r="E31" s="162">
        <v>0.19</v>
      </c>
      <c r="F31" s="163">
        <f t="shared" si="0"/>
        <v>3.42</v>
      </c>
      <c r="G31" s="160">
        <v>39442</v>
      </c>
      <c r="H31" s="164" t="s">
        <v>503</v>
      </c>
    </row>
    <row r="32" spans="1:8" x14ac:dyDescent="0.2">
      <c r="A32" s="158" t="s">
        <v>564</v>
      </c>
      <c r="B32" s="159" t="s">
        <v>565</v>
      </c>
      <c r="C32" s="160" t="s">
        <v>552</v>
      </c>
      <c r="D32" s="161">
        <v>4</v>
      </c>
      <c r="E32" s="162">
        <v>0.09</v>
      </c>
      <c r="F32" s="163">
        <f t="shared" si="0"/>
        <v>0.36</v>
      </c>
      <c r="G32" s="160">
        <v>11055</v>
      </c>
      <c r="H32" s="164" t="s">
        <v>503</v>
      </c>
    </row>
    <row r="33" spans="1:8" x14ac:dyDescent="0.2">
      <c r="A33" s="158" t="s">
        <v>566</v>
      </c>
      <c r="B33" s="159" t="s">
        <v>567</v>
      </c>
      <c r="C33" s="160" t="s">
        <v>552</v>
      </c>
      <c r="D33" s="161">
        <v>2</v>
      </c>
      <c r="E33" s="162">
        <v>0.2</v>
      </c>
      <c r="F33" s="163">
        <f t="shared" si="0"/>
        <v>0.4</v>
      </c>
      <c r="G33" s="160">
        <v>11057</v>
      </c>
      <c r="H33" s="164" t="s">
        <v>503</v>
      </c>
    </row>
    <row r="34" spans="1:8" x14ac:dyDescent="0.2">
      <c r="A34" s="158" t="s">
        <v>568</v>
      </c>
      <c r="B34" s="159" t="s">
        <v>569</v>
      </c>
      <c r="C34" s="160" t="s">
        <v>552</v>
      </c>
      <c r="D34" s="161">
        <v>20</v>
      </c>
      <c r="E34" s="162">
        <v>0.4</v>
      </c>
      <c r="F34" s="163">
        <f t="shared" si="0"/>
        <v>8</v>
      </c>
      <c r="G34" s="160">
        <v>11059</v>
      </c>
      <c r="H34" s="164" t="s">
        <v>503</v>
      </c>
    </row>
    <row r="35" spans="1:8" x14ac:dyDescent="0.2">
      <c r="A35" s="158" t="s">
        <v>570</v>
      </c>
      <c r="B35" s="159" t="s">
        <v>571</v>
      </c>
      <c r="C35" s="160" t="s">
        <v>552</v>
      </c>
      <c r="D35" s="161">
        <v>25</v>
      </c>
      <c r="E35" s="162">
        <v>0.23</v>
      </c>
      <c r="F35" s="163">
        <f t="shared" si="0"/>
        <v>5.75</v>
      </c>
      <c r="G35" s="160">
        <v>11962</v>
      </c>
      <c r="H35" s="164" t="s">
        <v>503</v>
      </c>
    </row>
    <row r="36" spans="1:8" x14ac:dyDescent="0.2">
      <c r="A36" s="158" t="s">
        <v>572</v>
      </c>
      <c r="B36" s="161" t="s">
        <v>573</v>
      </c>
      <c r="C36" s="160" t="s">
        <v>574</v>
      </c>
      <c r="D36" s="161">
        <v>4</v>
      </c>
      <c r="E36" s="162">
        <v>36.479999999999997</v>
      </c>
      <c r="F36" s="163">
        <f t="shared" si="0"/>
        <v>145.91999999999999</v>
      </c>
      <c r="G36" s="160">
        <v>38390</v>
      </c>
      <c r="H36" s="164" t="s">
        <v>503</v>
      </c>
    </row>
    <row r="37" spans="1:8" x14ac:dyDescent="0.2">
      <c r="A37" s="158" t="s">
        <v>575</v>
      </c>
      <c r="B37" s="159" t="s">
        <v>576</v>
      </c>
      <c r="C37" s="160" t="s">
        <v>506</v>
      </c>
      <c r="D37" s="161">
        <v>10</v>
      </c>
      <c r="E37" s="162">
        <v>0.61</v>
      </c>
      <c r="F37" s="163">
        <f t="shared" si="0"/>
        <v>6.1</v>
      </c>
      <c r="G37" s="160">
        <v>7568</v>
      </c>
      <c r="H37" s="164" t="s">
        <v>503</v>
      </c>
    </row>
    <row r="38" spans="1:8" x14ac:dyDescent="0.2">
      <c r="A38" s="158" t="s">
        <v>577</v>
      </c>
      <c r="B38" s="159" t="s">
        <v>578</v>
      </c>
      <c r="C38" s="160" t="s">
        <v>506</v>
      </c>
      <c r="D38" s="161">
        <v>10</v>
      </c>
      <c r="E38" s="162">
        <v>0.93</v>
      </c>
      <c r="F38" s="163">
        <f t="shared" si="0"/>
        <v>9.3000000000000007</v>
      </c>
      <c r="G38" s="160">
        <v>7584</v>
      </c>
      <c r="H38" s="164" t="s">
        <v>503</v>
      </c>
    </row>
    <row r="39" spans="1:8" x14ac:dyDescent="0.2">
      <c r="A39" s="158" t="s">
        <v>579</v>
      </c>
      <c r="B39" s="159" t="s">
        <v>580</v>
      </c>
      <c r="C39" s="160" t="s">
        <v>506</v>
      </c>
      <c r="D39" s="161">
        <v>5</v>
      </c>
      <c r="E39" s="162">
        <v>0.06</v>
      </c>
      <c r="F39" s="163">
        <f t="shared" si="0"/>
        <v>0.3</v>
      </c>
      <c r="G39" s="160">
        <v>11945</v>
      </c>
      <c r="H39" s="164" t="s">
        <v>503</v>
      </c>
    </row>
    <row r="40" spans="1:8" x14ac:dyDescent="0.2">
      <c r="A40" s="158" t="s">
        <v>581</v>
      </c>
      <c r="B40" s="159" t="s">
        <v>582</v>
      </c>
      <c r="C40" s="160" t="s">
        <v>506</v>
      </c>
      <c r="D40" s="161">
        <v>5</v>
      </c>
      <c r="E40" s="162">
        <v>0.06</v>
      </c>
      <c r="F40" s="163">
        <f t="shared" si="0"/>
        <v>0.3</v>
      </c>
      <c r="G40" s="160">
        <v>11946</v>
      </c>
      <c r="H40" s="164" t="s">
        <v>503</v>
      </c>
    </row>
    <row r="41" spans="1:8" x14ac:dyDescent="0.2">
      <c r="A41" s="158" t="s">
        <v>583</v>
      </c>
      <c r="B41" s="159" t="s">
        <v>584</v>
      </c>
      <c r="C41" s="160" t="s">
        <v>506</v>
      </c>
      <c r="D41" s="161">
        <v>10</v>
      </c>
      <c r="E41" s="162">
        <v>0.2</v>
      </c>
      <c r="F41" s="163">
        <f t="shared" si="0"/>
        <v>2</v>
      </c>
      <c r="G41" s="160">
        <v>11950</v>
      </c>
      <c r="H41" s="164" t="s">
        <v>503</v>
      </c>
    </row>
    <row r="42" spans="1:8" x14ac:dyDescent="0.2">
      <c r="A42" s="158" t="s">
        <v>585</v>
      </c>
      <c r="B42" s="159" t="s">
        <v>586</v>
      </c>
      <c r="C42" s="160" t="s">
        <v>506</v>
      </c>
      <c r="D42" s="161">
        <v>10</v>
      </c>
      <c r="E42" s="162">
        <v>0.41</v>
      </c>
      <c r="F42" s="163">
        <f>D42*E42</f>
        <v>4.0999999999999996</v>
      </c>
      <c r="G42" s="160">
        <v>7583</v>
      </c>
      <c r="H42" s="164" t="s">
        <v>503</v>
      </c>
    </row>
    <row r="43" spans="1:8" x14ac:dyDescent="0.2">
      <c r="A43" s="158" t="s">
        <v>587</v>
      </c>
      <c r="B43" s="159" t="s">
        <v>588</v>
      </c>
      <c r="C43" s="160" t="s">
        <v>506</v>
      </c>
      <c r="D43" s="161">
        <v>1</v>
      </c>
      <c r="E43" s="162">
        <v>288.18333333333334</v>
      </c>
      <c r="F43" s="163">
        <f>D43*E43</f>
        <v>288.18333333333334</v>
      </c>
      <c r="G43" s="160" t="s">
        <v>24</v>
      </c>
      <c r="H43" s="164" t="s">
        <v>589</v>
      </c>
    </row>
    <row r="44" spans="1:8" x14ac:dyDescent="0.2">
      <c r="A44" s="158" t="s">
        <v>590</v>
      </c>
      <c r="B44" s="159" t="s">
        <v>591</v>
      </c>
      <c r="C44" s="160" t="s">
        <v>506</v>
      </c>
      <c r="D44" s="161">
        <v>6</v>
      </c>
      <c r="E44" s="162">
        <v>19.613333333333333</v>
      </c>
      <c r="F44" s="163">
        <f t="shared" ref="F44" si="1">D44*E44</f>
        <v>117.68</v>
      </c>
      <c r="G44" s="160" t="s">
        <v>24</v>
      </c>
      <c r="H44" s="164" t="s">
        <v>589</v>
      </c>
    </row>
    <row r="45" spans="1:8" x14ac:dyDescent="0.2">
      <c r="A45" s="158" t="s">
        <v>592</v>
      </c>
      <c r="B45" s="159" t="s">
        <v>593</v>
      </c>
      <c r="C45" s="160" t="s">
        <v>506</v>
      </c>
      <c r="D45" s="161">
        <v>4</v>
      </c>
      <c r="E45" s="162">
        <v>14.796666666666667</v>
      </c>
      <c r="F45" s="163">
        <f>D45*E45</f>
        <v>59.186666666666667</v>
      </c>
      <c r="G45" s="160" t="s">
        <v>24</v>
      </c>
      <c r="H45" s="164" t="s">
        <v>589</v>
      </c>
    </row>
    <row r="46" spans="1:8" x14ac:dyDescent="0.2">
      <c r="A46" s="158" t="s">
        <v>594</v>
      </c>
      <c r="B46" s="159" t="s">
        <v>595</v>
      </c>
      <c r="C46" s="160" t="s">
        <v>506</v>
      </c>
      <c r="D46" s="161">
        <v>4</v>
      </c>
      <c r="E46" s="162">
        <v>21.133333333333336</v>
      </c>
      <c r="F46" s="163">
        <f>D46*E46</f>
        <v>84.533333333333346</v>
      </c>
      <c r="G46" s="160" t="s">
        <v>24</v>
      </c>
      <c r="H46" s="164" t="s">
        <v>589</v>
      </c>
    </row>
    <row r="47" spans="1:8" x14ac:dyDescent="0.2">
      <c r="A47" s="158" t="s">
        <v>596</v>
      </c>
      <c r="B47" s="159" t="s">
        <v>597</v>
      </c>
      <c r="C47" s="160" t="s">
        <v>506</v>
      </c>
      <c r="D47" s="161">
        <v>2</v>
      </c>
      <c r="E47" s="162">
        <v>13.313333333333333</v>
      </c>
      <c r="F47" s="163">
        <f>D47*E47</f>
        <v>26.626666666666665</v>
      </c>
      <c r="G47" s="160" t="s">
        <v>24</v>
      </c>
      <c r="H47" s="164" t="s">
        <v>589</v>
      </c>
    </row>
    <row r="48" spans="1:8" x14ac:dyDescent="0.2">
      <c r="A48" s="158" t="s">
        <v>598</v>
      </c>
      <c r="B48" s="159" t="s">
        <v>599</v>
      </c>
      <c r="C48" s="160" t="s">
        <v>506</v>
      </c>
      <c r="D48" s="161">
        <v>2</v>
      </c>
      <c r="E48" s="162">
        <v>16.580000000000002</v>
      </c>
      <c r="F48" s="163">
        <f>D48*E48</f>
        <v>33.160000000000004</v>
      </c>
      <c r="G48" s="160" t="s">
        <v>24</v>
      </c>
      <c r="H48" s="164" t="s">
        <v>589</v>
      </c>
    </row>
    <row r="49" spans="1:8" x14ac:dyDescent="0.2">
      <c r="A49" s="158" t="s">
        <v>600</v>
      </c>
      <c r="B49" s="159" t="s">
        <v>601</v>
      </c>
      <c r="C49" s="160" t="s">
        <v>506</v>
      </c>
      <c r="D49" s="161">
        <v>1</v>
      </c>
      <c r="E49" s="162">
        <v>27.59</v>
      </c>
      <c r="F49" s="163">
        <f>D49*E49</f>
        <v>27.59</v>
      </c>
      <c r="G49" s="160" t="s">
        <v>24</v>
      </c>
      <c r="H49" s="164" t="s">
        <v>589</v>
      </c>
    </row>
    <row r="50" spans="1:8" ht="20.399999999999999" x14ac:dyDescent="0.2">
      <c r="A50" s="158" t="s">
        <v>602</v>
      </c>
      <c r="B50" s="159" t="s">
        <v>603</v>
      </c>
      <c r="C50" s="160" t="s">
        <v>506</v>
      </c>
      <c r="D50" s="161">
        <v>1</v>
      </c>
      <c r="E50" s="162">
        <v>156.76</v>
      </c>
      <c r="F50" s="163">
        <f t="shared" ref="F50:F52" si="2">D50*E50</f>
        <v>156.76</v>
      </c>
      <c r="G50" s="160" t="s">
        <v>24</v>
      </c>
      <c r="H50" s="164" t="s">
        <v>589</v>
      </c>
    </row>
    <row r="51" spans="1:8" x14ac:dyDescent="0.2">
      <c r="A51" s="158" t="s">
        <v>604</v>
      </c>
      <c r="B51" s="159" t="s">
        <v>605</v>
      </c>
      <c r="C51" s="160" t="s">
        <v>506</v>
      </c>
      <c r="D51" s="161">
        <v>1</v>
      </c>
      <c r="E51" s="162">
        <v>126.33666666666669</v>
      </c>
      <c r="F51" s="163">
        <f t="shared" si="2"/>
        <v>126.33666666666669</v>
      </c>
      <c r="G51" s="160" t="s">
        <v>24</v>
      </c>
      <c r="H51" s="164" t="s">
        <v>589</v>
      </c>
    </row>
    <row r="52" spans="1:8" x14ac:dyDescent="0.2">
      <c r="A52" s="158" t="s">
        <v>606</v>
      </c>
      <c r="B52" s="159" t="s">
        <v>607</v>
      </c>
      <c r="C52" s="160" t="s">
        <v>506</v>
      </c>
      <c r="D52" s="161">
        <v>1</v>
      </c>
      <c r="E52" s="162">
        <v>78.36666666666666</v>
      </c>
      <c r="F52" s="163">
        <f t="shared" si="2"/>
        <v>78.36666666666666</v>
      </c>
      <c r="G52" s="160" t="s">
        <v>24</v>
      </c>
      <c r="H52" s="164" t="s">
        <v>589</v>
      </c>
    </row>
    <row r="54" spans="1:8" ht="15.75" customHeight="1" x14ac:dyDescent="0.2">
      <c r="A54" s="380" t="s">
        <v>608</v>
      </c>
      <c r="B54" s="381"/>
      <c r="C54" s="381"/>
      <c r="D54" s="381"/>
      <c r="E54" s="381"/>
      <c r="F54" s="165">
        <f>SUM(F4:F52)</f>
        <v>4642.4823333333352</v>
      </c>
      <c r="G54" s="166"/>
      <c r="H54" s="167"/>
    </row>
    <row r="55" spans="1:8" x14ac:dyDescent="0.2">
      <c r="A55" s="154" t="s">
        <v>609</v>
      </c>
      <c r="B55" s="155" t="s">
        <v>610</v>
      </c>
      <c r="C55" s="155"/>
      <c r="D55" s="155"/>
      <c r="E55" s="156"/>
      <c r="F55" s="155"/>
      <c r="G55" s="155"/>
      <c r="H55" s="157"/>
    </row>
    <row r="56" spans="1:8" x14ac:dyDescent="0.2">
      <c r="A56" s="158" t="s">
        <v>229</v>
      </c>
      <c r="B56" s="159" t="s">
        <v>611</v>
      </c>
      <c r="C56" s="160" t="s">
        <v>506</v>
      </c>
      <c r="D56" s="161">
        <v>10</v>
      </c>
      <c r="E56" s="162">
        <v>2.68</v>
      </c>
      <c r="F56" s="163">
        <f t="shared" ref="F56:F119" si="3">D56*E56</f>
        <v>26.8</v>
      </c>
      <c r="G56" s="160">
        <v>11270</v>
      </c>
      <c r="H56" s="164" t="s">
        <v>503</v>
      </c>
    </row>
    <row r="57" spans="1:8" x14ac:dyDescent="0.2">
      <c r="A57" s="158" t="s">
        <v>231</v>
      </c>
      <c r="B57" s="159" t="s">
        <v>612</v>
      </c>
      <c r="C57" s="160" t="s">
        <v>506</v>
      </c>
      <c r="D57" s="161">
        <v>20</v>
      </c>
      <c r="E57" s="162">
        <v>1.18</v>
      </c>
      <c r="F57" s="163">
        <f t="shared" si="3"/>
        <v>23.599999999999998</v>
      </c>
      <c r="G57" s="160">
        <v>412</v>
      </c>
      <c r="H57" s="164" t="s">
        <v>503</v>
      </c>
    </row>
    <row r="58" spans="1:8" x14ac:dyDescent="0.2">
      <c r="A58" s="158" t="s">
        <v>233</v>
      </c>
      <c r="B58" s="159" t="s">
        <v>613</v>
      </c>
      <c r="C58" s="160" t="s">
        <v>506</v>
      </c>
      <c r="D58" s="161">
        <v>20</v>
      </c>
      <c r="E58" s="162">
        <v>7.0000000000000007E-2</v>
      </c>
      <c r="F58" s="163">
        <f t="shared" si="3"/>
        <v>1.4000000000000001</v>
      </c>
      <c r="G58" s="160">
        <v>414</v>
      </c>
      <c r="H58" s="164" t="s">
        <v>503</v>
      </c>
    </row>
    <row r="59" spans="1:8" x14ac:dyDescent="0.2">
      <c r="A59" s="158" t="s">
        <v>614</v>
      </c>
      <c r="B59" s="159" t="s">
        <v>615</v>
      </c>
      <c r="C59" s="160" t="s">
        <v>506</v>
      </c>
      <c r="D59" s="161">
        <v>20</v>
      </c>
      <c r="E59" s="162">
        <v>0.18</v>
      </c>
      <c r="F59" s="163">
        <f t="shared" si="3"/>
        <v>3.5999999999999996</v>
      </c>
      <c r="G59" s="160">
        <v>410</v>
      </c>
      <c r="H59" s="164" t="s">
        <v>503</v>
      </c>
    </row>
    <row r="60" spans="1:8" x14ac:dyDescent="0.2">
      <c r="A60" s="158" t="s">
        <v>616</v>
      </c>
      <c r="B60" s="159" t="s">
        <v>617</v>
      </c>
      <c r="C60" s="160" t="s">
        <v>506</v>
      </c>
      <c r="D60" s="161">
        <v>20</v>
      </c>
      <c r="E60" s="162">
        <v>0.23</v>
      </c>
      <c r="F60" s="163">
        <f t="shared" si="3"/>
        <v>4.6000000000000005</v>
      </c>
      <c r="G60" s="160">
        <v>411</v>
      </c>
      <c r="H60" s="164" t="s">
        <v>503</v>
      </c>
    </row>
    <row r="61" spans="1:8" x14ac:dyDescent="0.2">
      <c r="A61" s="158" t="s">
        <v>618</v>
      </c>
      <c r="B61" s="159" t="s">
        <v>619</v>
      </c>
      <c r="C61" s="160" t="s">
        <v>506</v>
      </c>
      <c r="D61" s="161">
        <v>20</v>
      </c>
      <c r="E61" s="162">
        <v>1.97</v>
      </c>
      <c r="F61" s="163">
        <f t="shared" si="3"/>
        <v>39.4</v>
      </c>
      <c r="G61" s="160">
        <v>393</v>
      </c>
      <c r="H61" s="164" t="s">
        <v>503</v>
      </c>
    </row>
    <row r="62" spans="1:8" x14ac:dyDescent="0.2">
      <c r="A62" s="158" t="s">
        <v>620</v>
      </c>
      <c r="B62" s="159" t="s">
        <v>621</v>
      </c>
      <c r="C62" s="160" t="s">
        <v>506</v>
      </c>
      <c r="D62" s="161">
        <v>20</v>
      </c>
      <c r="E62" s="162">
        <v>1.65</v>
      </c>
      <c r="F62" s="163">
        <f t="shared" si="3"/>
        <v>33</v>
      </c>
      <c r="G62" s="160">
        <v>392</v>
      </c>
      <c r="H62" s="164" t="s">
        <v>503</v>
      </c>
    </row>
    <row r="63" spans="1:8" x14ac:dyDescent="0.2">
      <c r="A63" s="158" t="s">
        <v>622</v>
      </c>
      <c r="B63" s="159" t="s">
        <v>623</v>
      </c>
      <c r="C63" s="160" t="s">
        <v>506</v>
      </c>
      <c r="D63" s="161">
        <v>5</v>
      </c>
      <c r="E63" s="162">
        <v>5.03</v>
      </c>
      <c r="F63" s="163">
        <f t="shared" si="3"/>
        <v>25.150000000000002</v>
      </c>
      <c r="G63" s="160">
        <v>12615</v>
      </c>
      <c r="H63" s="164" t="s">
        <v>503</v>
      </c>
    </row>
    <row r="64" spans="1:8" x14ac:dyDescent="0.2">
      <c r="A64" s="158" t="s">
        <v>624</v>
      </c>
      <c r="B64" s="159" t="s">
        <v>625</v>
      </c>
      <c r="C64" s="160" t="s">
        <v>506</v>
      </c>
      <c r="D64" s="161">
        <v>5</v>
      </c>
      <c r="E64" s="162">
        <v>8.02</v>
      </c>
      <c r="F64" s="163">
        <f t="shared" si="3"/>
        <v>40.099999999999994</v>
      </c>
      <c r="G64" s="160">
        <v>11927</v>
      </c>
      <c r="H64" s="164" t="s">
        <v>503</v>
      </c>
    </row>
    <row r="65" spans="1:8" x14ac:dyDescent="0.2">
      <c r="A65" s="158" t="s">
        <v>626</v>
      </c>
      <c r="B65" s="159" t="s">
        <v>627</v>
      </c>
      <c r="C65" s="160" t="s">
        <v>628</v>
      </c>
      <c r="D65" s="161">
        <v>20</v>
      </c>
      <c r="E65" s="162">
        <v>13.75</v>
      </c>
      <c r="F65" s="163">
        <f t="shared" si="3"/>
        <v>275</v>
      </c>
      <c r="G65" s="160">
        <v>995</v>
      </c>
      <c r="H65" s="164" t="s">
        <v>503</v>
      </c>
    </row>
    <row r="66" spans="1:8" x14ac:dyDescent="0.2">
      <c r="A66" s="158" t="s">
        <v>629</v>
      </c>
      <c r="B66" s="159" t="s">
        <v>630</v>
      </c>
      <c r="C66" s="160" t="s">
        <v>552</v>
      </c>
      <c r="D66" s="161">
        <v>1</v>
      </c>
      <c r="E66" s="162">
        <v>5.59</v>
      </c>
      <c r="F66" s="163">
        <f t="shared" si="3"/>
        <v>5.59</v>
      </c>
      <c r="G66" s="160">
        <v>38096</v>
      </c>
      <c r="H66" s="164" t="s">
        <v>503</v>
      </c>
    </row>
    <row r="67" spans="1:8" x14ac:dyDescent="0.2">
      <c r="A67" s="158" t="s">
        <v>631</v>
      </c>
      <c r="B67" s="159" t="s">
        <v>632</v>
      </c>
      <c r="C67" s="160" t="s">
        <v>628</v>
      </c>
      <c r="D67" s="161">
        <v>50</v>
      </c>
      <c r="E67" s="162">
        <v>3.01</v>
      </c>
      <c r="F67" s="163">
        <f t="shared" si="3"/>
        <v>150.5</v>
      </c>
      <c r="G67" s="160">
        <v>984</v>
      </c>
      <c r="H67" s="164" t="s">
        <v>503</v>
      </c>
    </row>
    <row r="68" spans="1:8" ht="20.399999999999999" x14ac:dyDescent="0.2">
      <c r="A68" s="158" t="s">
        <v>633</v>
      </c>
      <c r="B68" s="159" t="s">
        <v>634</v>
      </c>
      <c r="C68" s="160" t="s">
        <v>628</v>
      </c>
      <c r="D68" s="161">
        <v>4</v>
      </c>
      <c r="E68" s="162">
        <v>11.86</v>
      </c>
      <c r="F68" s="163">
        <f t="shared" si="3"/>
        <v>47.44</v>
      </c>
      <c r="G68" s="160">
        <v>39259</v>
      </c>
      <c r="H68" s="164" t="s">
        <v>503</v>
      </c>
    </row>
    <row r="69" spans="1:8" x14ac:dyDescent="0.2">
      <c r="A69" s="158" t="s">
        <v>635</v>
      </c>
      <c r="B69" s="159" t="s">
        <v>636</v>
      </c>
      <c r="C69" s="160" t="s">
        <v>552</v>
      </c>
      <c r="D69" s="161">
        <v>1</v>
      </c>
      <c r="E69" s="162">
        <v>62.97</v>
      </c>
      <c r="F69" s="163">
        <f t="shared" si="3"/>
        <v>62.97</v>
      </c>
      <c r="G69" s="160">
        <v>2388</v>
      </c>
      <c r="H69" s="164" t="s">
        <v>503</v>
      </c>
    </row>
    <row r="70" spans="1:8" x14ac:dyDescent="0.2">
      <c r="A70" s="158" t="s">
        <v>637</v>
      </c>
      <c r="B70" s="159" t="s">
        <v>638</v>
      </c>
      <c r="C70" s="160" t="s">
        <v>628</v>
      </c>
      <c r="D70" s="161">
        <v>2</v>
      </c>
      <c r="E70" s="162">
        <v>2.27</v>
      </c>
      <c r="F70" s="163">
        <f t="shared" si="3"/>
        <v>4.54</v>
      </c>
      <c r="G70" s="160">
        <v>2687</v>
      </c>
      <c r="H70" s="164" t="s">
        <v>503</v>
      </c>
    </row>
    <row r="71" spans="1:8" x14ac:dyDescent="0.2">
      <c r="A71" s="158" t="s">
        <v>639</v>
      </c>
      <c r="B71" s="159" t="s">
        <v>640</v>
      </c>
      <c r="C71" s="160" t="s">
        <v>628</v>
      </c>
      <c r="D71" s="161">
        <v>1</v>
      </c>
      <c r="E71" s="162">
        <v>2.71</v>
      </c>
      <c r="F71" s="163">
        <f t="shared" si="3"/>
        <v>2.71</v>
      </c>
      <c r="G71" s="160">
        <v>2689</v>
      </c>
      <c r="H71" s="164" t="s">
        <v>503</v>
      </c>
    </row>
    <row r="72" spans="1:8" x14ac:dyDescent="0.2">
      <c r="A72" s="158" t="s">
        <v>641</v>
      </c>
      <c r="B72" s="159" t="s">
        <v>642</v>
      </c>
      <c r="C72" s="160" t="s">
        <v>522</v>
      </c>
      <c r="D72" s="161">
        <v>10</v>
      </c>
      <c r="E72" s="162">
        <v>0.76</v>
      </c>
      <c r="F72" s="163">
        <f t="shared" si="3"/>
        <v>7.6</v>
      </c>
      <c r="G72" s="160">
        <v>1011</v>
      </c>
      <c r="H72" s="164" t="s">
        <v>503</v>
      </c>
    </row>
    <row r="73" spans="1:8" x14ac:dyDescent="0.2">
      <c r="A73" s="158" t="s">
        <v>643</v>
      </c>
      <c r="B73" s="159" t="s">
        <v>644</v>
      </c>
      <c r="C73" s="160" t="s">
        <v>522</v>
      </c>
      <c r="D73" s="161">
        <v>200</v>
      </c>
      <c r="E73" s="162">
        <v>1.21</v>
      </c>
      <c r="F73" s="163">
        <f t="shared" si="3"/>
        <v>242</v>
      </c>
      <c r="G73" s="160">
        <v>1013</v>
      </c>
      <c r="H73" s="164" t="s">
        <v>503</v>
      </c>
    </row>
    <row r="74" spans="1:8" x14ac:dyDescent="0.2">
      <c r="A74" s="158" t="s">
        <v>645</v>
      </c>
      <c r="B74" s="159" t="s">
        <v>646</v>
      </c>
      <c r="C74" s="160" t="s">
        <v>522</v>
      </c>
      <c r="D74" s="161">
        <v>20</v>
      </c>
      <c r="E74" s="162">
        <v>8.2200000000000006</v>
      </c>
      <c r="F74" s="163">
        <f t="shared" si="3"/>
        <v>164.4</v>
      </c>
      <c r="G74" s="160">
        <v>980</v>
      </c>
      <c r="H74" s="164" t="s">
        <v>503</v>
      </c>
    </row>
    <row r="75" spans="1:8" x14ac:dyDescent="0.2">
      <c r="A75" s="158" t="s">
        <v>647</v>
      </c>
      <c r="B75" s="159" t="s">
        <v>648</v>
      </c>
      <c r="C75" s="160" t="s">
        <v>522</v>
      </c>
      <c r="D75" s="161">
        <v>200</v>
      </c>
      <c r="E75" s="162">
        <v>1.92</v>
      </c>
      <c r="F75" s="163">
        <f t="shared" si="3"/>
        <v>384</v>
      </c>
      <c r="G75" s="160">
        <v>1014</v>
      </c>
      <c r="H75" s="164" t="s">
        <v>503</v>
      </c>
    </row>
    <row r="76" spans="1:8" x14ac:dyDescent="0.2">
      <c r="A76" s="158" t="s">
        <v>649</v>
      </c>
      <c r="B76" s="159" t="s">
        <v>650</v>
      </c>
      <c r="C76" s="160" t="s">
        <v>522</v>
      </c>
      <c r="D76" s="161">
        <v>200</v>
      </c>
      <c r="E76" s="162">
        <v>3.44</v>
      </c>
      <c r="F76" s="163">
        <f t="shared" si="3"/>
        <v>688</v>
      </c>
      <c r="G76" s="160">
        <v>981</v>
      </c>
      <c r="H76" s="164" t="s">
        <v>503</v>
      </c>
    </row>
    <row r="77" spans="1:8" x14ac:dyDescent="0.2">
      <c r="A77" s="158" t="s">
        <v>651</v>
      </c>
      <c r="B77" s="159" t="s">
        <v>652</v>
      </c>
      <c r="C77" s="160" t="s">
        <v>522</v>
      </c>
      <c r="D77" s="161">
        <v>50</v>
      </c>
      <c r="E77" s="162">
        <v>4.8099999999999996</v>
      </c>
      <c r="F77" s="163">
        <f t="shared" si="3"/>
        <v>240.49999999999997</v>
      </c>
      <c r="G77" s="160">
        <v>982</v>
      </c>
      <c r="H77" s="164" t="s">
        <v>503</v>
      </c>
    </row>
    <row r="78" spans="1:8" x14ac:dyDescent="0.2">
      <c r="A78" s="158" t="s">
        <v>653</v>
      </c>
      <c r="B78" s="159" t="s">
        <v>654</v>
      </c>
      <c r="C78" s="160" t="s">
        <v>506</v>
      </c>
      <c r="D78" s="161">
        <v>1</v>
      </c>
      <c r="E78" s="162">
        <v>9.31</v>
      </c>
      <c r="F78" s="163">
        <f t="shared" si="3"/>
        <v>9.31</v>
      </c>
      <c r="G78" s="261">
        <v>7528</v>
      </c>
      <c r="H78" s="164" t="s">
        <v>503</v>
      </c>
    </row>
    <row r="79" spans="1:8" x14ac:dyDescent="0.2">
      <c r="A79" s="158" t="s">
        <v>655</v>
      </c>
      <c r="B79" s="159" t="s">
        <v>656</v>
      </c>
      <c r="C79" s="160" t="s">
        <v>506</v>
      </c>
      <c r="D79" s="161">
        <v>1</v>
      </c>
      <c r="E79" s="162">
        <v>14.19</v>
      </c>
      <c r="F79" s="163">
        <f t="shared" si="3"/>
        <v>14.19</v>
      </c>
      <c r="G79" s="261">
        <v>12147</v>
      </c>
      <c r="H79" s="164" t="s">
        <v>503</v>
      </c>
    </row>
    <row r="80" spans="1:8" x14ac:dyDescent="0.2">
      <c r="A80" s="158" t="s">
        <v>657</v>
      </c>
      <c r="B80" s="159" t="s">
        <v>658</v>
      </c>
      <c r="C80" s="160" t="s">
        <v>506</v>
      </c>
      <c r="D80" s="161">
        <v>1</v>
      </c>
      <c r="E80" s="162">
        <v>16.12</v>
      </c>
      <c r="F80" s="163">
        <f t="shared" si="3"/>
        <v>16.12</v>
      </c>
      <c r="G80" s="261">
        <v>38075</v>
      </c>
      <c r="H80" s="164" t="s">
        <v>503</v>
      </c>
    </row>
    <row r="81" spans="1:8" x14ac:dyDescent="0.2">
      <c r="A81" s="158" t="s">
        <v>659</v>
      </c>
      <c r="B81" s="159" t="s">
        <v>660</v>
      </c>
      <c r="C81" s="160" t="s">
        <v>506</v>
      </c>
      <c r="D81" s="161">
        <v>1</v>
      </c>
      <c r="E81" s="162">
        <v>18.079999999999998</v>
      </c>
      <c r="F81" s="163">
        <f t="shared" si="3"/>
        <v>18.079999999999998</v>
      </c>
      <c r="G81" s="261">
        <v>38076</v>
      </c>
      <c r="H81" s="164" t="s">
        <v>503</v>
      </c>
    </row>
    <row r="82" spans="1:8" x14ac:dyDescent="0.2">
      <c r="A82" s="158" t="s">
        <v>661</v>
      </c>
      <c r="B82" s="159" t="s">
        <v>662</v>
      </c>
      <c r="C82" s="160" t="s">
        <v>506</v>
      </c>
      <c r="D82" s="161">
        <v>1</v>
      </c>
      <c r="E82" s="162">
        <v>16.690000000000001</v>
      </c>
      <c r="F82" s="163">
        <f t="shared" si="3"/>
        <v>16.690000000000001</v>
      </c>
      <c r="G82" s="261">
        <v>38078</v>
      </c>
      <c r="H82" s="164" t="s">
        <v>503</v>
      </c>
    </row>
    <row r="83" spans="1:8" x14ac:dyDescent="0.2">
      <c r="A83" s="158" t="s">
        <v>663</v>
      </c>
      <c r="B83" s="159" t="s">
        <v>664</v>
      </c>
      <c r="C83" s="160" t="s">
        <v>506</v>
      </c>
      <c r="D83" s="161">
        <v>1</v>
      </c>
      <c r="E83" s="162">
        <v>9.73</v>
      </c>
      <c r="F83" s="163">
        <f t="shared" si="3"/>
        <v>9.73</v>
      </c>
      <c r="G83" s="261">
        <v>38063</v>
      </c>
      <c r="H83" s="164" t="s">
        <v>503</v>
      </c>
    </row>
    <row r="84" spans="1:8" ht="20.399999999999999" x14ac:dyDescent="0.2">
      <c r="A84" s="158" t="s">
        <v>665</v>
      </c>
      <c r="B84" s="159" t="s">
        <v>666</v>
      </c>
      <c r="C84" s="160" t="s">
        <v>506</v>
      </c>
      <c r="D84" s="161">
        <v>1</v>
      </c>
      <c r="E84" s="162">
        <v>28.99</v>
      </c>
      <c r="F84" s="163">
        <f t="shared" si="3"/>
        <v>28.99</v>
      </c>
      <c r="G84" s="261">
        <v>38080</v>
      </c>
      <c r="H84" s="164" t="s">
        <v>503</v>
      </c>
    </row>
    <row r="85" spans="1:8" x14ac:dyDescent="0.2">
      <c r="A85" s="158" t="s">
        <v>667</v>
      </c>
      <c r="B85" s="159" t="s">
        <v>668</v>
      </c>
      <c r="C85" s="160" t="s">
        <v>506</v>
      </c>
      <c r="D85" s="161">
        <v>1</v>
      </c>
      <c r="E85" s="162">
        <v>15.86</v>
      </c>
      <c r="F85" s="163">
        <f t="shared" si="3"/>
        <v>15.86</v>
      </c>
      <c r="G85" s="261">
        <v>38069</v>
      </c>
      <c r="H85" s="164" t="s">
        <v>503</v>
      </c>
    </row>
    <row r="86" spans="1:8" x14ac:dyDescent="0.2">
      <c r="A86" s="158" t="s">
        <v>669</v>
      </c>
      <c r="B86" s="159" t="s">
        <v>670</v>
      </c>
      <c r="C86" s="160" t="s">
        <v>506</v>
      </c>
      <c r="D86" s="161">
        <v>1</v>
      </c>
      <c r="E86" s="162">
        <v>15.49</v>
      </c>
      <c r="F86" s="163">
        <f t="shared" si="3"/>
        <v>15.49</v>
      </c>
      <c r="G86" s="261">
        <v>38077</v>
      </c>
      <c r="H86" s="164" t="s">
        <v>503</v>
      </c>
    </row>
    <row r="87" spans="1:8" x14ac:dyDescent="0.2">
      <c r="A87" s="158" t="s">
        <v>671</v>
      </c>
      <c r="B87" s="161" t="s">
        <v>672</v>
      </c>
      <c r="C87" s="160" t="s">
        <v>506</v>
      </c>
      <c r="D87" s="161">
        <v>1</v>
      </c>
      <c r="E87" s="162">
        <v>14.67</v>
      </c>
      <c r="F87" s="163">
        <f t="shared" si="3"/>
        <v>14.67</v>
      </c>
      <c r="G87" s="261">
        <v>38068</v>
      </c>
      <c r="H87" s="164" t="s">
        <v>503</v>
      </c>
    </row>
    <row r="88" spans="1:8" x14ac:dyDescent="0.2">
      <c r="A88" s="158" t="s">
        <v>673</v>
      </c>
      <c r="B88" s="161" t="s">
        <v>674</v>
      </c>
      <c r="C88" s="160" t="s">
        <v>506</v>
      </c>
      <c r="D88" s="161">
        <v>1</v>
      </c>
      <c r="E88" s="162">
        <v>17.54</v>
      </c>
      <c r="F88" s="163">
        <f t="shared" si="3"/>
        <v>17.54</v>
      </c>
      <c r="G88" s="261">
        <v>38071</v>
      </c>
      <c r="H88" s="164" t="s">
        <v>503</v>
      </c>
    </row>
    <row r="89" spans="1:8" x14ac:dyDescent="0.2">
      <c r="A89" s="158" t="s">
        <v>675</v>
      </c>
      <c r="B89" s="161" t="s">
        <v>676</v>
      </c>
      <c r="C89" s="160" t="s">
        <v>506</v>
      </c>
      <c r="D89" s="161">
        <v>1</v>
      </c>
      <c r="E89" s="162">
        <v>16.940000000000001</v>
      </c>
      <c r="F89" s="163">
        <f t="shared" si="3"/>
        <v>16.940000000000001</v>
      </c>
      <c r="G89" s="261">
        <v>38070</v>
      </c>
      <c r="H89" s="164" t="s">
        <v>503</v>
      </c>
    </row>
    <row r="90" spans="1:8" x14ac:dyDescent="0.2">
      <c r="A90" s="158" t="s">
        <v>677</v>
      </c>
      <c r="B90" s="161" t="s">
        <v>678</v>
      </c>
      <c r="C90" s="160" t="s">
        <v>506</v>
      </c>
      <c r="D90" s="161">
        <v>1</v>
      </c>
      <c r="E90" s="162">
        <v>25.77</v>
      </c>
      <c r="F90" s="163">
        <f t="shared" si="3"/>
        <v>25.77</v>
      </c>
      <c r="G90" s="261">
        <v>38074</v>
      </c>
      <c r="H90" s="164" t="s">
        <v>503</v>
      </c>
    </row>
    <row r="91" spans="1:8" x14ac:dyDescent="0.2">
      <c r="A91" s="158" t="s">
        <v>679</v>
      </c>
      <c r="B91" s="161" t="s">
        <v>680</v>
      </c>
      <c r="C91" s="160" t="s">
        <v>506</v>
      </c>
      <c r="D91" s="161">
        <v>1</v>
      </c>
      <c r="E91" s="162">
        <v>22.12</v>
      </c>
      <c r="F91" s="163">
        <f t="shared" si="3"/>
        <v>22.12</v>
      </c>
      <c r="G91" s="261">
        <v>38079</v>
      </c>
      <c r="H91" s="164" t="s">
        <v>503</v>
      </c>
    </row>
    <row r="92" spans="1:8" x14ac:dyDescent="0.2">
      <c r="A92" s="158" t="s">
        <v>681</v>
      </c>
      <c r="B92" s="161" t="s">
        <v>682</v>
      </c>
      <c r="C92" s="160" t="s">
        <v>506</v>
      </c>
      <c r="D92" s="161">
        <v>1</v>
      </c>
      <c r="E92" s="162">
        <v>7.15</v>
      </c>
      <c r="F92" s="163">
        <f t="shared" si="3"/>
        <v>7.15</v>
      </c>
      <c r="G92" s="261">
        <v>38062</v>
      </c>
      <c r="H92" s="164" t="s">
        <v>503</v>
      </c>
    </row>
    <row r="93" spans="1:8" x14ac:dyDescent="0.2">
      <c r="A93" s="158" t="s">
        <v>683</v>
      </c>
      <c r="B93" s="159" t="s">
        <v>684</v>
      </c>
      <c r="C93" s="160" t="s">
        <v>506</v>
      </c>
      <c r="D93" s="161">
        <v>1</v>
      </c>
      <c r="E93" s="162">
        <v>122.24</v>
      </c>
      <c r="F93" s="163">
        <f t="shared" si="3"/>
        <v>122.24</v>
      </c>
      <c r="G93" s="160">
        <v>1623</v>
      </c>
      <c r="H93" s="164" t="s">
        <v>503</v>
      </c>
    </row>
    <row r="94" spans="1:8" x14ac:dyDescent="0.2">
      <c r="A94" s="158" t="s">
        <v>685</v>
      </c>
      <c r="B94" s="159" t="s">
        <v>686</v>
      </c>
      <c r="C94" s="160" t="s">
        <v>506</v>
      </c>
      <c r="D94" s="161">
        <v>1</v>
      </c>
      <c r="E94" s="162">
        <v>149.88999999999999</v>
      </c>
      <c r="F94" s="163">
        <f t="shared" si="3"/>
        <v>149.88999999999999</v>
      </c>
      <c r="G94" s="160">
        <v>1625</v>
      </c>
      <c r="H94" s="164" t="s">
        <v>503</v>
      </c>
    </row>
    <row r="95" spans="1:8" x14ac:dyDescent="0.2">
      <c r="A95" s="158" t="s">
        <v>687</v>
      </c>
      <c r="B95" s="159" t="s">
        <v>688</v>
      </c>
      <c r="C95" s="160" t="s">
        <v>506</v>
      </c>
      <c r="D95" s="161">
        <v>1</v>
      </c>
      <c r="E95" s="162">
        <v>168.15</v>
      </c>
      <c r="F95" s="163">
        <f t="shared" si="3"/>
        <v>168.15</v>
      </c>
      <c r="G95" s="160">
        <v>1619</v>
      </c>
      <c r="H95" s="164" t="s">
        <v>503</v>
      </c>
    </row>
    <row r="96" spans="1:8" x14ac:dyDescent="0.2">
      <c r="A96" s="158" t="s">
        <v>689</v>
      </c>
      <c r="B96" s="159" t="s">
        <v>690</v>
      </c>
      <c r="C96" s="160" t="s">
        <v>506</v>
      </c>
      <c r="D96" s="161">
        <v>1</v>
      </c>
      <c r="E96" s="162">
        <v>260.25</v>
      </c>
      <c r="F96" s="163">
        <f t="shared" si="3"/>
        <v>260.25</v>
      </c>
      <c r="G96" s="160">
        <v>1614</v>
      </c>
      <c r="H96" s="164" t="s">
        <v>503</v>
      </c>
    </row>
    <row r="97" spans="1:8" x14ac:dyDescent="0.2">
      <c r="A97" s="158" t="s">
        <v>691</v>
      </c>
      <c r="B97" s="159" t="s">
        <v>692</v>
      </c>
      <c r="C97" s="160" t="s">
        <v>506</v>
      </c>
      <c r="D97" s="161">
        <v>1</v>
      </c>
      <c r="E97" s="162">
        <v>465.45</v>
      </c>
      <c r="F97" s="163">
        <f t="shared" si="3"/>
        <v>465.45</v>
      </c>
      <c r="G97" s="160">
        <v>1621</v>
      </c>
      <c r="H97" s="164" t="s">
        <v>503</v>
      </c>
    </row>
    <row r="98" spans="1:8" x14ac:dyDescent="0.2">
      <c r="A98" s="158" t="s">
        <v>693</v>
      </c>
      <c r="B98" s="159" t="s">
        <v>694</v>
      </c>
      <c r="C98" s="160" t="s">
        <v>506</v>
      </c>
      <c r="D98" s="161">
        <v>1</v>
      </c>
      <c r="E98" s="162">
        <v>874.04</v>
      </c>
      <c r="F98" s="163">
        <f t="shared" si="3"/>
        <v>874.04</v>
      </c>
      <c r="G98" s="160">
        <v>1615</v>
      </c>
      <c r="H98" s="164" t="s">
        <v>503</v>
      </c>
    </row>
    <row r="99" spans="1:8" x14ac:dyDescent="0.2">
      <c r="A99" s="158" t="s">
        <v>695</v>
      </c>
      <c r="B99" s="159" t="s">
        <v>696</v>
      </c>
      <c r="C99" s="160" t="s">
        <v>506</v>
      </c>
      <c r="D99" s="161">
        <v>1</v>
      </c>
      <c r="E99" s="162">
        <v>115.12</v>
      </c>
      <c r="F99" s="163">
        <f t="shared" si="3"/>
        <v>115.12</v>
      </c>
      <c r="G99" s="160">
        <v>1612</v>
      </c>
      <c r="H99" s="164" t="s">
        <v>503</v>
      </c>
    </row>
    <row r="100" spans="1:8" x14ac:dyDescent="0.2">
      <c r="A100" s="158" t="s">
        <v>697</v>
      </c>
      <c r="B100" s="159" t="s">
        <v>698</v>
      </c>
      <c r="C100" s="160" t="s">
        <v>506</v>
      </c>
      <c r="D100" s="161">
        <v>4</v>
      </c>
      <c r="E100" s="162">
        <v>13.39</v>
      </c>
      <c r="F100" s="163">
        <f t="shared" si="3"/>
        <v>53.56</v>
      </c>
      <c r="G100" s="160">
        <v>34686</v>
      </c>
      <c r="H100" s="164" t="s">
        <v>503</v>
      </c>
    </row>
    <row r="101" spans="1:8" x14ac:dyDescent="0.2">
      <c r="A101" s="158" t="s">
        <v>699</v>
      </c>
      <c r="B101" s="159" t="s">
        <v>700</v>
      </c>
      <c r="C101" s="160" t="s">
        <v>506</v>
      </c>
      <c r="D101" s="161">
        <v>2</v>
      </c>
      <c r="E101" s="162">
        <v>50.99</v>
      </c>
      <c r="F101" s="163">
        <f t="shared" si="3"/>
        <v>101.98</v>
      </c>
      <c r="G101" s="160">
        <v>34623</v>
      </c>
      <c r="H101" s="164" t="s">
        <v>503</v>
      </c>
    </row>
    <row r="102" spans="1:8" x14ac:dyDescent="0.2">
      <c r="A102" s="158" t="s">
        <v>701</v>
      </c>
      <c r="B102" s="159" t="s">
        <v>702</v>
      </c>
      <c r="C102" s="160" t="s">
        <v>506</v>
      </c>
      <c r="D102" s="161">
        <v>2</v>
      </c>
      <c r="E102" s="162">
        <v>73.03</v>
      </c>
      <c r="F102" s="163">
        <f t="shared" si="3"/>
        <v>146.06</v>
      </c>
      <c r="G102" s="160">
        <v>34628</v>
      </c>
      <c r="H102" s="164" t="s">
        <v>503</v>
      </c>
    </row>
    <row r="103" spans="1:8" x14ac:dyDescent="0.2">
      <c r="A103" s="158" t="s">
        <v>703</v>
      </c>
      <c r="B103" s="159" t="s">
        <v>704</v>
      </c>
      <c r="C103" s="160" t="s">
        <v>506</v>
      </c>
      <c r="D103" s="161">
        <v>2</v>
      </c>
      <c r="E103" s="162">
        <v>51.78</v>
      </c>
      <c r="F103" s="163">
        <f t="shared" si="3"/>
        <v>103.56</v>
      </c>
      <c r="G103" s="160">
        <v>34616</v>
      </c>
      <c r="H103" s="164" t="s">
        <v>503</v>
      </c>
    </row>
    <row r="104" spans="1:8" x14ac:dyDescent="0.2">
      <c r="A104" s="158" t="s">
        <v>705</v>
      </c>
      <c r="B104" s="159" t="s">
        <v>706</v>
      </c>
      <c r="C104" s="160" t="s">
        <v>506</v>
      </c>
      <c r="D104" s="161">
        <v>5</v>
      </c>
      <c r="E104" s="162">
        <v>9.0299999999999994</v>
      </c>
      <c r="F104" s="163">
        <f t="shared" si="3"/>
        <v>45.15</v>
      </c>
      <c r="G104" s="160">
        <v>34653</v>
      </c>
      <c r="H104" s="164" t="s">
        <v>503</v>
      </c>
    </row>
    <row r="105" spans="1:8" x14ac:dyDescent="0.2">
      <c r="A105" s="158" t="s">
        <v>707</v>
      </c>
      <c r="B105" s="159" t="s">
        <v>708</v>
      </c>
      <c r="C105" s="160" t="s">
        <v>506</v>
      </c>
      <c r="D105" s="161">
        <v>1</v>
      </c>
      <c r="E105" s="162">
        <v>16.37</v>
      </c>
      <c r="F105" s="163">
        <f t="shared" si="3"/>
        <v>16.37</v>
      </c>
      <c r="G105" s="160">
        <v>34688</v>
      </c>
      <c r="H105" s="164" t="s">
        <v>503</v>
      </c>
    </row>
    <row r="106" spans="1:8" x14ac:dyDescent="0.2">
      <c r="A106" s="158" t="s">
        <v>709</v>
      </c>
      <c r="B106" s="159" t="s">
        <v>710</v>
      </c>
      <c r="C106" s="160" t="s">
        <v>506</v>
      </c>
      <c r="D106" s="161">
        <v>1</v>
      </c>
      <c r="E106" s="162">
        <v>63.44</v>
      </c>
      <c r="F106" s="163">
        <f t="shared" si="3"/>
        <v>63.44</v>
      </c>
      <c r="G106" s="160">
        <v>34709</v>
      </c>
      <c r="H106" s="164" t="s">
        <v>503</v>
      </c>
    </row>
    <row r="107" spans="1:8" x14ac:dyDescent="0.2">
      <c r="A107" s="158" t="s">
        <v>711</v>
      </c>
      <c r="B107" s="159" t="s">
        <v>712</v>
      </c>
      <c r="C107" s="160" t="s">
        <v>506</v>
      </c>
      <c r="D107" s="161">
        <v>1</v>
      </c>
      <c r="E107" s="162">
        <v>75.77</v>
      </c>
      <c r="F107" s="163">
        <f t="shared" si="3"/>
        <v>75.77</v>
      </c>
      <c r="G107" s="160">
        <v>34714</v>
      </c>
      <c r="H107" s="164" t="s">
        <v>503</v>
      </c>
    </row>
    <row r="108" spans="1:8" x14ac:dyDescent="0.2">
      <c r="A108" s="158" t="s">
        <v>713</v>
      </c>
      <c r="B108" s="159" t="s">
        <v>714</v>
      </c>
      <c r="C108" s="160" t="s">
        <v>506</v>
      </c>
      <c r="D108" s="161">
        <v>1</v>
      </c>
      <c r="E108" s="162">
        <v>141.57</v>
      </c>
      <c r="F108" s="163">
        <f t="shared" si="3"/>
        <v>141.57</v>
      </c>
      <c r="G108" s="160">
        <v>39446</v>
      </c>
      <c r="H108" s="164" t="s">
        <v>503</v>
      </c>
    </row>
    <row r="109" spans="1:8" x14ac:dyDescent="0.2">
      <c r="A109" s="158" t="s">
        <v>715</v>
      </c>
      <c r="B109" s="159" t="s">
        <v>716</v>
      </c>
      <c r="C109" s="160" t="s">
        <v>506</v>
      </c>
      <c r="D109" s="161">
        <v>1</v>
      </c>
      <c r="E109" s="162">
        <v>158.6</v>
      </c>
      <c r="F109" s="163">
        <f t="shared" si="3"/>
        <v>158.6</v>
      </c>
      <c r="G109" s="160">
        <v>39456</v>
      </c>
      <c r="H109" s="164" t="s">
        <v>503</v>
      </c>
    </row>
    <row r="110" spans="1:8" x14ac:dyDescent="0.2">
      <c r="A110" s="158" t="s">
        <v>717</v>
      </c>
      <c r="B110" s="159" t="s">
        <v>718</v>
      </c>
      <c r="C110" s="160" t="s">
        <v>506</v>
      </c>
      <c r="D110" s="161">
        <v>20</v>
      </c>
      <c r="E110" s="162">
        <v>9.43</v>
      </c>
      <c r="F110" s="163">
        <f t="shared" si="3"/>
        <v>188.6</v>
      </c>
      <c r="G110" s="160">
        <v>38194</v>
      </c>
      <c r="H110" s="164" t="s">
        <v>503</v>
      </c>
    </row>
    <row r="111" spans="1:8" x14ac:dyDescent="0.2">
      <c r="A111" s="158" t="s">
        <v>719</v>
      </c>
      <c r="B111" s="159" t="s">
        <v>720</v>
      </c>
      <c r="C111" s="160" t="s">
        <v>506</v>
      </c>
      <c r="D111" s="161">
        <v>20</v>
      </c>
      <c r="E111" s="162">
        <v>11.6</v>
      </c>
      <c r="F111" s="163">
        <f t="shared" si="3"/>
        <v>232</v>
      </c>
      <c r="G111" s="160">
        <v>39388</v>
      </c>
      <c r="H111" s="164" t="s">
        <v>503</v>
      </c>
    </row>
    <row r="112" spans="1:8" x14ac:dyDescent="0.2">
      <c r="A112" s="158" t="s">
        <v>721</v>
      </c>
      <c r="B112" s="161" t="s">
        <v>722</v>
      </c>
      <c r="C112" s="160" t="s">
        <v>506</v>
      </c>
      <c r="D112" s="161">
        <v>1</v>
      </c>
      <c r="E112" s="162">
        <v>18.04</v>
      </c>
      <c r="F112" s="163">
        <f t="shared" si="3"/>
        <v>18.04</v>
      </c>
      <c r="G112" s="161">
        <v>38114</v>
      </c>
      <c r="H112" s="164" t="s">
        <v>503</v>
      </c>
    </row>
    <row r="113" spans="1:8" x14ac:dyDescent="0.2">
      <c r="A113" s="158" t="s">
        <v>723</v>
      </c>
      <c r="B113" s="161" t="s">
        <v>724</v>
      </c>
      <c r="C113" s="160" t="s">
        <v>506</v>
      </c>
      <c r="D113" s="161">
        <v>1</v>
      </c>
      <c r="E113" s="162">
        <v>19.260000000000002</v>
      </c>
      <c r="F113" s="163">
        <f t="shared" si="3"/>
        <v>19.260000000000002</v>
      </c>
      <c r="G113" s="161">
        <v>38115</v>
      </c>
      <c r="H113" s="164" t="s">
        <v>503</v>
      </c>
    </row>
    <row r="114" spans="1:8" x14ac:dyDescent="0.2">
      <c r="A114" s="158" t="s">
        <v>725</v>
      </c>
      <c r="B114" s="161" t="s">
        <v>726</v>
      </c>
      <c r="C114" s="160" t="s">
        <v>506</v>
      </c>
      <c r="D114" s="161">
        <v>1</v>
      </c>
      <c r="E114" s="162">
        <v>9.07</v>
      </c>
      <c r="F114" s="163">
        <f t="shared" si="3"/>
        <v>9.07</v>
      </c>
      <c r="G114" s="161">
        <v>38113</v>
      </c>
      <c r="H114" s="164" t="s">
        <v>503</v>
      </c>
    </row>
    <row r="115" spans="1:8" x14ac:dyDescent="0.2">
      <c r="A115" s="158" t="s">
        <v>727</v>
      </c>
      <c r="B115" s="161" t="s">
        <v>728</v>
      </c>
      <c r="C115" s="160" t="s">
        <v>506</v>
      </c>
      <c r="D115" s="161">
        <v>1</v>
      </c>
      <c r="E115" s="162">
        <v>6.96</v>
      </c>
      <c r="F115" s="163">
        <f t="shared" si="3"/>
        <v>6.96</v>
      </c>
      <c r="G115" s="161">
        <v>38112</v>
      </c>
      <c r="H115" s="164" t="s">
        <v>503</v>
      </c>
    </row>
    <row r="116" spans="1:8" x14ac:dyDescent="0.2">
      <c r="A116" s="158" t="s">
        <v>729</v>
      </c>
      <c r="B116" s="161" t="s">
        <v>730</v>
      </c>
      <c r="C116" s="160" t="s">
        <v>506</v>
      </c>
      <c r="D116" s="161">
        <v>1</v>
      </c>
      <c r="E116" s="162">
        <v>11.09</v>
      </c>
      <c r="F116" s="163">
        <f t="shared" si="3"/>
        <v>11.09</v>
      </c>
      <c r="G116" s="161">
        <v>38105</v>
      </c>
      <c r="H116" s="164" t="s">
        <v>503</v>
      </c>
    </row>
    <row r="117" spans="1:8" x14ac:dyDescent="0.2">
      <c r="A117" s="158" t="s">
        <v>731</v>
      </c>
      <c r="B117" s="161" t="s">
        <v>732</v>
      </c>
      <c r="C117" s="160" t="s">
        <v>506</v>
      </c>
      <c r="D117" s="161">
        <v>1</v>
      </c>
      <c r="E117" s="162">
        <v>16.66</v>
      </c>
      <c r="F117" s="163">
        <f t="shared" si="3"/>
        <v>16.66</v>
      </c>
      <c r="G117" s="161">
        <v>38103</v>
      </c>
      <c r="H117" s="164" t="s">
        <v>503</v>
      </c>
    </row>
    <row r="118" spans="1:8" x14ac:dyDescent="0.2">
      <c r="A118" s="158" t="s">
        <v>733</v>
      </c>
      <c r="B118" s="161" t="s">
        <v>734</v>
      </c>
      <c r="C118" s="160" t="s">
        <v>506</v>
      </c>
      <c r="D118" s="161">
        <v>1</v>
      </c>
      <c r="E118" s="162">
        <v>32.619999999999997</v>
      </c>
      <c r="F118" s="163">
        <f t="shared" si="3"/>
        <v>32.619999999999997</v>
      </c>
      <c r="G118" s="161">
        <v>38104</v>
      </c>
      <c r="H118" s="164" t="s">
        <v>503</v>
      </c>
    </row>
    <row r="119" spans="1:8" x14ac:dyDescent="0.2">
      <c r="A119" s="158" t="s">
        <v>735</v>
      </c>
      <c r="B119" s="161" t="s">
        <v>736</v>
      </c>
      <c r="C119" s="160" t="s">
        <v>506</v>
      </c>
      <c r="D119" s="161">
        <v>1</v>
      </c>
      <c r="E119" s="162">
        <v>7.92</v>
      </c>
      <c r="F119" s="163">
        <f t="shared" si="3"/>
        <v>7.92</v>
      </c>
      <c r="G119" s="161">
        <v>38101</v>
      </c>
      <c r="H119" s="164" t="s">
        <v>503</v>
      </c>
    </row>
    <row r="120" spans="1:8" x14ac:dyDescent="0.2">
      <c r="A120" s="158" t="s">
        <v>737</v>
      </c>
      <c r="B120" s="161" t="s">
        <v>738</v>
      </c>
      <c r="C120" s="160" t="s">
        <v>506</v>
      </c>
      <c r="D120" s="161">
        <v>1</v>
      </c>
      <c r="E120" s="162">
        <v>10.130000000000001</v>
      </c>
      <c r="F120" s="163">
        <f t="shared" ref="F120:F132" si="4">D120*E120</f>
        <v>10.130000000000001</v>
      </c>
      <c r="G120" s="161">
        <v>38102</v>
      </c>
      <c r="H120" s="164" t="s">
        <v>503</v>
      </c>
    </row>
    <row r="121" spans="1:8" x14ac:dyDescent="0.2">
      <c r="A121" s="158" t="s">
        <v>739</v>
      </c>
      <c r="B121" s="159" t="s">
        <v>740</v>
      </c>
      <c r="C121" s="160" t="s">
        <v>506</v>
      </c>
      <c r="D121" s="161">
        <v>1</v>
      </c>
      <c r="E121" s="162">
        <v>53.25</v>
      </c>
      <c r="F121" s="163">
        <f t="shared" si="4"/>
        <v>53.25</v>
      </c>
      <c r="G121" s="160">
        <v>2510</v>
      </c>
      <c r="H121" s="164" t="s">
        <v>503</v>
      </c>
    </row>
    <row r="122" spans="1:8" x14ac:dyDescent="0.2">
      <c r="A122" s="158" t="s">
        <v>741</v>
      </c>
      <c r="B122" s="159" t="s">
        <v>742</v>
      </c>
      <c r="C122" s="160" t="s">
        <v>506</v>
      </c>
      <c r="D122" s="161">
        <v>1</v>
      </c>
      <c r="E122" s="162">
        <v>51.62</v>
      </c>
      <c r="F122" s="163">
        <f t="shared" si="4"/>
        <v>51.62</v>
      </c>
      <c r="G122" s="160">
        <v>38061</v>
      </c>
      <c r="H122" s="164" t="s">
        <v>503</v>
      </c>
    </row>
    <row r="123" spans="1:8" x14ac:dyDescent="0.2">
      <c r="A123" s="158" t="s">
        <v>743</v>
      </c>
      <c r="B123" s="159" t="s">
        <v>744</v>
      </c>
      <c r="C123" s="160" t="s">
        <v>506</v>
      </c>
      <c r="D123" s="161">
        <v>10</v>
      </c>
      <c r="E123" s="162">
        <v>4.82</v>
      </c>
      <c r="F123" s="163">
        <f t="shared" si="4"/>
        <v>48.2</v>
      </c>
      <c r="G123" s="160">
        <v>12295</v>
      </c>
      <c r="H123" s="164" t="s">
        <v>503</v>
      </c>
    </row>
    <row r="124" spans="1:8" x14ac:dyDescent="0.2">
      <c r="A124" s="158" t="s">
        <v>745</v>
      </c>
      <c r="B124" s="159" t="s">
        <v>746</v>
      </c>
      <c r="C124" s="160" t="s">
        <v>506</v>
      </c>
      <c r="D124" s="161">
        <v>10</v>
      </c>
      <c r="E124" s="162">
        <v>6.23</v>
      </c>
      <c r="F124" s="163">
        <f t="shared" si="4"/>
        <v>62.300000000000004</v>
      </c>
      <c r="G124" s="160">
        <v>12296</v>
      </c>
      <c r="H124" s="164" t="s">
        <v>503</v>
      </c>
    </row>
    <row r="125" spans="1:8" x14ac:dyDescent="0.2">
      <c r="A125" s="158" t="s">
        <v>747</v>
      </c>
      <c r="B125" s="159" t="s">
        <v>748</v>
      </c>
      <c r="C125" s="160" t="s">
        <v>506</v>
      </c>
      <c r="D125" s="161">
        <v>20</v>
      </c>
      <c r="E125" s="162">
        <v>1.8</v>
      </c>
      <c r="F125" s="163">
        <f t="shared" si="4"/>
        <v>36</v>
      </c>
      <c r="G125" s="160">
        <v>1574</v>
      </c>
      <c r="H125" s="164" t="s">
        <v>503</v>
      </c>
    </row>
    <row r="126" spans="1:8" x14ac:dyDescent="0.2">
      <c r="A126" s="158" t="s">
        <v>749</v>
      </c>
      <c r="B126" s="159" t="s">
        <v>750</v>
      </c>
      <c r="C126" s="160" t="s">
        <v>506</v>
      </c>
      <c r="D126" s="161">
        <v>20</v>
      </c>
      <c r="E126" s="162">
        <v>1.07</v>
      </c>
      <c r="F126" s="163">
        <f t="shared" si="4"/>
        <v>21.400000000000002</v>
      </c>
      <c r="G126" s="160">
        <v>1570</v>
      </c>
      <c r="H126" s="164" t="s">
        <v>503</v>
      </c>
    </row>
    <row r="127" spans="1:8" x14ac:dyDescent="0.2">
      <c r="A127" s="158" t="s">
        <v>751</v>
      </c>
      <c r="B127" s="159" t="s">
        <v>752</v>
      </c>
      <c r="C127" s="160" t="s">
        <v>506</v>
      </c>
      <c r="D127" s="161">
        <v>20</v>
      </c>
      <c r="E127" s="162">
        <v>1.4</v>
      </c>
      <c r="F127" s="163">
        <f t="shared" si="4"/>
        <v>28</v>
      </c>
      <c r="G127" s="160">
        <v>1571</v>
      </c>
      <c r="H127" s="164" t="s">
        <v>503</v>
      </c>
    </row>
    <row r="128" spans="1:8" x14ac:dyDescent="0.2">
      <c r="A128" s="158" t="s">
        <v>753</v>
      </c>
      <c r="B128" s="159" t="s">
        <v>754</v>
      </c>
      <c r="C128" s="160" t="s">
        <v>506</v>
      </c>
      <c r="D128" s="161">
        <v>10</v>
      </c>
      <c r="E128" s="162">
        <v>1.67</v>
      </c>
      <c r="F128" s="163">
        <f t="shared" si="4"/>
        <v>16.7</v>
      </c>
      <c r="G128" s="160">
        <v>1573</v>
      </c>
      <c r="H128" s="164" t="s">
        <v>503</v>
      </c>
    </row>
    <row r="129" spans="1:8" x14ac:dyDescent="0.2">
      <c r="A129" s="158" t="s">
        <v>755</v>
      </c>
      <c r="B129" s="159" t="s">
        <v>756</v>
      </c>
      <c r="C129" s="160" t="s">
        <v>506</v>
      </c>
      <c r="D129" s="161">
        <v>2</v>
      </c>
      <c r="E129" s="162">
        <v>29.93</v>
      </c>
      <c r="F129" s="163">
        <f t="shared" si="4"/>
        <v>59.86</v>
      </c>
      <c r="G129" s="160">
        <v>1543</v>
      </c>
      <c r="H129" s="164" t="s">
        <v>503</v>
      </c>
    </row>
    <row r="130" spans="1:8" x14ac:dyDescent="0.2">
      <c r="A130" s="158" t="s">
        <v>757</v>
      </c>
      <c r="B130" s="159" t="s">
        <v>758</v>
      </c>
      <c r="C130" s="160" t="s">
        <v>506</v>
      </c>
      <c r="D130" s="161">
        <v>2</v>
      </c>
      <c r="E130" s="162">
        <v>5.9</v>
      </c>
      <c r="F130" s="163">
        <f t="shared" si="4"/>
        <v>11.8</v>
      </c>
      <c r="G130" s="160">
        <v>1535</v>
      </c>
      <c r="H130" s="164" t="s">
        <v>503</v>
      </c>
    </row>
    <row r="131" spans="1:8" x14ac:dyDescent="0.2">
      <c r="A131" s="158" t="s">
        <v>759</v>
      </c>
      <c r="B131" s="161" t="s">
        <v>760</v>
      </c>
      <c r="C131" s="160" t="s">
        <v>506</v>
      </c>
      <c r="D131" s="161">
        <v>1</v>
      </c>
      <c r="E131" s="162">
        <v>7.23</v>
      </c>
      <c r="F131" s="163">
        <f t="shared" si="4"/>
        <v>7.23</v>
      </c>
      <c r="G131" s="161">
        <v>1579</v>
      </c>
      <c r="H131" s="164" t="s">
        <v>503</v>
      </c>
    </row>
    <row r="132" spans="1:8" x14ac:dyDescent="0.2">
      <c r="A132" s="158" t="s">
        <v>761</v>
      </c>
      <c r="B132" s="161" t="s">
        <v>762</v>
      </c>
      <c r="C132" s="160" t="s">
        <v>506</v>
      </c>
      <c r="D132" s="161">
        <v>1</v>
      </c>
      <c r="E132" s="162">
        <v>12.52</v>
      </c>
      <c r="F132" s="163">
        <f t="shared" si="4"/>
        <v>12.52</v>
      </c>
      <c r="G132" s="161">
        <v>1581</v>
      </c>
      <c r="H132" s="164" t="s">
        <v>503</v>
      </c>
    </row>
    <row r="133" spans="1:8" x14ac:dyDescent="0.2">
      <c r="A133" s="158" t="s">
        <v>763</v>
      </c>
      <c r="B133" s="161" t="s">
        <v>764</v>
      </c>
      <c r="C133" s="160" t="s">
        <v>506</v>
      </c>
      <c r="D133" s="161">
        <v>10</v>
      </c>
      <c r="E133" s="162">
        <v>2.14</v>
      </c>
      <c r="F133" s="163">
        <f>D133*E133</f>
        <v>21.400000000000002</v>
      </c>
      <c r="G133" s="161">
        <v>1575</v>
      </c>
      <c r="H133" s="164" t="s">
        <v>503</v>
      </c>
    </row>
    <row r="134" spans="1:8" x14ac:dyDescent="0.2">
      <c r="A134" s="158" t="s">
        <v>765</v>
      </c>
      <c r="B134" s="161" t="s">
        <v>766</v>
      </c>
      <c r="C134" s="160" t="s">
        <v>506</v>
      </c>
      <c r="D134" s="161">
        <v>5</v>
      </c>
      <c r="E134" s="162">
        <v>10.590000000000002</v>
      </c>
      <c r="F134" s="163">
        <f t="shared" ref="F134:F138" si="5">D134*E134</f>
        <v>52.95000000000001</v>
      </c>
      <c r="G134" s="160" t="s">
        <v>24</v>
      </c>
      <c r="H134" s="164" t="s">
        <v>589</v>
      </c>
    </row>
    <row r="135" spans="1:8" x14ac:dyDescent="0.2">
      <c r="A135" s="158" t="s">
        <v>767</v>
      </c>
      <c r="B135" s="161" t="s">
        <v>768</v>
      </c>
      <c r="C135" s="160" t="s">
        <v>506</v>
      </c>
      <c r="D135" s="161">
        <v>2</v>
      </c>
      <c r="E135" s="162">
        <v>71.936666666666667</v>
      </c>
      <c r="F135" s="163">
        <f t="shared" si="5"/>
        <v>143.87333333333333</v>
      </c>
      <c r="G135" s="160" t="s">
        <v>24</v>
      </c>
      <c r="H135" s="164" t="s">
        <v>589</v>
      </c>
    </row>
    <row r="136" spans="1:8" x14ac:dyDescent="0.2">
      <c r="A136" s="158" t="s">
        <v>769</v>
      </c>
      <c r="B136" s="161" t="s">
        <v>770</v>
      </c>
      <c r="C136" s="160" t="s">
        <v>506</v>
      </c>
      <c r="D136" s="161">
        <v>4</v>
      </c>
      <c r="E136" s="162">
        <v>9.2366666666666664</v>
      </c>
      <c r="F136" s="163">
        <f t="shared" si="5"/>
        <v>36.946666666666665</v>
      </c>
      <c r="G136" s="160" t="s">
        <v>24</v>
      </c>
      <c r="H136" s="164" t="s">
        <v>589</v>
      </c>
    </row>
    <row r="137" spans="1:8" x14ac:dyDescent="0.2">
      <c r="A137" s="158" t="s">
        <v>771</v>
      </c>
      <c r="B137" s="161" t="s">
        <v>772</v>
      </c>
      <c r="C137" s="160" t="s">
        <v>506</v>
      </c>
      <c r="D137" s="161">
        <v>20</v>
      </c>
      <c r="E137" s="162">
        <v>11.57</v>
      </c>
      <c r="F137" s="163">
        <f t="shared" si="5"/>
        <v>231.4</v>
      </c>
      <c r="G137" s="160" t="s">
        <v>24</v>
      </c>
      <c r="H137" s="164" t="s">
        <v>589</v>
      </c>
    </row>
    <row r="138" spans="1:8" x14ac:dyDescent="0.2">
      <c r="A138" s="158" t="s">
        <v>773</v>
      </c>
      <c r="B138" s="161" t="s">
        <v>774</v>
      </c>
      <c r="C138" s="160" t="s">
        <v>506</v>
      </c>
      <c r="D138" s="161">
        <v>1</v>
      </c>
      <c r="E138" s="162">
        <v>163.41333333333333</v>
      </c>
      <c r="F138" s="163">
        <f t="shared" si="5"/>
        <v>163.41333333333333</v>
      </c>
      <c r="G138" s="160" t="s">
        <v>24</v>
      </c>
      <c r="H138" s="164" t="s">
        <v>589</v>
      </c>
    </row>
    <row r="139" spans="1:8" x14ac:dyDescent="0.2">
      <c r="A139" s="158" t="s">
        <v>775</v>
      </c>
      <c r="B139" s="161" t="s">
        <v>776</v>
      </c>
      <c r="C139" s="160" t="s">
        <v>506</v>
      </c>
      <c r="D139" s="161">
        <v>1</v>
      </c>
      <c r="E139" s="162">
        <v>12.413333333333332</v>
      </c>
      <c r="F139" s="163">
        <f>D139*E139</f>
        <v>12.413333333333332</v>
      </c>
      <c r="G139" s="160" t="s">
        <v>24</v>
      </c>
      <c r="H139" s="164" t="s">
        <v>589</v>
      </c>
    </row>
    <row r="140" spans="1:8" x14ac:dyDescent="0.2">
      <c r="A140" s="158" t="s">
        <v>777</v>
      </c>
      <c r="B140" s="161" t="s">
        <v>778</v>
      </c>
      <c r="C140" s="160" t="s">
        <v>506</v>
      </c>
      <c r="D140" s="161">
        <v>5</v>
      </c>
      <c r="E140" s="162">
        <v>45.47</v>
      </c>
      <c r="F140" s="163">
        <f>D140*E140</f>
        <v>227.35</v>
      </c>
      <c r="G140" s="160" t="s">
        <v>24</v>
      </c>
      <c r="H140" s="164" t="s">
        <v>589</v>
      </c>
    </row>
    <row r="141" spans="1:8" ht="15.75" customHeight="1" x14ac:dyDescent="0.2">
      <c r="A141" s="367" t="s">
        <v>779</v>
      </c>
      <c r="B141" s="368"/>
      <c r="C141" s="368"/>
      <c r="D141" s="368"/>
      <c r="E141" s="368"/>
      <c r="F141" s="165">
        <f>SUM(F56:F140)</f>
        <v>7633.7266666666646</v>
      </c>
      <c r="G141" s="166"/>
      <c r="H141" s="167"/>
    </row>
    <row r="142" spans="1:8" x14ac:dyDescent="0.2">
      <c r="A142" s="154" t="s">
        <v>780</v>
      </c>
      <c r="B142" s="155" t="s">
        <v>781</v>
      </c>
      <c r="C142" s="168"/>
      <c r="D142" s="168"/>
      <c r="E142" s="169"/>
      <c r="F142" s="168"/>
      <c r="G142" s="168"/>
      <c r="H142" s="170"/>
    </row>
    <row r="143" spans="1:8" x14ac:dyDescent="0.2">
      <c r="A143" s="158" t="s">
        <v>782</v>
      </c>
      <c r="B143" s="159" t="s">
        <v>783</v>
      </c>
      <c r="C143" s="160" t="s">
        <v>506</v>
      </c>
      <c r="D143" s="161">
        <v>2</v>
      </c>
      <c r="E143" s="162">
        <v>1.71</v>
      </c>
      <c r="F143" s="163">
        <f t="shared" ref="F143:F193" si="6">D143*E143</f>
        <v>3.42</v>
      </c>
      <c r="G143" s="160">
        <v>1185</v>
      </c>
      <c r="H143" s="164" t="s">
        <v>503</v>
      </c>
    </row>
    <row r="144" spans="1:8" x14ac:dyDescent="0.2">
      <c r="A144" s="158" t="s">
        <v>784</v>
      </c>
      <c r="B144" s="161" t="s">
        <v>785</v>
      </c>
      <c r="C144" s="160" t="s">
        <v>506</v>
      </c>
      <c r="D144" s="161">
        <v>2</v>
      </c>
      <c r="E144" s="162">
        <v>6.11</v>
      </c>
      <c r="F144" s="163">
        <f t="shared" si="6"/>
        <v>12.22</v>
      </c>
      <c r="G144" s="161">
        <v>112</v>
      </c>
      <c r="H144" s="164" t="s">
        <v>503</v>
      </c>
    </row>
    <row r="145" spans="1:8" x14ac:dyDescent="0.2">
      <c r="A145" s="158" t="s">
        <v>786</v>
      </c>
      <c r="B145" s="161" t="s">
        <v>787</v>
      </c>
      <c r="C145" s="160" t="s">
        <v>506</v>
      </c>
      <c r="D145" s="161">
        <v>2</v>
      </c>
      <c r="E145" s="162">
        <v>16.600000000000001</v>
      </c>
      <c r="F145" s="163">
        <f t="shared" si="6"/>
        <v>33.200000000000003</v>
      </c>
      <c r="G145" s="161">
        <v>113</v>
      </c>
      <c r="H145" s="164" t="s">
        <v>503</v>
      </c>
    </row>
    <row r="146" spans="1:8" x14ac:dyDescent="0.2">
      <c r="A146" s="158" t="s">
        <v>788</v>
      </c>
      <c r="B146" s="161" t="s">
        <v>789</v>
      </c>
      <c r="C146" s="160" t="s">
        <v>506</v>
      </c>
      <c r="D146" s="161">
        <v>2</v>
      </c>
      <c r="E146" s="162">
        <v>24.14</v>
      </c>
      <c r="F146" s="163">
        <f t="shared" si="6"/>
        <v>48.28</v>
      </c>
      <c r="G146" s="161">
        <v>104</v>
      </c>
      <c r="H146" s="164" t="s">
        <v>503</v>
      </c>
    </row>
    <row r="147" spans="1:8" x14ac:dyDescent="0.2">
      <c r="A147" s="158" t="s">
        <v>790</v>
      </c>
      <c r="B147" s="159" t="s">
        <v>791</v>
      </c>
      <c r="C147" s="160" t="s">
        <v>506</v>
      </c>
      <c r="D147" s="161">
        <v>2</v>
      </c>
      <c r="E147" s="162">
        <v>1.22</v>
      </c>
      <c r="F147" s="163">
        <f t="shared" si="6"/>
        <v>2.44</v>
      </c>
      <c r="G147" s="160">
        <v>65</v>
      </c>
      <c r="H147" s="164" t="s">
        <v>503</v>
      </c>
    </row>
    <row r="148" spans="1:8" x14ac:dyDescent="0.2">
      <c r="A148" s="158" t="s">
        <v>792</v>
      </c>
      <c r="B148" s="159" t="s">
        <v>793</v>
      </c>
      <c r="C148" s="160" t="s">
        <v>506</v>
      </c>
      <c r="D148" s="161">
        <v>2</v>
      </c>
      <c r="E148" s="162">
        <v>2.52</v>
      </c>
      <c r="F148" s="163">
        <f t="shared" si="6"/>
        <v>5.04</v>
      </c>
      <c r="G148" s="160">
        <v>108</v>
      </c>
      <c r="H148" s="164" t="s">
        <v>503</v>
      </c>
    </row>
    <row r="149" spans="1:8" x14ac:dyDescent="0.2">
      <c r="A149" s="158" t="s">
        <v>794</v>
      </c>
      <c r="B149" s="159" t="s">
        <v>795</v>
      </c>
      <c r="C149" s="160" t="s">
        <v>506</v>
      </c>
      <c r="D149" s="161">
        <v>2</v>
      </c>
      <c r="E149" s="162">
        <v>9.74</v>
      </c>
      <c r="F149" s="163">
        <f t="shared" si="6"/>
        <v>19.48</v>
      </c>
      <c r="G149" s="160">
        <v>110</v>
      </c>
      <c r="H149" s="164" t="s">
        <v>503</v>
      </c>
    </row>
    <row r="150" spans="1:8" x14ac:dyDescent="0.2">
      <c r="A150" s="158" t="s">
        <v>796</v>
      </c>
      <c r="B150" s="159" t="s">
        <v>797</v>
      </c>
      <c r="C150" s="160" t="s">
        <v>506</v>
      </c>
      <c r="D150" s="161">
        <v>2</v>
      </c>
      <c r="E150" s="162">
        <v>4.8</v>
      </c>
      <c r="F150" s="163">
        <f t="shared" si="6"/>
        <v>9.6</v>
      </c>
      <c r="G150" s="160">
        <v>109</v>
      </c>
      <c r="H150" s="164" t="s">
        <v>503</v>
      </c>
    </row>
    <row r="151" spans="1:8" x14ac:dyDescent="0.2">
      <c r="A151" s="158" t="s">
        <v>798</v>
      </c>
      <c r="B151" s="159" t="s">
        <v>799</v>
      </c>
      <c r="C151" s="160" t="s">
        <v>506</v>
      </c>
      <c r="D151" s="161">
        <v>2</v>
      </c>
      <c r="E151" s="162">
        <v>39.64</v>
      </c>
      <c r="F151" s="163">
        <f t="shared" si="6"/>
        <v>79.28</v>
      </c>
      <c r="G151" s="160">
        <v>102</v>
      </c>
      <c r="H151" s="164" t="s">
        <v>503</v>
      </c>
    </row>
    <row r="152" spans="1:8" x14ac:dyDescent="0.2">
      <c r="A152" s="158" t="s">
        <v>800</v>
      </c>
      <c r="B152" s="161" t="s">
        <v>801</v>
      </c>
      <c r="C152" s="160" t="s">
        <v>506</v>
      </c>
      <c r="D152" s="161">
        <v>4</v>
      </c>
      <c r="E152" s="162">
        <v>13.8</v>
      </c>
      <c r="F152" s="163">
        <f t="shared" si="6"/>
        <v>55.2</v>
      </c>
      <c r="G152" s="160">
        <v>6138</v>
      </c>
      <c r="H152" s="164" t="s">
        <v>503</v>
      </c>
    </row>
    <row r="153" spans="1:8" x14ac:dyDescent="0.2">
      <c r="A153" s="158" t="s">
        <v>802</v>
      </c>
      <c r="B153" s="159" t="s">
        <v>803</v>
      </c>
      <c r="C153" s="160" t="s">
        <v>506</v>
      </c>
      <c r="D153" s="161">
        <v>2</v>
      </c>
      <c r="E153" s="162">
        <v>2.97</v>
      </c>
      <c r="F153" s="163">
        <f t="shared" si="6"/>
        <v>5.94</v>
      </c>
      <c r="G153" s="160">
        <v>1189</v>
      </c>
      <c r="H153" s="164" t="s">
        <v>503</v>
      </c>
    </row>
    <row r="154" spans="1:8" x14ac:dyDescent="0.2">
      <c r="A154" s="158" t="s">
        <v>804</v>
      </c>
      <c r="B154" s="159" t="s">
        <v>805</v>
      </c>
      <c r="C154" s="160" t="s">
        <v>506</v>
      </c>
      <c r="D154" s="161">
        <v>2</v>
      </c>
      <c r="E154" s="162">
        <v>5.72</v>
      </c>
      <c r="F154" s="163">
        <f t="shared" si="6"/>
        <v>11.44</v>
      </c>
      <c r="G154" s="160">
        <v>1193</v>
      </c>
      <c r="H154" s="164" t="s">
        <v>503</v>
      </c>
    </row>
    <row r="155" spans="1:8" x14ac:dyDescent="0.2">
      <c r="A155" s="158" t="s">
        <v>806</v>
      </c>
      <c r="B155" s="159" t="s">
        <v>807</v>
      </c>
      <c r="C155" s="160" t="s">
        <v>506</v>
      </c>
      <c r="D155" s="161">
        <v>2</v>
      </c>
      <c r="E155" s="162">
        <v>10.83</v>
      </c>
      <c r="F155" s="163">
        <f t="shared" si="6"/>
        <v>21.66</v>
      </c>
      <c r="G155" s="160">
        <v>1194</v>
      </c>
      <c r="H155" s="164" t="s">
        <v>503</v>
      </c>
    </row>
    <row r="156" spans="1:8" x14ac:dyDescent="0.2">
      <c r="A156" s="158" t="s">
        <v>808</v>
      </c>
      <c r="B156" s="159" t="s">
        <v>809</v>
      </c>
      <c r="C156" s="160" t="s">
        <v>628</v>
      </c>
      <c r="D156" s="161">
        <v>3</v>
      </c>
      <c r="E156" s="162">
        <v>1.4</v>
      </c>
      <c r="F156" s="163">
        <f t="shared" si="6"/>
        <v>4.1999999999999993</v>
      </c>
      <c r="G156" s="160">
        <v>37454</v>
      </c>
      <c r="H156" s="164" t="s">
        <v>503</v>
      </c>
    </row>
    <row r="157" spans="1:8" x14ac:dyDescent="0.2">
      <c r="A157" s="158" t="s">
        <v>810</v>
      </c>
      <c r="B157" s="161" t="s">
        <v>811</v>
      </c>
      <c r="C157" s="160" t="s">
        <v>506</v>
      </c>
      <c r="D157" s="161">
        <v>2</v>
      </c>
      <c r="E157" s="162">
        <v>7.24</v>
      </c>
      <c r="F157" s="163">
        <f t="shared" si="6"/>
        <v>14.48</v>
      </c>
      <c r="G157" s="160">
        <v>1163</v>
      </c>
      <c r="H157" s="164" t="s">
        <v>503</v>
      </c>
    </row>
    <row r="158" spans="1:8" x14ac:dyDescent="0.2">
      <c r="A158" s="158" t="s">
        <v>812</v>
      </c>
      <c r="B158" s="159" t="s">
        <v>813</v>
      </c>
      <c r="C158" s="160" t="s">
        <v>506</v>
      </c>
      <c r="D158" s="161">
        <v>1</v>
      </c>
      <c r="E158" s="162">
        <v>116.52</v>
      </c>
      <c r="F158" s="163">
        <f t="shared" si="6"/>
        <v>116.52</v>
      </c>
      <c r="G158" s="160">
        <v>1744</v>
      </c>
      <c r="H158" s="164" t="s">
        <v>503</v>
      </c>
    </row>
    <row r="159" spans="1:8" x14ac:dyDescent="0.2">
      <c r="A159" s="158" t="s">
        <v>814</v>
      </c>
      <c r="B159" s="159" t="s">
        <v>815</v>
      </c>
      <c r="C159" s="160" t="s">
        <v>506</v>
      </c>
      <c r="D159" s="161">
        <v>1</v>
      </c>
      <c r="E159" s="162">
        <v>153.02000000000001</v>
      </c>
      <c r="F159" s="163">
        <f t="shared" si="6"/>
        <v>153.02000000000001</v>
      </c>
      <c r="G159" s="160">
        <v>1743</v>
      </c>
      <c r="H159" s="164" t="s">
        <v>503</v>
      </c>
    </row>
    <row r="160" spans="1:8" x14ac:dyDescent="0.2">
      <c r="A160" s="158" t="s">
        <v>816</v>
      </c>
      <c r="B160" s="159" t="s">
        <v>817</v>
      </c>
      <c r="C160" s="160" t="s">
        <v>506</v>
      </c>
      <c r="D160" s="161">
        <v>1</v>
      </c>
      <c r="E160" s="162">
        <v>168.23</v>
      </c>
      <c r="F160" s="163">
        <f t="shared" si="6"/>
        <v>168.23</v>
      </c>
      <c r="G160" s="160">
        <v>1747</v>
      </c>
      <c r="H160" s="164" t="s">
        <v>503</v>
      </c>
    </row>
    <row r="161" spans="1:8" x14ac:dyDescent="0.2">
      <c r="A161" s="158" t="s">
        <v>818</v>
      </c>
      <c r="B161" s="161" t="s">
        <v>819</v>
      </c>
      <c r="C161" s="160" t="s">
        <v>506</v>
      </c>
      <c r="D161" s="161">
        <v>1</v>
      </c>
      <c r="E161" s="162">
        <v>40.950000000000003</v>
      </c>
      <c r="F161" s="163">
        <f t="shared" si="6"/>
        <v>40.950000000000003</v>
      </c>
      <c r="G161" s="160">
        <v>377</v>
      </c>
      <c r="H161" s="164" t="s">
        <v>503</v>
      </c>
    </row>
    <row r="162" spans="1:8" x14ac:dyDescent="0.2">
      <c r="A162" s="158" t="s">
        <v>820</v>
      </c>
      <c r="B162" s="159" t="s">
        <v>821</v>
      </c>
      <c r="C162" s="160" t="s">
        <v>506</v>
      </c>
      <c r="D162" s="161">
        <v>1</v>
      </c>
      <c r="E162" s="162">
        <v>122.42</v>
      </c>
      <c r="F162" s="163">
        <f t="shared" si="6"/>
        <v>122.42</v>
      </c>
      <c r="G162" s="160">
        <v>1370</v>
      </c>
      <c r="H162" s="164" t="s">
        <v>503</v>
      </c>
    </row>
    <row r="163" spans="1:8" x14ac:dyDescent="0.2">
      <c r="A163" s="158" t="s">
        <v>822</v>
      </c>
      <c r="B163" s="159" t="s">
        <v>823</v>
      </c>
      <c r="C163" s="160" t="s">
        <v>519</v>
      </c>
      <c r="D163" s="161">
        <v>1</v>
      </c>
      <c r="E163" s="162">
        <v>43.06</v>
      </c>
      <c r="F163" s="163">
        <f t="shared" si="6"/>
        <v>43.06</v>
      </c>
      <c r="G163" s="160">
        <v>14152</v>
      </c>
      <c r="H163" s="164" t="s">
        <v>503</v>
      </c>
    </row>
    <row r="164" spans="1:8" x14ac:dyDescent="0.2">
      <c r="A164" s="158" t="s">
        <v>824</v>
      </c>
      <c r="B164" s="159" t="s">
        <v>825</v>
      </c>
      <c r="C164" s="160" t="s">
        <v>506</v>
      </c>
      <c r="D164" s="161">
        <v>5</v>
      </c>
      <c r="E164" s="162">
        <v>32.11</v>
      </c>
      <c r="F164" s="163">
        <f t="shared" si="6"/>
        <v>160.55000000000001</v>
      </c>
      <c r="G164" s="160">
        <v>11732</v>
      </c>
      <c r="H164" s="164" t="s">
        <v>503</v>
      </c>
    </row>
    <row r="165" spans="1:8" x14ac:dyDescent="0.2">
      <c r="A165" s="158" t="s">
        <v>826</v>
      </c>
      <c r="B165" s="159" t="s">
        <v>827</v>
      </c>
      <c r="C165" s="160" t="s">
        <v>506</v>
      </c>
      <c r="D165" s="161">
        <v>2</v>
      </c>
      <c r="E165" s="162">
        <v>2.91</v>
      </c>
      <c r="F165" s="163">
        <f t="shared" si="6"/>
        <v>5.82</v>
      </c>
      <c r="G165" s="160">
        <v>37951</v>
      </c>
      <c r="H165" s="164" t="s">
        <v>503</v>
      </c>
    </row>
    <row r="166" spans="1:8" x14ac:dyDescent="0.2">
      <c r="A166" s="158" t="s">
        <v>828</v>
      </c>
      <c r="B166" s="159" t="s">
        <v>829</v>
      </c>
      <c r="C166" s="160" t="s">
        <v>506</v>
      </c>
      <c r="D166" s="161">
        <v>2</v>
      </c>
      <c r="E166" s="162">
        <v>4.26</v>
      </c>
      <c r="F166" s="163">
        <f t="shared" si="6"/>
        <v>8.52</v>
      </c>
      <c r="G166" s="160">
        <v>3518</v>
      </c>
      <c r="H166" s="164" t="s">
        <v>503</v>
      </c>
    </row>
    <row r="167" spans="1:8" x14ac:dyDescent="0.2">
      <c r="A167" s="158" t="s">
        <v>830</v>
      </c>
      <c r="B167" s="159" t="s">
        <v>831</v>
      </c>
      <c r="C167" s="160" t="s">
        <v>506</v>
      </c>
      <c r="D167" s="161">
        <v>2</v>
      </c>
      <c r="E167" s="162">
        <v>2.0699999999999998</v>
      </c>
      <c r="F167" s="163">
        <f t="shared" si="6"/>
        <v>4.1399999999999997</v>
      </c>
      <c r="G167" s="160">
        <v>3500</v>
      </c>
      <c r="H167" s="164" t="s">
        <v>503</v>
      </c>
    </row>
    <row r="168" spans="1:8" x14ac:dyDescent="0.2">
      <c r="A168" s="158" t="s">
        <v>832</v>
      </c>
      <c r="B168" s="159" t="s">
        <v>833</v>
      </c>
      <c r="C168" s="160" t="s">
        <v>506</v>
      </c>
      <c r="D168" s="161">
        <v>2</v>
      </c>
      <c r="E168" s="162">
        <v>5.99</v>
      </c>
      <c r="F168" s="163">
        <f t="shared" si="6"/>
        <v>11.98</v>
      </c>
      <c r="G168" s="160">
        <v>3501</v>
      </c>
      <c r="H168" s="164" t="s">
        <v>503</v>
      </c>
    </row>
    <row r="169" spans="1:8" x14ac:dyDescent="0.2">
      <c r="A169" s="158" t="s">
        <v>834</v>
      </c>
      <c r="B169" s="159" t="s">
        <v>835</v>
      </c>
      <c r="C169" s="160" t="s">
        <v>506</v>
      </c>
      <c r="D169" s="161">
        <v>2</v>
      </c>
      <c r="E169" s="162">
        <v>8.5299999999999994</v>
      </c>
      <c r="F169" s="163">
        <f t="shared" si="6"/>
        <v>17.059999999999999</v>
      </c>
      <c r="G169" s="160">
        <v>3502</v>
      </c>
      <c r="H169" s="164" t="s">
        <v>503</v>
      </c>
    </row>
    <row r="170" spans="1:8" x14ac:dyDescent="0.2">
      <c r="A170" s="158" t="s">
        <v>836</v>
      </c>
      <c r="B170" s="159" t="s">
        <v>837</v>
      </c>
      <c r="C170" s="160" t="s">
        <v>506</v>
      </c>
      <c r="D170" s="161">
        <v>2</v>
      </c>
      <c r="E170" s="162">
        <v>79.760000000000005</v>
      </c>
      <c r="F170" s="163">
        <f t="shared" si="6"/>
        <v>159.52000000000001</v>
      </c>
      <c r="G170" s="160">
        <v>20144</v>
      </c>
      <c r="H170" s="164" t="s">
        <v>503</v>
      </c>
    </row>
    <row r="171" spans="1:8" x14ac:dyDescent="0.2">
      <c r="A171" s="158" t="s">
        <v>838</v>
      </c>
      <c r="B171" s="159" t="s">
        <v>839</v>
      </c>
      <c r="C171" s="160" t="s">
        <v>506</v>
      </c>
      <c r="D171" s="161">
        <v>2</v>
      </c>
      <c r="E171" s="162">
        <v>5.09</v>
      </c>
      <c r="F171" s="163">
        <f t="shared" si="6"/>
        <v>10.18</v>
      </c>
      <c r="G171" s="160">
        <v>3869</v>
      </c>
      <c r="H171" s="164" t="s">
        <v>503</v>
      </c>
    </row>
    <row r="172" spans="1:8" x14ac:dyDescent="0.2">
      <c r="A172" s="158" t="s">
        <v>840</v>
      </c>
      <c r="B172" s="159" t="s">
        <v>841</v>
      </c>
      <c r="C172" s="160" t="s">
        <v>506</v>
      </c>
      <c r="D172" s="161">
        <v>2</v>
      </c>
      <c r="E172" s="162">
        <v>0.89</v>
      </c>
      <c r="F172" s="163">
        <f t="shared" si="6"/>
        <v>1.78</v>
      </c>
      <c r="G172" s="160">
        <v>3861</v>
      </c>
      <c r="H172" s="164" t="s">
        <v>503</v>
      </c>
    </row>
    <row r="173" spans="1:8" x14ac:dyDescent="0.2">
      <c r="A173" s="158" t="s">
        <v>842</v>
      </c>
      <c r="B173" s="159" t="s">
        <v>843</v>
      </c>
      <c r="C173" s="160" t="s">
        <v>506</v>
      </c>
      <c r="D173" s="161">
        <v>2</v>
      </c>
      <c r="E173" s="162">
        <v>2.13</v>
      </c>
      <c r="F173" s="163">
        <f t="shared" si="6"/>
        <v>4.26</v>
      </c>
      <c r="G173" s="160">
        <v>3883</v>
      </c>
      <c r="H173" s="164" t="s">
        <v>503</v>
      </c>
    </row>
    <row r="174" spans="1:8" x14ac:dyDescent="0.2">
      <c r="A174" s="158" t="s">
        <v>844</v>
      </c>
      <c r="B174" s="161" t="s">
        <v>845</v>
      </c>
      <c r="C174" s="160" t="s">
        <v>522</v>
      </c>
      <c r="D174" s="161">
        <v>10</v>
      </c>
      <c r="E174" s="162">
        <v>2.35</v>
      </c>
      <c r="F174" s="163">
        <f t="shared" si="6"/>
        <v>23.5</v>
      </c>
      <c r="G174" s="160">
        <v>37455</v>
      </c>
      <c r="H174" s="164" t="s">
        <v>503</v>
      </c>
    </row>
    <row r="175" spans="1:8" x14ac:dyDescent="0.2">
      <c r="A175" s="158" t="s">
        <v>846</v>
      </c>
      <c r="B175" s="159" t="s">
        <v>847</v>
      </c>
      <c r="C175" s="160" t="s">
        <v>552</v>
      </c>
      <c r="D175" s="161">
        <v>1</v>
      </c>
      <c r="E175" s="162">
        <v>21.53</v>
      </c>
      <c r="F175" s="163">
        <f t="shared" si="6"/>
        <v>21.53</v>
      </c>
      <c r="G175" s="160">
        <v>6145</v>
      </c>
      <c r="H175" s="164" t="s">
        <v>503</v>
      </c>
    </row>
    <row r="176" spans="1:8" x14ac:dyDescent="0.2">
      <c r="A176" s="158" t="s">
        <v>848</v>
      </c>
      <c r="B176" s="159" t="s">
        <v>849</v>
      </c>
      <c r="C176" s="160" t="s">
        <v>552</v>
      </c>
      <c r="D176" s="161">
        <v>1</v>
      </c>
      <c r="E176" s="162">
        <v>47.76</v>
      </c>
      <c r="F176" s="163">
        <f t="shared" si="6"/>
        <v>47.76</v>
      </c>
      <c r="G176" s="160">
        <v>11762</v>
      </c>
      <c r="H176" s="164" t="s">
        <v>503</v>
      </c>
    </row>
    <row r="177" spans="1:8" x14ac:dyDescent="0.2">
      <c r="A177" s="158" t="s">
        <v>850</v>
      </c>
      <c r="B177" s="159" t="s">
        <v>851</v>
      </c>
      <c r="C177" s="160" t="s">
        <v>552</v>
      </c>
      <c r="D177" s="161">
        <v>1</v>
      </c>
      <c r="E177" s="162">
        <v>266.76</v>
      </c>
      <c r="F177" s="163">
        <f t="shared" si="6"/>
        <v>266.76</v>
      </c>
      <c r="G177" s="160">
        <v>21112</v>
      </c>
      <c r="H177" s="164" t="s">
        <v>503</v>
      </c>
    </row>
    <row r="178" spans="1:8" x14ac:dyDescent="0.2">
      <c r="A178" s="158" t="s">
        <v>852</v>
      </c>
      <c r="B178" s="159" t="s">
        <v>853</v>
      </c>
      <c r="C178" s="160" t="s">
        <v>506</v>
      </c>
      <c r="D178" s="161">
        <v>2</v>
      </c>
      <c r="E178" s="162">
        <v>4.59</v>
      </c>
      <c r="F178" s="163">
        <f t="shared" si="6"/>
        <v>9.18</v>
      </c>
      <c r="G178" s="160">
        <v>11955</v>
      </c>
      <c r="H178" s="164" t="s">
        <v>503</v>
      </c>
    </row>
    <row r="179" spans="1:8" x14ac:dyDescent="0.2">
      <c r="A179" s="158" t="s">
        <v>854</v>
      </c>
      <c r="B179" s="159" t="s">
        <v>855</v>
      </c>
      <c r="C179" s="160" t="s">
        <v>506</v>
      </c>
      <c r="D179" s="161">
        <v>2</v>
      </c>
      <c r="E179" s="162">
        <v>0.76</v>
      </c>
      <c r="F179" s="163">
        <f t="shared" si="6"/>
        <v>1.52</v>
      </c>
      <c r="G179" s="160">
        <v>4895</v>
      </c>
      <c r="H179" s="164" t="s">
        <v>503</v>
      </c>
    </row>
    <row r="180" spans="1:8" x14ac:dyDescent="0.2">
      <c r="A180" s="158" t="s">
        <v>856</v>
      </c>
      <c r="B180" s="159" t="s">
        <v>857</v>
      </c>
      <c r="C180" s="160" t="s">
        <v>506</v>
      </c>
      <c r="D180" s="161">
        <v>1</v>
      </c>
      <c r="E180" s="162">
        <v>161.05000000000001</v>
      </c>
      <c r="F180" s="163">
        <f t="shared" si="6"/>
        <v>161.05000000000001</v>
      </c>
      <c r="G180" s="160">
        <v>6136</v>
      </c>
      <c r="H180" s="164" t="s">
        <v>503</v>
      </c>
    </row>
    <row r="181" spans="1:8" x14ac:dyDescent="0.2">
      <c r="A181" s="158" t="s">
        <v>858</v>
      </c>
      <c r="B181" s="159" t="s">
        <v>859</v>
      </c>
      <c r="C181" s="160" t="s">
        <v>506</v>
      </c>
      <c r="D181" s="161">
        <v>1</v>
      </c>
      <c r="E181" s="162">
        <v>204.88</v>
      </c>
      <c r="F181" s="163">
        <f t="shared" si="6"/>
        <v>204.88</v>
      </c>
      <c r="G181" s="160">
        <v>6150</v>
      </c>
      <c r="H181" s="164" t="s">
        <v>503</v>
      </c>
    </row>
    <row r="182" spans="1:8" x14ac:dyDescent="0.2">
      <c r="A182" s="158" t="s">
        <v>860</v>
      </c>
      <c r="B182" s="159" t="s">
        <v>861</v>
      </c>
      <c r="C182" s="160" t="s">
        <v>506</v>
      </c>
      <c r="D182" s="161">
        <v>2</v>
      </c>
      <c r="E182" s="162">
        <v>4.51</v>
      </c>
      <c r="F182" s="163">
        <f t="shared" si="6"/>
        <v>9.02</v>
      </c>
      <c r="G182" s="160">
        <v>7104</v>
      </c>
      <c r="H182" s="164" t="s">
        <v>503</v>
      </c>
    </row>
    <row r="183" spans="1:8" x14ac:dyDescent="0.2">
      <c r="A183" s="158" t="s">
        <v>862</v>
      </c>
      <c r="B183" s="159" t="s">
        <v>863</v>
      </c>
      <c r="C183" s="160" t="s">
        <v>506</v>
      </c>
      <c r="D183" s="161">
        <v>2</v>
      </c>
      <c r="E183" s="162">
        <v>8.49</v>
      </c>
      <c r="F183" s="163">
        <f t="shared" si="6"/>
        <v>16.98</v>
      </c>
      <c r="G183" s="160">
        <v>7136</v>
      </c>
      <c r="H183" s="164" t="s">
        <v>503</v>
      </c>
    </row>
    <row r="184" spans="1:8" x14ac:dyDescent="0.2">
      <c r="A184" s="158" t="s">
        <v>864</v>
      </c>
      <c r="B184" s="159" t="s">
        <v>865</v>
      </c>
      <c r="C184" s="160" t="s">
        <v>506</v>
      </c>
      <c r="D184" s="161">
        <v>2</v>
      </c>
      <c r="E184" s="162">
        <v>13.91</v>
      </c>
      <c r="F184" s="163">
        <f t="shared" si="6"/>
        <v>27.82</v>
      </c>
      <c r="G184" s="160">
        <v>7128</v>
      </c>
      <c r="H184" s="164" t="s">
        <v>503</v>
      </c>
    </row>
    <row r="185" spans="1:8" x14ac:dyDescent="0.2">
      <c r="A185" s="158" t="s">
        <v>866</v>
      </c>
      <c r="B185" s="159" t="s">
        <v>867</v>
      </c>
      <c r="C185" s="160" t="s">
        <v>506</v>
      </c>
      <c r="D185" s="161">
        <v>2</v>
      </c>
      <c r="E185" s="162">
        <v>12.37</v>
      </c>
      <c r="F185" s="163">
        <f t="shared" si="6"/>
        <v>24.74</v>
      </c>
      <c r="G185" s="160">
        <v>7129</v>
      </c>
      <c r="H185" s="164" t="s">
        <v>503</v>
      </c>
    </row>
    <row r="186" spans="1:8" x14ac:dyDescent="0.2">
      <c r="A186" s="158" t="s">
        <v>868</v>
      </c>
      <c r="B186" s="159" t="s">
        <v>869</v>
      </c>
      <c r="C186" s="160" t="s">
        <v>506</v>
      </c>
      <c r="D186" s="161">
        <v>1</v>
      </c>
      <c r="E186" s="162">
        <v>20.18</v>
      </c>
      <c r="F186" s="163">
        <f t="shared" si="6"/>
        <v>20.18</v>
      </c>
      <c r="G186" s="160">
        <v>7130</v>
      </c>
      <c r="H186" s="164" t="s">
        <v>503</v>
      </c>
    </row>
    <row r="187" spans="1:8" x14ac:dyDescent="0.2">
      <c r="A187" s="158" t="s">
        <v>870</v>
      </c>
      <c r="B187" s="159" t="s">
        <v>871</v>
      </c>
      <c r="C187" s="160" t="s">
        <v>506</v>
      </c>
      <c r="D187" s="161">
        <v>2</v>
      </c>
      <c r="E187" s="162">
        <v>24.75</v>
      </c>
      <c r="F187" s="163">
        <f t="shared" si="6"/>
        <v>49.5</v>
      </c>
      <c r="G187" s="160">
        <v>7131</v>
      </c>
      <c r="H187" s="164" t="s">
        <v>503</v>
      </c>
    </row>
    <row r="188" spans="1:8" x14ac:dyDescent="0.2">
      <c r="A188" s="158" t="s">
        <v>872</v>
      </c>
      <c r="B188" s="159" t="s">
        <v>873</v>
      </c>
      <c r="C188" s="160" t="s">
        <v>506</v>
      </c>
      <c r="D188" s="161">
        <v>1</v>
      </c>
      <c r="E188" s="162">
        <v>68.709999999999994</v>
      </c>
      <c r="F188" s="163">
        <f t="shared" si="6"/>
        <v>68.709999999999994</v>
      </c>
      <c r="G188" s="160">
        <v>7132</v>
      </c>
      <c r="H188" s="164" t="s">
        <v>503</v>
      </c>
    </row>
    <row r="189" spans="1:8" x14ac:dyDescent="0.2">
      <c r="A189" s="158" t="s">
        <v>874</v>
      </c>
      <c r="B189" s="159" t="s">
        <v>875</v>
      </c>
      <c r="C189" s="160" t="s">
        <v>506</v>
      </c>
      <c r="D189" s="161">
        <v>1</v>
      </c>
      <c r="E189" s="162">
        <v>100.7</v>
      </c>
      <c r="F189" s="163">
        <f t="shared" si="6"/>
        <v>100.7</v>
      </c>
      <c r="G189" s="160">
        <v>11773</v>
      </c>
      <c r="H189" s="164" t="s">
        <v>503</v>
      </c>
    </row>
    <row r="190" spans="1:8" x14ac:dyDescent="0.2">
      <c r="A190" s="158" t="s">
        <v>876</v>
      </c>
      <c r="B190" s="159" t="s">
        <v>877</v>
      </c>
      <c r="C190" s="160" t="s">
        <v>506</v>
      </c>
      <c r="D190" s="161">
        <v>1</v>
      </c>
      <c r="E190" s="162">
        <v>37.11</v>
      </c>
      <c r="F190" s="163">
        <f t="shared" si="6"/>
        <v>37.11</v>
      </c>
      <c r="G190" s="160">
        <v>7602</v>
      </c>
      <c r="H190" s="164" t="s">
        <v>503</v>
      </c>
    </row>
    <row r="191" spans="1:8" x14ac:dyDescent="0.2">
      <c r="A191" s="158" t="s">
        <v>878</v>
      </c>
      <c r="B191" s="159" t="s">
        <v>879</v>
      </c>
      <c r="C191" s="160" t="s">
        <v>506</v>
      </c>
      <c r="D191" s="161">
        <v>1</v>
      </c>
      <c r="E191" s="162">
        <v>101.02</v>
      </c>
      <c r="F191" s="163">
        <f t="shared" si="6"/>
        <v>101.02</v>
      </c>
      <c r="G191" s="160">
        <v>11772</v>
      </c>
      <c r="H191" s="164" t="s">
        <v>503</v>
      </c>
    </row>
    <row r="192" spans="1:8" x14ac:dyDescent="0.2">
      <c r="A192" s="158" t="s">
        <v>880</v>
      </c>
      <c r="B192" s="159" t="s">
        <v>881</v>
      </c>
      <c r="C192" s="160" t="s">
        <v>506</v>
      </c>
      <c r="D192" s="161">
        <v>2</v>
      </c>
      <c r="E192" s="162">
        <v>10.29</v>
      </c>
      <c r="F192" s="163">
        <f t="shared" si="6"/>
        <v>20.58</v>
      </c>
      <c r="G192" s="160">
        <v>9905</v>
      </c>
      <c r="H192" s="164" t="s">
        <v>503</v>
      </c>
    </row>
    <row r="193" spans="1:8" x14ac:dyDescent="0.2">
      <c r="A193" s="158" t="s">
        <v>882</v>
      </c>
      <c r="B193" s="159" t="s">
        <v>883</v>
      </c>
      <c r="C193" s="160" t="s">
        <v>506</v>
      </c>
      <c r="D193" s="161">
        <v>2</v>
      </c>
      <c r="E193" s="162">
        <v>12.33</v>
      </c>
      <c r="F193" s="163">
        <f t="shared" si="6"/>
        <v>24.66</v>
      </c>
      <c r="G193" s="160">
        <v>9906</v>
      </c>
      <c r="H193" s="164" t="s">
        <v>503</v>
      </c>
    </row>
    <row r="194" spans="1:8" ht="15.75" customHeight="1" x14ac:dyDescent="0.2">
      <c r="A194" s="367" t="s">
        <v>884</v>
      </c>
      <c r="B194" s="368"/>
      <c r="C194" s="368"/>
      <c r="D194" s="368"/>
      <c r="E194" s="368"/>
      <c r="F194" s="165">
        <f>SUM(F143:F193)</f>
        <v>2591.0899999999997</v>
      </c>
      <c r="G194" s="166"/>
      <c r="H194" s="167"/>
    </row>
    <row r="195" spans="1:8" x14ac:dyDescent="0.2">
      <c r="A195" s="154" t="s">
        <v>885</v>
      </c>
      <c r="B195" s="155" t="s">
        <v>886</v>
      </c>
      <c r="C195" s="168"/>
      <c r="D195" s="168"/>
      <c r="E195" s="169"/>
      <c r="F195" s="168"/>
      <c r="G195" s="155"/>
      <c r="H195" s="170"/>
    </row>
    <row r="196" spans="1:8" x14ac:dyDescent="0.2">
      <c r="A196" s="158" t="s">
        <v>279</v>
      </c>
      <c r="B196" s="159" t="s">
        <v>887</v>
      </c>
      <c r="C196" s="160" t="s">
        <v>502</v>
      </c>
      <c r="D196" s="161">
        <v>2</v>
      </c>
      <c r="E196" s="162">
        <v>45.68</v>
      </c>
      <c r="F196" s="163">
        <f t="shared" ref="F196:F199" si="7">D196*E196</f>
        <v>91.36</v>
      </c>
      <c r="G196" s="160">
        <v>1339</v>
      </c>
      <c r="H196" s="164" t="s">
        <v>503</v>
      </c>
    </row>
    <row r="197" spans="1:8" x14ac:dyDescent="0.2">
      <c r="A197" s="158" t="s">
        <v>281</v>
      </c>
      <c r="B197" s="159" t="s">
        <v>888</v>
      </c>
      <c r="C197" s="160" t="s">
        <v>889</v>
      </c>
      <c r="D197" s="161">
        <v>1</v>
      </c>
      <c r="E197" s="162">
        <v>38.630000000000003</v>
      </c>
      <c r="F197" s="163">
        <f t="shared" si="7"/>
        <v>38.630000000000003</v>
      </c>
      <c r="G197" s="160">
        <v>44396</v>
      </c>
      <c r="H197" s="164" t="s">
        <v>503</v>
      </c>
    </row>
    <row r="198" spans="1:8" ht="20.399999999999999" x14ac:dyDescent="0.2">
      <c r="A198" s="158" t="s">
        <v>890</v>
      </c>
      <c r="B198" s="159" t="s">
        <v>891</v>
      </c>
      <c r="C198" s="160" t="s">
        <v>506</v>
      </c>
      <c r="D198" s="161">
        <v>4</v>
      </c>
      <c r="E198" s="162">
        <v>37.549999999999997</v>
      </c>
      <c r="F198" s="163">
        <f t="shared" si="7"/>
        <v>150.19999999999999</v>
      </c>
      <c r="G198" s="160">
        <v>11481</v>
      </c>
      <c r="H198" s="164" t="s">
        <v>503</v>
      </c>
    </row>
    <row r="199" spans="1:8" x14ac:dyDescent="0.2">
      <c r="A199" s="158" t="s">
        <v>892</v>
      </c>
      <c r="B199" s="159" t="s">
        <v>893</v>
      </c>
      <c r="C199" s="160" t="s">
        <v>506</v>
      </c>
      <c r="D199" s="161">
        <v>1</v>
      </c>
      <c r="E199" s="162">
        <v>28.36</v>
      </c>
      <c r="F199" s="163">
        <f t="shared" si="7"/>
        <v>28.36</v>
      </c>
      <c r="G199" s="160">
        <v>11572</v>
      </c>
      <c r="H199" s="164" t="s">
        <v>503</v>
      </c>
    </row>
    <row r="200" spans="1:8" ht="15.75" customHeight="1" x14ac:dyDescent="0.2">
      <c r="A200" s="367" t="s">
        <v>894</v>
      </c>
      <c r="B200" s="368"/>
      <c r="C200" s="368"/>
      <c r="D200" s="368"/>
      <c r="E200" s="368"/>
      <c r="F200" s="165">
        <f>SUM(F196:F199)</f>
        <v>308.55</v>
      </c>
      <c r="G200" s="166"/>
      <c r="H200" s="167"/>
    </row>
    <row r="201" spans="1:8" x14ac:dyDescent="0.2">
      <c r="A201" s="154" t="s">
        <v>895</v>
      </c>
      <c r="B201" s="155" t="s">
        <v>896</v>
      </c>
      <c r="C201" s="155"/>
      <c r="D201" s="155"/>
      <c r="E201" s="156"/>
      <c r="F201" s="155"/>
      <c r="G201" s="155"/>
      <c r="H201" s="157"/>
    </row>
    <row r="202" spans="1:8" x14ac:dyDescent="0.2">
      <c r="A202" s="158" t="s">
        <v>897</v>
      </c>
      <c r="B202" s="159" t="s">
        <v>898</v>
      </c>
      <c r="C202" s="160" t="s">
        <v>502</v>
      </c>
      <c r="D202" s="161">
        <v>5</v>
      </c>
      <c r="E202" s="162">
        <v>0.64</v>
      </c>
      <c r="F202" s="163">
        <f t="shared" ref="F202:F215" si="8">D202*E202</f>
        <v>3.2</v>
      </c>
      <c r="G202" s="160">
        <v>1381</v>
      </c>
      <c r="H202" s="164" t="s">
        <v>503</v>
      </c>
    </row>
    <row r="203" spans="1:8" x14ac:dyDescent="0.2">
      <c r="A203" s="158" t="s">
        <v>899</v>
      </c>
      <c r="B203" s="159" t="s">
        <v>900</v>
      </c>
      <c r="C203" s="160" t="s">
        <v>506</v>
      </c>
      <c r="D203" s="161">
        <v>10</v>
      </c>
      <c r="E203" s="162">
        <v>9.2799999999999994</v>
      </c>
      <c r="F203" s="163">
        <f t="shared" si="8"/>
        <v>92.8</v>
      </c>
      <c r="G203" s="160">
        <v>12815</v>
      </c>
      <c r="H203" s="164" t="s">
        <v>503</v>
      </c>
    </row>
    <row r="204" spans="1:8" x14ac:dyDescent="0.2">
      <c r="A204" s="158" t="s">
        <v>901</v>
      </c>
      <c r="B204" s="159" t="s">
        <v>902</v>
      </c>
      <c r="C204" s="160" t="s">
        <v>903</v>
      </c>
      <c r="D204" s="161">
        <v>30</v>
      </c>
      <c r="E204" s="162">
        <v>1.05</v>
      </c>
      <c r="F204" s="163">
        <f t="shared" si="8"/>
        <v>31.5</v>
      </c>
      <c r="G204" s="160">
        <v>3777</v>
      </c>
      <c r="H204" s="164" t="s">
        <v>503</v>
      </c>
    </row>
    <row r="205" spans="1:8" x14ac:dyDescent="0.2">
      <c r="A205" s="158" t="s">
        <v>904</v>
      </c>
      <c r="B205" s="159" t="s">
        <v>905</v>
      </c>
      <c r="C205" s="160" t="s">
        <v>502</v>
      </c>
      <c r="D205" s="161">
        <v>1</v>
      </c>
      <c r="E205" s="162">
        <v>6.4</v>
      </c>
      <c r="F205" s="163">
        <f t="shared" si="8"/>
        <v>6.4</v>
      </c>
      <c r="G205" s="160">
        <v>43651</v>
      </c>
      <c r="H205" s="164" t="s">
        <v>503</v>
      </c>
    </row>
    <row r="206" spans="1:8" x14ac:dyDescent="0.2">
      <c r="A206" s="158" t="s">
        <v>906</v>
      </c>
      <c r="B206" s="159" t="s">
        <v>907</v>
      </c>
      <c r="C206" s="160" t="s">
        <v>502</v>
      </c>
      <c r="D206" s="161">
        <v>2</v>
      </c>
      <c r="E206" s="162">
        <v>3.56</v>
      </c>
      <c r="F206" s="163">
        <f t="shared" si="8"/>
        <v>7.12</v>
      </c>
      <c r="G206" s="160">
        <v>43626</v>
      </c>
      <c r="H206" s="164" t="s">
        <v>503</v>
      </c>
    </row>
    <row r="207" spans="1:8" x14ac:dyDescent="0.2">
      <c r="A207" s="158" t="s">
        <v>908</v>
      </c>
      <c r="B207" s="161" t="s">
        <v>909</v>
      </c>
      <c r="C207" s="160" t="s">
        <v>502</v>
      </c>
      <c r="D207" s="161">
        <v>4</v>
      </c>
      <c r="E207" s="162">
        <v>3.75</v>
      </c>
      <c r="F207" s="163">
        <f t="shared" si="8"/>
        <v>15</v>
      </c>
      <c r="G207" s="160">
        <v>34357</v>
      </c>
      <c r="H207" s="164" t="s">
        <v>503</v>
      </c>
    </row>
    <row r="208" spans="1:8" x14ac:dyDescent="0.2">
      <c r="A208" s="158" t="s">
        <v>910</v>
      </c>
      <c r="B208" s="161" t="s">
        <v>911</v>
      </c>
      <c r="C208" s="160" t="s">
        <v>889</v>
      </c>
      <c r="D208" s="161">
        <v>1</v>
      </c>
      <c r="E208" s="162">
        <v>26.15</v>
      </c>
      <c r="F208" s="163">
        <f t="shared" si="8"/>
        <v>26.15</v>
      </c>
      <c r="G208" s="160">
        <v>7353</v>
      </c>
      <c r="H208" s="164" t="s">
        <v>503</v>
      </c>
    </row>
    <row r="209" spans="1:8" x14ac:dyDescent="0.2">
      <c r="A209" s="158" t="s">
        <v>912</v>
      </c>
      <c r="B209" s="159" t="s">
        <v>913</v>
      </c>
      <c r="C209" s="160" t="s">
        <v>889</v>
      </c>
      <c r="D209" s="161">
        <v>18</v>
      </c>
      <c r="E209" s="162">
        <v>25.05</v>
      </c>
      <c r="F209" s="163">
        <f t="shared" si="8"/>
        <v>450.90000000000003</v>
      </c>
      <c r="G209" s="160">
        <v>43776</v>
      </c>
      <c r="H209" s="164" t="s">
        <v>503</v>
      </c>
    </row>
    <row r="210" spans="1:8" x14ac:dyDescent="0.2">
      <c r="A210" s="158" t="s">
        <v>914</v>
      </c>
      <c r="B210" s="159" t="s">
        <v>915</v>
      </c>
      <c r="C210" s="160" t="s">
        <v>889</v>
      </c>
      <c r="D210" s="161">
        <v>1</v>
      </c>
      <c r="E210" s="162">
        <v>15.83</v>
      </c>
      <c r="F210" s="163">
        <f t="shared" si="8"/>
        <v>15.83</v>
      </c>
      <c r="G210" s="160">
        <v>7348</v>
      </c>
      <c r="H210" s="164" t="s">
        <v>503</v>
      </c>
    </row>
    <row r="211" spans="1:8" x14ac:dyDescent="0.2">
      <c r="A211" s="158" t="s">
        <v>916</v>
      </c>
      <c r="B211" s="159" t="s">
        <v>917</v>
      </c>
      <c r="C211" s="160" t="s">
        <v>889</v>
      </c>
      <c r="D211" s="161">
        <v>1</v>
      </c>
      <c r="E211" s="162">
        <v>74.23</v>
      </c>
      <c r="F211" s="163">
        <f t="shared" si="8"/>
        <v>74.23</v>
      </c>
      <c r="G211" s="160">
        <v>7304</v>
      </c>
      <c r="H211" s="164" t="s">
        <v>503</v>
      </c>
    </row>
    <row r="212" spans="1:8" x14ac:dyDescent="0.2">
      <c r="A212" s="158" t="s">
        <v>918</v>
      </c>
      <c r="B212" s="159" t="s">
        <v>919</v>
      </c>
      <c r="C212" s="160" t="s">
        <v>889</v>
      </c>
      <c r="D212" s="161">
        <v>1</v>
      </c>
      <c r="E212" s="162">
        <v>37.159999999999997</v>
      </c>
      <c r="F212" s="163">
        <f t="shared" si="8"/>
        <v>37.159999999999997</v>
      </c>
      <c r="G212" s="160">
        <v>7311</v>
      </c>
      <c r="H212" s="164" t="s">
        <v>503</v>
      </c>
    </row>
    <row r="213" spans="1:8" x14ac:dyDescent="0.2">
      <c r="A213" s="158" t="s">
        <v>920</v>
      </c>
      <c r="B213" s="159" t="s">
        <v>921</v>
      </c>
      <c r="C213" s="160" t="s">
        <v>889</v>
      </c>
      <c r="D213" s="161">
        <v>18</v>
      </c>
      <c r="E213" s="162">
        <v>36.47</v>
      </c>
      <c r="F213" s="163">
        <f t="shared" si="8"/>
        <v>656.46</v>
      </c>
      <c r="G213" s="160">
        <v>7288</v>
      </c>
      <c r="H213" s="164" t="s">
        <v>503</v>
      </c>
    </row>
    <row r="214" spans="1:8" x14ac:dyDescent="0.2">
      <c r="A214" s="158" t="s">
        <v>922</v>
      </c>
      <c r="B214" s="159" t="s">
        <v>923</v>
      </c>
      <c r="C214" s="160" t="s">
        <v>889</v>
      </c>
      <c r="D214" s="161">
        <v>18</v>
      </c>
      <c r="E214" s="162">
        <v>23.6</v>
      </c>
      <c r="F214" s="163">
        <f t="shared" si="8"/>
        <v>424.8</v>
      </c>
      <c r="G214" s="160">
        <v>7356</v>
      </c>
      <c r="H214" s="164" t="s">
        <v>503</v>
      </c>
    </row>
    <row r="215" spans="1:8" x14ac:dyDescent="0.2">
      <c r="A215" s="158" t="s">
        <v>924</v>
      </c>
      <c r="B215" s="159" t="s">
        <v>925</v>
      </c>
      <c r="C215" s="160" t="s">
        <v>889</v>
      </c>
      <c r="D215" s="161">
        <v>1</v>
      </c>
      <c r="E215" s="162">
        <v>18.8</v>
      </c>
      <c r="F215" s="163">
        <f t="shared" si="8"/>
        <v>18.8</v>
      </c>
      <c r="G215" s="160">
        <v>5318</v>
      </c>
      <c r="H215" s="164" t="s">
        <v>503</v>
      </c>
    </row>
    <row r="216" spans="1:8" ht="15.75" customHeight="1" x14ac:dyDescent="0.2">
      <c r="A216" s="367" t="s">
        <v>926</v>
      </c>
      <c r="B216" s="368"/>
      <c r="C216" s="368"/>
      <c r="D216" s="368"/>
      <c r="E216" s="368"/>
      <c r="F216" s="165">
        <f>SUM(F202:F215)</f>
        <v>1860.35</v>
      </c>
      <c r="G216" s="166"/>
      <c r="H216" s="167"/>
    </row>
    <row r="217" spans="1:8" x14ac:dyDescent="0.2">
      <c r="A217" s="154" t="s">
        <v>927</v>
      </c>
      <c r="B217" s="155" t="s">
        <v>928</v>
      </c>
      <c r="C217" s="155"/>
      <c r="D217" s="155"/>
      <c r="E217" s="156"/>
      <c r="F217" s="155"/>
      <c r="G217" s="155"/>
      <c r="H217" s="157"/>
    </row>
    <row r="218" spans="1:8" x14ac:dyDescent="0.2">
      <c r="A218" s="158" t="s">
        <v>929</v>
      </c>
      <c r="B218" s="159" t="s">
        <v>930</v>
      </c>
      <c r="C218" s="160" t="s">
        <v>931</v>
      </c>
      <c r="D218" s="161">
        <v>4</v>
      </c>
      <c r="E218" s="162">
        <v>142.17999999999998</v>
      </c>
      <c r="F218" s="163">
        <f t="shared" ref="F218" si="9">D218*E218</f>
        <v>568.71999999999991</v>
      </c>
      <c r="G218" s="160" t="s">
        <v>24</v>
      </c>
      <c r="H218" s="164" t="s">
        <v>589</v>
      </c>
    </row>
    <row r="219" spans="1:8" x14ac:dyDescent="0.2">
      <c r="A219" s="158" t="s">
        <v>932</v>
      </c>
      <c r="B219" s="159" t="s">
        <v>933</v>
      </c>
      <c r="C219" s="160" t="s">
        <v>931</v>
      </c>
      <c r="D219" s="161">
        <v>2</v>
      </c>
      <c r="E219" s="162">
        <v>101.21333333333332</v>
      </c>
      <c r="F219" s="163">
        <f t="shared" ref="F219:F237" si="10">D219*E219</f>
        <v>202.42666666666665</v>
      </c>
      <c r="G219" s="160" t="s">
        <v>24</v>
      </c>
      <c r="H219" s="164" t="s">
        <v>589</v>
      </c>
    </row>
    <row r="220" spans="1:8" x14ac:dyDescent="0.2">
      <c r="A220" s="158" t="s">
        <v>934</v>
      </c>
      <c r="B220" s="159" t="s">
        <v>935</v>
      </c>
      <c r="C220" s="160" t="s">
        <v>506</v>
      </c>
      <c r="D220" s="161">
        <v>1</v>
      </c>
      <c r="E220" s="162">
        <v>3421.126666666667</v>
      </c>
      <c r="F220" s="163">
        <f t="shared" si="10"/>
        <v>3421.126666666667</v>
      </c>
      <c r="G220" s="160" t="s">
        <v>24</v>
      </c>
      <c r="H220" s="164" t="s">
        <v>589</v>
      </c>
    </row>
    <row r="221" spans="1:8" x14ac:dyDescent="0.2">
      <c r="A221" s="158" t="s">
        <v>936</v>
      </c>
      <c r="B221" s="159" t="s">
        <v>937</v>
      </c>
      <c r="C221" s="160" t="s">
        <v>506</v>
      </c>
      <c r="D221" s="161">
        <v>1</v>
      </c>
      <c r="E221" s="162">
        <v>735.13333333333333</v>
      </c>
      <c r="F221" s="163">
        <f t="shared" si="10"/>
        <v>735.13333333333333</v>
      </c>
      <c r="G221" s="160" t="s">
        <v>24</v>
      </c>
      <c r="H221" s="164" t="s">
        <v>589</v>
      </c>
    </row>
    <row r="222" spans="1:8" x14ac:dyDescent="0.2">
      <c r="A222" s="158" t="s">
        <v>938</v>
      </c>
      <c r="B222" s="159" t="s">
        <v>939</v>
      </c>
      <c r="C222" s="160" t="s">
        <v>506</v>
      </c>
      <c r="D222" s="161">
        <v>1</v>
      </c>
      <c r="E222" s="162">
        <v>309.05666666666667</v>
      </c>
      <c r="F222" s="163">
        <f t="shared" si="10"/>
        <v>309.05666666666667</v>
      </c>
      <c r="G222" s="160" t="s">
        <v>24</v>
      </c>
      <c r="H222" s="164" t="s">
        <v>589</v>
      </c>
    </row>
    <row r="223" spans="1:8" x14ac:dyDescent="0.2">
      <c r="A223" s="158" t="s">
        <v>940</v>
      </c>
      <c r="B223" s="159" t="s">
        <v>941</v>
      </c>
      <c r="C223" s="160" t="s">
        <v>506</v>
      </c>
      <c r="D223" s="161">
        <v>1</v>
      </c>
      <c r="E223" s="162">
        <v>1229.4666666666669</v>
      </c>
      <c r="F223" s="163">
        <f t="shared" si="10"/>
        <v>1229.4666666666669</v>
      </c>
      <c r="G223" s="160" t="s">
        <v>24</v>
      </c>
      <c r="H223" s="164" t="s">
        <v>589</v>
      </c>
    </row>
    <row r="224" spans="1:8" x14ac:dyDescent="0.2">
      <c r="A224" s="158" t="s">
        <v>942</v>
      </c>
      <c r="B224" s="159" t="s">
        <v>943</v>
      </c>
      <c r="C224" s="160" t="s">
        <v>506</v>
      </c>
      <c r="D224" s="161">
        <v>1</v>
      </c>
      <c r="E224" s="162">
        <v>3354</v>
      </c>
      <c r="F224" s="163">
        <f t="shared" si="10"/>
        <v>3354</v>
      </c>
      <c r="G224" s="160" t="s">
        <v>24</v>
      </c>
      <c r="H224" s="164" t="s">
        <v>589</v>
      </c>
    </row>
    <row r="225" spans="1:8" x14ac:dyDescent="0.2">
      <c r="A225" s="158" t="s">
        <v>944</v>
      </c>
      <c r="B225" s="159" t="s">
        <v>945</v>
      </c>
      <c r="C225" s="160" t="s">
        <v>522</v>
      </c>
      <c r="D225" s="161">
        <v>15</v>
      </c>
      <c r="E225" s="162">
        <v>11.55</v>
      </c>
      <c r="F225" s="163">
        <f t="shared" si="10"/>
        <v>173.25</v>
      </c>
      <c r="G225" s="160" t="s">
        <v>24</v>
      </c>
      <c r="H225" s="164" t="s">
        <v>589</v>
      </c>
    </row>
    <row r="226" spans="1:8" x14ac:dyDescent="0.2">
      <c r="A226" s="158" t="s">
        <v>946</v>
      </c>
      <c r="B226" s="159" t="s">
        <v>947</v>
      </c>
      <c r="C226" s="160" t="s">
        <v>522</v>
      </c>
      <c r="D226" s="161">
        <v>15</v>
      </c>
      <c r="E226" s="162">
        <v>42.5</v>
      </c>
      <c r="F226" s="163">
        <f t="shared" si="10"/>
        <v>637.5</v>
      </c>
      <c r="G226" s="160" t="s">
        <v>24</v>
      </c>
      <c r="H226" s="164" t="s">
        <v>589</v>
      </c>
    </row>
    <row r="227" spans="1:8" x14ac:dyDescent="0.2">
      <c r="A227" s="158" t="s">
        <v>948</v>
      </c>
      <c r="B227" s="159" t="s">
        <v>949</v>
      </c>
      <c r="C227" s="160" t="s">
        <v>522</v>
      </c>
      <c r="D227" s="161">
        <v>15</v>
      </c>
      <c r="E227" s="162">
        <v>32.9</v>
      </c>
      <c r="F227" s="163">
        <f t="shared" si="10"/>
        <v>493.5</v>
      </c>
      <c r="G227" s="160" t="s">
        <v>24</v>
      </c>
      <c r="H227" s="164" t="s">
        <v>589</v>
      </c>
    </row>
    <row r="228" spans="1:8" x14ac:dyDescent="0.2">
      <c r="A228" s="158" t="s">
        <v>950</v>
      </c>
      <c r="B228" s="159" t="s">
        <v>951</v>
      </c>
      <c r="C228" s="160" t="s">
        <v>522</v>
      </c>
      <c r="D228" s="161">
        <v>15</v>
      </c>
      <c r="E228" s="162">
        <v>17.8</v>
      </c>
      <c r="F228" s="163">
        <f t="shared" si="10"/>
        <v>267</v>
      </c>
      <c r="G228" s="160" t="s">
        <v>24</v>
      </c>
      <c r="H228" s="164" t="s">
        <v>589</v>
      </c>
    </row>
    <row r="229" spans="1:8" x14ac:dyDescent="0.2">
      <c r="A229" s="158" t="s">
        <v>952</v>
      </c>
      <c r="B229" s="159" t="s">
        <v>953</v>
      </c>
      <c r="C229" s="160" t="s">
        <v>522</v>
      </c>
      <c r="D229" s="161">
        <v>15</v>
      </c>
      <c r="E229" s="162">
        <v>25.9</v>
      </c>
      <c r="F229" s="163">
        <f t="shared" si="10"/>
        <v>388.5</v>
      </c>
      <c r="G229" s="160" t="s">
        <v>24</v>
      </c>
      <c r="H229" s="164" t="s">
        <v>589</v>
      </c>
    </row>
    <row r="230" spans="1:8" x14ac:dyDescent="0.2">
      <c r="A230" s="158" t="s">
        <v>954</v>
      </c>
      <c r="B230" s="159" t="s">
        <v>955</v>
      </c>
      <c r="C230" s="160" t="s">
        <v>956</v>
      </c>
      <c r="D230" s="161">
        <v>3</v>
      </c>
      <c r="E230" s="162">
        <v>88.54</v>
      </c>
      <c r="F230" s="163">
        <f t="shared" si="10"/>
        <v>265.62</v>
      </c>
      <c r="G230" s="160" t="s">
        <v>24</v>
      </c>
      <c r="H230" s="164" t="s">
        <v>589</v>
      </c>
    </row>
    <row r="231" spans="1:8" x14ac:dyDescent="0.2">
      <c r="A231" s="158" t="s">
        <v>957</v>
      </c>
      <c r="B231" s="159" t="s">
        <v>958</v>
      </c>
      <c r="C231" s="160" t="s">
        <v>959</v>
      </c>
      <c r="D231" s="161">
        <v>1</v>
      </c>
      <c r="E231" s="162">
        <v>1204.2</v>
      </c>
      <c r="F231" s="163">
        <f t="shared" si="10"/>
        <v>1204.2</v>
      </c>
      <c r="G231" s="160" t="s">
        <v>24</v>
      </c>
      <c r="H231" s="164" t="s">
        <v>589</v>
      </c>
    </row>
    <row r="232" spans="1:8" x14ac:dyDescent="0.2">
      <c r="A232" s="158" t="s">
        <v>960</v>
      </c>
      <c r="B232" s="159" t="s">
        <v>961</v>
      </c>
      <c r="C232" s="160" t="s">
        <v>502</v>
      </c>
      <c r="D232" s="161">
        <v>3</v>
      </c>
      <c r="E232" s="162">
        <v>55.875</v>
      </c>
      <c r="F232" s="163">
        <f t="shared" si="10"/>
        <v>167.625</v>
      </c>
      <c r="G232" s="160" t="s">
        <v>24</v>
      </c>
      <c r="H232" s="164" t="s">
        <v>589</v>
      </c>
    </row>
    <row r="233" spans="1:8" x14ac:dyDescent="0.2">
      <c r="A233" s="158" t="s">
        <v>962</v>
      </c>
      <c r="B233" s="159" t="s">
        <v>963</v>
      </c>
      <c r="C233" s="160" t="s">
        <v>959</v>
      </c>
      <c r="D233" s="161">
        <v>1</v>
      </c>
      <c r="E233" s="162">
        <v>759.9</v>
      </c>
      <c r="F233" s="163">
        <f t="shared" si="10"/>
        <v>759.9</v>
      </c>
      <c r="G233" s="160" t="s">
        <v>24</v>
      </c>
      <c r="H233" s="164" t="s">
        <v>589</v>
      </c>
    </row>
    <row r="234" spans="1:8" x14ac:dyDescent="0.2">
      <c r="A234" s="158" t="s">
        <v>964</v>
      </c>
      <c r="B234" s="159" t="s">
        <v>965</v>
      </c>
      <c r="C234" s="160" t="s">
        <v>502</v>
      </c>
      <c r="D234" s="161">
        <v>3</v>
      </c>
      <c r="E234" s="162">
        <v>75.654867256637161</v>
      </c>
      <c r="F234" s="163">
        <f t="shared" si="10"/>
        <v>226.9646017699115</v>
      </c>
      <c r="G234" s="160" t="s">
        <v>24</v>
      </c>
      <c r="H234" s="164" t="s">
        <v>589</v>
      </c>
    </row>
    <row r="235" spans="1:8" x14ac:dyDescent="0.2">
      <c r="A235" s="158" t="s">
        <v>966</v>
      </c>
      <c r="B235" s="159" t="s">
        <v>967</v>
      </c>
      <c r="C235" s="160" t="s">
        <v>968</v>
      </c>
      <c r="D235" s="161">
        <v>2</v>
      </c>
      <c r="E235" s="162">
        <v>854.9</v>
      </c>
      <c r="F235" s="163">
        <f t="shared" si="10"/>
        <v>1709.8</v>
      </c>
      <c r="G235" s="160" t="s">
        <v>24</v>
      </c>
      <c r="H235" s="164" t="s">
        <v>589</v>
      </c>
    </row>
    <row r="236" spans="1:8" x14ac:dyDescent="0.2">
      <c r="A236" s="158" t="s">
        <v>969</v>
      </c>
      <c r="B236" s="159" t="s">
        <v>970</v>
      </c>
      <c r="C236" s="160" t="s">
        <v>506</v>
      </c>
      <c r="D236" s="161">
        <v>2</v>
      </c>
      <c r="E236" s="162">
        <v>27.81</v>
      </c>
      <c r="F236" s="163">
        <f t="shared" si="10"/>
        <v>55.62</v>
      </c>
      <c r="G236" s="160" t="s">
        <v>24</v>
      </c>
      <c r="H236" s="164" t="s">
        <v>589</v>
      </c>
    </row>
    <row r="237" spans="1:8" x14ac:dyDescent="0.2">
      <c r="A237" s="158" t="s">
        <v>971</v>
      </c>
      <c r="B237" s="159" t="s">
        <v>972</v>
      </c>
      <c r="C237" s="160" t="s">
        <v>502</v>
      </c>
      <c r="D237" s="161">
        <v>1</v>
      </c>
      <c r="E237" s="162">
        <v>216.11</v>
      </c>
      <c r="F237" s="163">
        <f t="shared" si="10"/>
        <v>216.11</v>
      </c>
      <c r="G237" s="160" t="s">
        <v>24</v>
      </c>
      <c r="H237" s="164" t="s">
        <v>589</v>
      </c>
    </row>
    <row r="238" spans="1:8" ht="15.75" customHeight="1" x14ac:dyDescent="0.2">
      <c r="A238" s="367" t="s">
        <v>973</v>
      </c>
      <c r="B238" s="368"/>
      <c r="C238" s="368"/>
      <c r="D238" s="368"/>
      <c r="E238" s="368"/>
      <c r="F238" s="165">
        <f>SUM(F218:F237)</f>
        <v>16385.519601769913</v>
      </c>
      <c r="G238" s="166"/>
      <c r="H238" s="167"/>
    </row>
    <row r="239" spans="1:8" x14ac:dyDescent="0.2">
      <c r="A239" s="154">
        <v>7</v>
      </c>
      <c r="B239" s="155" t="s">
        <v>974</v>
      </c>
      <c r="C239" s="155"/>
      <c r="D239" s="155"/>
      <c r="E239" s="156"/>
      <c r="F239" s="155"/>
      <c r="G239" s="155"/>
      <c r="H239" s="157"/>
    </row>
    <row r="240" spans="1:8" x14ac:dyDescent="0.2">
      <c r="A240" s="158" t="s">
        <v>975</v>
      </c>
      <c r="B240" s="159" t="s">
        <v>976</v>
      </c>
      <c r="C240" s="228" t="s">
        <v>506</v>
      </c>
      <c r="D240" s="161">
        <v>2</v>
      </c>
      <c r="E240" s="162">
        <v>159.68</v>
      </c>
      <c r="F240" s="163">
        <f t="shared" ref="F240:F243" si="11">D240*E240</f>
        <v>319.36</v>
      </c>
      <c r="G240" s="160">
        <v>10886</v>
      </c>
      <c r="H240" s="164" t="s">
        <v>503</v>
      </c>
    </row>
    <row r="241" spans="1:8" ht="20.399999999999999" x14ac:dyDescent="0.2">
      <c r="A241" s="158" t="s">
        <v>977</v>
      </c>
      <c r="B241" s="159" t="s">
        <v>978</v>
      </c>
      <c r="C241" s="228" t="s">
        <v>506</v>
      </c>
      <c r="D241" s="161">
        <v>3</v>
      </c>
      <c r="E241" s="162">
        <v>21.37</v>
      </c>
      <c r="F241" s="163">
        <f t="shared" si="11"/>
        <v>64.11</v>
      </c>
      <c r="G241" s="160">
        <v>37539</v>
      </c>
      <c r="H241" s="164" t="s">
        <v>503</v>
      </c>
    </row>
    <row r="242" spans="1:8" x14ac:dyDescent="0.2">
      <c r="A242" s="158" t="s">
        <v>979</v>
      </c>
      <c r="B242" s="159" t="s">
        <v>980</v>
      </c>
      <c r="C242" s="228" t="s">
        <v>506</v>
      </c>
      <c r="D242" s="161">
        <v>2</v>
      </c>
      <c r="E242" s="162">
        <v>547.5</v>
      </c>
      <c r="F242" s="163">
        <f t="shared" si="11"/>
        <v>1095</v>
      </c>
      <c r="G242" s="160">
        <v>10889</v>
      </c>
      <c r="H242" s="164" t="s">
        <v>503</v>
      </c>
    </row>
    <row r="243" spans="1:8" x14ac:dyDescent="0.2">
      <c r="A243" s="158" t="s">
        <v>981</v>
      </c>
      <c r="B243" s="159" t="s">
        <v>982</v>
      </c>
      <c r="C243" s="228" t="s">
        <v>506</v>
      </c>
      <c r="D243" s="161">
        <v>2</v>
      </c>
      <c r="E243" s="162">
        <v>154.41999999999999</v>
      </c>
      <c r="F243" s="163">
        <f t="shared" si="11"/>
        <v>308.83999999999997</v>
      </c>
      <c r="G243" s="160">
        <v>10891</v>
      </c>
      <c r="H243" s="164" t="s">
        <v>503</v>
      </c>
    </row>
    <row r="244" spans="1:8" ht="15.75" customHeight="1" thickBot="1" x14ac:dyDescent="0.25">
      <c r="A244" s="369" t="s">
        <v>983</v>
      </c>
      <c r="B244" s="370"/>
      <c r="C244" s="370"/>
      <c r="D244" s="370"/>
      <c r="E244" s="370"/>
      <c r="F244" s="171">
        <f>SUM(F240:F243)</f>
        <v>1787.31</v>
      </c>
      <c r="G244" s="172"/>
      <c r="H244" s="173"/>
    </row>
    <row r="245" spans="1:8" ht="15.75" customHeight="1" thickBot="1" x14ac:dyDescent="0.25">
      <c r="A245" s="371" t="s">
        <v>984</v>
      </c>
      <c r="B245" s="372"/>
      <c r="C245" s="372"/>
      <c r="D245" s="372"/>
      <c r="E245" s="373"/>
      <c r="F245" s="174">
        <f>SUM(F54+F141+F194+F200+F216+F238+F244)</f>
        <v>35209.028601769911</v>
      </c>
      <c r="G245" s="175"/>
      <c r="H245" s="176"/>
    </row>
    <row r="246" spans="1:8" ht="15" customHeight="1" x14ac:dyDescent="0.2">
      <c r="A246" s="177"/>
      <c r="B246" s="178"/>
      <c r="C246" s="178"/>
      <c r="D246" s="178"/>
      <c r="E246" s="179"/>
      <c r="F246" s="178"/>
      <c r="G246" s="180"/>
      <c r="H246" s="181"/>
    </row>
    <row r="247" spans="1:8" ht="15" customHeight="1" x14ac:dyDescent="0.2">
      <c r="A247" s="182"/>
      <c r="B247" s="183"/>
      <c r="C247" s="183"/>
      <c r="D247" s="183"/>
      <c r="E247" s="374" t="s">
        <v>985</v>
      </c>
      <c r="F247" s="374"/>
      <c r="G247" s="374"/>
      <c r="H247" s="222">
        <f>BDI!I22</f>
        <v>0.18348853695258383</v>
      </c>
    </row>
    <row r="248" spans="1:8" ht="15" customHeight="1" x14ac:dyDescent="0.2">
      <c r="A248" s="182"/>
      <c r="B248" s="184"/>
      <c r="C248" s="184"/>
      <c r="D248" s="184"/>
      <c r="E248" s="374" t="s">
        <v>986</v>
      </c>
      <c r="F248" s="374"/>
      <c r="G248" s="374"/>
      <c r="H248" s="185">
        <f>TRUNC(F245*(1+H247),2)</f>
        <v>41669.480000000003</v>
      </c>
    </row>
    <row r="249" spans="1:8" ht="15.75" customHeight="1" thickBot="1" x14ac:dyDescent="0.25">
      <c r="A249" s="186"/>
      <c r="B249" s="187"/>
      <c r="C249" s="187"/>
      <c r="D249" s="187"/>
      <c r="E249" s="375" t="s">
        <v>987</v>
      </c>
      <c r="F249" s="375"/>
      <c r="G249" s="375"/>
      <c r="H249" s="188">
        <f>TRUNC(H248/12,2)</f>
        <v>3472.45</v>
      </c>
    </row>
    <row r="250" spans="1:8" ht="15.75" customHeight="1" thickBot="1" x14ac:dyDescent="0.25">
      <c r="A250" s="186"/>
      <c r="B250" s="187"/>
      <c r="C250" s="187"/>
      <c r="D250" s="187"/>
      <c r="E250" s="366" t="s">
        <v>988</v>
      </c>
      <c r="F250" s="366"/>
      <c r="G250" s="366"/>
      <c r="H250" s="188">
        <f>H249*20</f>
        <v>69449</v>
      </c>
    </row>
    <row r="251" spans="1:8" x14ac:dyDescent="0.2">
      <c r="A251" s="189" t="s">
        <v>989</v>
      </c>
      <c r="B251" s="190" t="s">
        <v>990</v>
      </c>
    </row>
  </sheetData>
  <mergeCells count="13">
    <mergeCell ref="A216:E216"/>
    <mergeCell ref="A1:H1"/>
    <mergeCell ref="A54:E54"/>
    <mergeCell ref="A141:E141"/>
    <mergeCell ref="A194:E194"/>
    <mergeCell ref="A200:E200"/>
    <mergeCell ref="E250:G250"/>
    <mergeCell ref="A238:E238"/>
    <mergeCell ref="A244:E244"/>
    <mergeCell ref="A245:E245"/>
    <mergeCell ref="E247:G247"/>
    <mergeCell ref="E248:G248"/>
    <mergeCell ref="E249:G249"/>
  </mergeCells>
  <conditionalFormatting sqref="G242:G245 G141:G155 G72:G133 G54:G64 G157:G174 G178:G217 G1:G24 G238:G240">
    <cfRule type="duplicateValues" dxfId="23" priority="42"/>
  </conditionalFormatting>
  <conditionalFormatting sqref="B1:B24 B35:B36 B26:B30 B238:B245 B42 B141:B217 B54:B133">
    <cfRule type="expression" dxfId="22" priority="41">
      <formula>$G1=""</formula>
    </cfRule>
  </conditionalFormatting>
  <conditionalFormatting sqref="B25">
    <cfRule type="expression" dxfId="21" priority="40">
      <formula>$G25=""</formula>
    </cfRule>
  </conditionalFormatting>
  <conditionalFormatting sqref="G177 G36">
    <cfRule type="duplicateValues" dxfId="20" priority="39"/>
  </conditionalFormatting>
  <conditionalFormatting sqref="G31:G34">
    <cfRule type="duplicateValues" dxfId="19" priority="38"/>
  </conditionalFormatting>
  <conditionalFormatting sqref="B31:B34">
    <cfRule type="expression" dxfId="18" priority="37">
      <formula>$G31=""</formula>
    </cfRule>
  </conditionalFormatting>
  <conditionalFormatting sqref="G67:G69 G65">
    <cfRule type="duplicateValues" dxfId="17" priority="36"/>
  </conditionalFormatting>
  <conditionalFormatting sqref="G26">
    <cfRule type="duplicateValues" dxfId="16" priority="43"/>
  </conditionalFormatting>
  <conditionalFormatting sqref="G27:G28">
    <cfRule type="duplicateValues" dxfId="15" priority="44"/>
  </conditionalFormatting>
  <conditionalFormatting sqref="G66 G70:G71">
    <cfRule type="duplicateValues" dxfId="14" priority="45"/>
  </conditionalFormatting>
  <conditionalFormatting sqref="G29">
    <cfRule type="duplicateValues" dxfId="13" priority="46"/>
  </conditionalFormatting>
  <conditionalFormatting sqref="G156 G30">
    <cfRule type="duplicateValues" dxfId="12" priority="47"/>
  </conditionalFormatting>
  <conditionalFormatting sqref="G176">
    <cfRule type="duplicateValues" dxfId="11" priority="48"/>
  </conditionalFormatting>
  <conditionalFormatting sqref="G37:G42">
    <cfRule type="duplicateValues" dxfId="10" priority="35"/>
  </conditionalFormatting>
  <conditionalFormatting sqref="B37:B41">
    <cfRule type="expression" dxfId="9" priority="34">
      <formula>$G37=""</formula>
    </cfRule>
  </conditionalFormatting>
  <conditionalFormatting sqref="G37:G41">
    <cfRule type="duplicateValues" dxfId="8" priority="33"/>
  </conditionalFormatting>
  <conditionalFormatting sqref="G241 G175 G35">
    <cfRule type="duplicateValues" dxfId="7" priority="49"/>
  </conditionalFormatting>
  <conditionalFormatting sqref="G25">
    <cfRule type="duplicateValues" dxfId="6" priority="50"/>
  </conditionalFormatting>
  <conditionalFormatting sqref="G141:G217 G1:G36 G54:G133 G238:G245">
    <cfRule type="duplicateValues" dxfId="5" priority="51"/>
  </conditionalFormatting>
  <conditionalFormatting sqref="G218">
    <cfRule type="duplicateValues" dxfId="4" priority="30"/>
  </conditionalFormatting>
  <conditionalFormatting sqref="G219">
    <cfRule type="duplicateValues" dxfId="3" priority="23"/>
  </conditionalFormatting>
  <conditionalFormatting sqref="G219">
    <cfRule type="duplicateValues" dxfId="2" priority="22"/>
  </conditionalFormatting>
  <conditionalFormatting sqref="G219">
    <cfRule type="duplicateValues" dxfId="1" priority="24"/>
  </conditionalFormatting>
  <conditionalFormatting sqref="G238:G1048576 G141:G217 G54:G133 G1:G42">
    <cfRule type="duplicateValues" dxfId="0" priority="65"/>
  </conditionalFormatting>
  <pageMargins left="0.51181102362204722" right="0.51181102362204722" top="0.78740157480314965" bottom="0.78740157480314965" header="0.31496062992125984" footer="0.31496062992125984"/>
  <pageSetup paperSize="9" scale="77" fitToHeight="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13148-6706-4C52-BC85-733462A1B58B}">
  <sheetPr>
    <pageSetUpPr fitToPage="1"/>
  </sheetPr>
  <dimension ref="A1:L33"/>
  <sheetViews>
    <sheetView showGridLines="0" tabSelected="1" workbookViewId="0">
      <selection activeCell="M30" sqref="M30"/>
    </sheetView>
  </sheetViews>
  <sheetFormatPr defaultRowHeight="14.4" x14ac:dyDescent="0.3"/>
  <cols>
    <col min="1" max="1" width="4.6640625" style="212" customWidth="1"/>
    <col min="2" max="2" width="73.109375" style="212" customWidth="1"/>
    <col min="3" max="3" width="9" style="213" customWidth="1"/>
    <col min="4" max="4" width="7.109375" style="214" customWidth="1"/>
    <col min="5" max="5" width="14.33203125" style="215" customWidth="1"/>
    <col min="6" max="6" width="8.6640625" style="215"/>
    <col min="7" max="7" width="15.44140625" style="214" hidden="1" customWidth="1"/>
    <col min="8" max="8" width="18.33203125" style="214" hidden="1" customWidth="1"/>
    <col min="9" max="9" width="9" style="216" customWidth="1"/>
    <col min="10" max="10" width="15.5546875" style="217" customWidth="1"/>
    <col min="12" max="12" width="12.5546875" bestFit="1" customWidth="1"/>
  </cols>
  <sheetData>
    <row r="1" spans="1:12" ht="25.8" x14ac:dyDescent="0.3">
      <c r="A1" s="382" t="s">
        <v>991</v>
      </c>
      <c r="B1" s="382"/>
      <c r="C1" s="382"/>
      <c r="D1" s="382"/>
      <c r="E1" s="382"/>
      <c r="F1" s="382"/>
      <c r="G1" s="382"/>
      <c r="H1" s="382"/>
      <c r="I1" s="382"/>
      <c r="J1" s="382"/>
    </row>
    <row r="2" spans="1:12" x14ac:dyDescent="0.3">
      <c r="A2" s="383" t="s">
        <v>130</v>
      </c>
      <c r="B2" s="384" t="s">
        <v>131</v>
      </c>
      <c r="C2" s="384" t="s">
        <v>492</v>
      </c>
      <c r="D2" s="384" t="s">
        <v>992</v>
      </c>
      <c r="E2" s="385" t="s">
        <v>993</v>
      </c>
      <c r="F2" s="385"/>
      <c r="G2" s="386" t="s">
        <v>994</v>
      </c>
      <c r="H2" s="386"/>
      <c r="I2" s="383" t="s">
        <v>496</v>
      </c>
      <c r="J2" s="383" t="s">
        <v>995</v>
      </c>
    </row>
    <row r="3" spans="1:12" x14ac:dyDescent="0.3">
      <c r="A3" s="383"/>
      <c r="B3" s="384"/>
      <c r="C3" s="384"/>
      <c r="D3" s="384"/>
      <c r="E3" s="269" t="s">
        <v>996</v>
      </c>
      <c r="F3" s="269" t="s">
        <v>362</v>
      </c>
      <c r="G3" s="270" t="s">
        <v>996</v>
      </c>
      <c r="H3" s="271" t="s">
        <v>997</v>
      </c>
      <c r="I3" s="383"/>
      <c r="J3" s="383"/>
    </row>
    <row r="4" spans="1:12" x14ac:dyDescent="0.3">
      <c r="A4" s="218">
        <v>1</v>
      </c>
      <c r="B4" s="218" t="s">
        <v>998</v>
      </c>
      <c r="C4" s="219" t="s">
        <v>999</v>
      </c>
      <c r="D4" s="219">
        <v>200</v>
      </c>
      <c r="E4" s="220">
        <v>15.3</v>
      </c>
      <c r="F4" s="220">
        <f>E4*D4</f>
        <v>3060</v>
      </c>
      <c r="G4" s="219"/>
      <c r="H4" s="219"/>
      <c r="I4" s="219">
        <v>88489</v>
      </c>
      <c r="J4" s="219" t="s">
        <v>1000</v>
      </c>
      <c r="K4" s="221"/>
      <c r="L4" s="221"/>
    </row>
    <row r="5" spans="1:12" x14ac:dyDescent="0.3">
      <c r="A5" s="218">
        <v>2</v>
      </c>
      <c r="B5" s="218" t="s">
        <v>1001</v>
      </c>
      <c r="C5" s="219" t="s">
        <v>999</v>
      </c>
      <c r="D5" s="219">
        <v>20</v>
      </c>
      <c r="E5" s="220">
        <v>17.57</v>
      </c>
      <c r="F5" s="220">
        <f t="shared" ref="F5:F28" si="0">E5*D5</f>
        <v>351.4</v>
      </c>
      <c r="G5" s="219"/>
      <c r="H5" s="219"/>
      <c r="I5" s="219">
        <v>88488</v>
      </c>
      <c r="J5" s="219" t="s">
        <v>1000</v>
      </c>
      <c r="K5" s="221"/>
      <c r="L5" s="221"/>
    </row>
    <row r="6" spans="1:12" x14ac:dyDescent="0.3">
      <c r="A6" s="218">
        <v>3</v>
      </c>
      <c r="B6" s="218" t="s">
        <v>1002</v>
      </c>
      <c r="C6" s="219" t="s">
        <v>999</v>
      </c>
      <c r="D6" s="219">
        <v>15</v>
      </c>
      <c r="E6" s="220">
        <v>24.03</v>
      </c>
      <c r="F6" s="220">
        <f t="shared" si="0"/>
        <v>360.45000000000005</v>
      </c>
      <c r="G6" s="219"/>
      <c r="H6" s="219"/>
      <c r="I6" s="219">
        <v>88494</v>
      </c>
      <c r="J6" s="219" t="s">
        <v>1000</v>
      </c>
      <c r="K6" s="221"/>
      <c r="L6" s="221"/>
    </row>
    <row r="7" spans="1:12" x14ac:dyDescent="0.3">
      <c r="A7" s="218">
        <v>4</v>
      </c>
      <c r="B7" s="218" t="s">
        <v>1003</v>
      </c>
      <c r="C7" s="219" t="s">
        <v>999</v>
      </c>
      <c r="D7" s="219">
        <v>15</v>
      </c>
      <c r="E7" s="220">
        <v>32.659999999999997</v>
      </c>
      <c r="F7" s="220">
        <f t="shared" si="0"/>
        <v>489.9</v>
      </c>
      <c r="G7" s="219"/>
      <c r="H7" s="219"/>
      <c r="I7" s="219">
        <v>88496</v>
      </c>
      <c r="J7" s="219" t="s">
        <v>1000</v>
      </c>
      <c r="K7" s="221"/>
      <c r="L7" s="221"/>
    </row>
    <row r="8" spans="1:12" x14ac:dyDescent="0.3">
      <c r="A8" s="218">
        <v>5</v>
      </c>
      <c r="B8" s="218" t="s">
        <v>1004</v>
      </c>
      <c r="C8" s="219" t="s">
        <v>999</v>
      </c>
      <c r="D8" s="219">
        <v>30</v>
      </c>
      <c r="E8" s="220">
        <v>13.18</v>
      </c>
      <c r="F8" s="220">
        <f t="shared" si="0"/>
        <v>395.4</v>
      </c>
      <c r="G8" s="219"/>
      <c r="H8" s="219"/>
      <c r="I8" s="219">
        <v>88495</v>
      </c>
      <c r="J8" s="219" t="s">
        <v>1000</v>
      </c>
      <c r="K8" s="221"/>
      <c r="L8" s="221"/>
    </row>
    <row r="9" spans="1:12" x14ac:dyDescent="0.3">
      <c r="A9" s="218">
        <v>6</v>
      </c>
      <c r="B9" s="218" t="s">
        <v>1005</v>
      </c>
      <c r="C9" s="219" t="s">
        <v>999</v>
      </c>
      <c r="D9" s="219">
        <v>15</v>
      </c>
      <c r="E9" s="220">
        <v>18.170000000000002</v>
      </c>
      <c r="F9" s="220">
        <f t="shared" si="0"/>
        <v>272.55</v>
      </c>
      <c r="G9" s="219"/>
      <c r="H9" s="219"/>
      <c r="I9" s="219">
        <v>88497</v>
      </c>
      <c r="J9" s="219" t="s">
        <v>1000</v>
      </c>
      <c r="K9" s="221"/>
      <c r="L9" s="221"/>
    </row>
    <row r="10" spans="1:12" x14ac:dyDescent="0.3">
      <c r="A10" s="218">
        <v>7</v>
      </c>
      <c r="B10" s="218" t="s">
        <v>1006</v>
      </c>
      <c r="C10" s="219" t="s">
        <v>999</v>
      </c>
      <c r="D10" s="219">
        <v>40</v>
      </c>
      <c r="E10" s="220">
        <v>17</v>
      </c>
      <c r="F10" s="220">
        <f t="shared" si="0"/>
        <v>680</v>
      </c>
      <c r="G10" s="219"/>
      <c r="H10" s="219"/>
      <c r="I10" s="219">
        <v>102218</v>
      </c>
      <c r="J10" s="219" t="s">
        <v>1000</v>
      </c>
      <c r="K10" s="221"/>
      <c r="L10" s="221"/>
    </row>
    <row r="11" spans="1:12" x14ac:dyDescent="0.3">
      <c r="A11" s="218">
        <v>8</v>
      </c>
      <c r="B11" s="218" t="s">
        <v>1007</v>
      </c>
      <c r="C11" s="219" t="s">
        <v>999</v>
      </c>
      <c r="D11" s="219">
        <v>40</v>
      </c>
      <c r="E11" s="220">
        <v>17.489999999999998</v>
      </c>
      <c r="F11" s="220">
        <f t="shared" si="0"/>
        <v>699.59999999999991</v>
      </c>
      <c r="G11" s="219"/>
      <c r="H11" s="219"/>
      <c r="I11" s="219">
        <v>102219</v>
      </c>
      <c r="J11" s="219" t="s">
        <v>1000</v>
      </c>
      <c r="K11" s="221"/>
      <c r="L11" s="221"/>
    </row>
    <row r="12" spans="1:12" x14ac:dyDescent="0.3">
      <c r="A12" s="218">
        <v>9</v>
      </c>
      <c r="B12" s="218" t="s">
        <v>1008</v>
      </c>
      <c r="C12" s="219" t="s">
        <v>1009</v>
      </c>
      <c r="D12" s="219">
        <v>5</v>
      </c>
      <c r="E12" s="220">
        <v>60.625</v>
      </c>
      <c r="F12" s="220">
        <f t="shared" si="0"/>
        <v>303.125</v>
      </c>
      <c r="G12" s="219"/>
      <c r="H12" s="219"/>
      <c r="I12" s="219"/>
      <c r="J12" s="219" t="s">
        <v>1010</v>
      </c>
      <c r="K12" s="221"/>
      <c r="L12" s="221"/>
    </row>
    <row r="13" spans="1:12" x14ac:dyDescent="0.3">
      <c r="A13" s="218">
        <v>10</v>
      </c>
      <c r="B13" s="218" t="s">
        <v>1011</v>
      </c>
      <c r="C13" s="219" t="s">
        <v>1009</v>
      </c>
      <c r="D13" s="219">
        <v>4</v>
      </c>
      <c r="E13" s="220">
        <v>102.5</v>
      </c>
      <c r="F13" s="220">
        <f t="shared" si="0"/>
        <v>410</v>
      </c>
      <c r="G13" s="219"/>
      <c r="H13" s="219"/>
      <c r="I13" s="219"/>
      <c r="J13" s="219" t="s">
        <v>1010</v>
      </c>
      <c r="K13" s="221"/>
      <c r="L13" s="221"/>
    </row>
    <row r="14" spans="1:12" x14ac:dyDescent="0.3">
      <c r="A14" s="218">
        <v>11</v>
      </c>
      <c r="B14" s="218" t="s">
        <v>1012</v>
      </c>
      <c r="C14" s="219" t="s">
        <v>1009</v>
      </c>
      <c r="D14" s="219">
        <v>8</v>
      </c>
      <c r="E14" s="220">
        <v>27.25</v>
      </c>
      <c r="F14" s="220">
        <f t="shared" si="0"/>
        <v>218</v>
      </c>
      <c r="G14" s="219"/>
      <c r="H14" s="219"/>
      <c r="I14" s="219"/>
      <c r="J14" s="219" t="s">
        <v>1010</v>
      </c>
      <c r="K14" s="221"/>
      <c r="L14" s="221"/>
    </row>
    <row r="15" spans="1:12" ht="20.399999999999999" x14ac:dyDescent="0.3">
      <c r="A15" s="218">
        <v>12</v>
      </c>
      <c r="B15" s="218" t="s">
        <v>1013</v>
      </c>
      <c r="C15" s="219" t="s">
        <v>1009</v>
      </c>
      <c r="D15" s="219">
        <v>2</v>
      </c>
      <c r="E15" s="220">
        <v>2650.9633333333331</v>
      </c>
      <c r="F15" s="220">
        <f t="shared" si="0"/>
        <v>5301.9266666666663</v>
      </c>
      <c r="G15" s="219"/>
      <c r="H15" s="219" t="s">
        <v>1014</v>
      </c>
      <c r="I15" s="219"/>
      <c r="J15" s="219" t="s">
        <v>1010</v>
      </c>
      <c r="K15" s="221"/>
      <c r="L15" s="221"/>
    </row>
    <row r="16" spans="1:12" ht="20.399999999999999" x14ac:dyDescent="0.3">
      <c r="A16" s="218">
        <v>13</v>
      </c>
      <c r="B16" s="218" t="s">
        <v>1015</v>
      </c>
      <c r="C16" s="219" t="s">
        <v>1009</v>
      </c>
      <c r="D16" s="219">
        <v>1</v>
      </c>
      <c r="E16" s="220">
        <v>13816.533333333333</v>
      </c>
      <c r="F16" s="220">
        <f t="shared" si="0"/>
        <v>13816.533333333333</v>
      </c>
      <c r="G16" s="219"/>
      <c r="H16" s="219"/>
      <c r="I16" s="219"/>
      <c r="J16" s="219" t="s">
        <v>1010</v>
      </c>
      <c r="K16" s="221"/>
      <c r="L16" s="221"/>
    </row>
    <row r="17" spans="1:12" x14ac:dyDescent="0.3">
      <c r="A17" s="218">
        <v>14</v>
      </c>
      <c r="B17" s="218" t="s">
        <v>1016</v>
      </c>
      <c r="C17" s="219" t="s">
        <v>1017</v>
      </c>
      <c r="D17" s="219">
        <v>100</v>
      </c>
      <c r="E17" s="220">
        <v>2.73</v>
      </c>
      <c r="F17" s="220">
        <f t="shared" si="0"/>
        <v>273</v>
      </c>
      <c r="G17" s="219"/>
      <c r="H17" s="219"/>
      <c r="I17" s="219">
        <v>91924</v>
      </c>
      <c r="J17" s="219" t="s">
        <v>1000</v>
      </c>
      <c r="K17" s="221"/>
      <c r="L17" s="221"/>
    </row>
    <row r="18" spans="1:12" x14ac:dyDescent="0.3">
      <c r="A18" s="218">
        <v>15</v>
      </c>
      <c r="B18" s="218" t="s">
        <v>1018</v>
      </c>
      <c r="C18" s="219" t="s">
        <v>1017</v>
      </c>
      <c r="D18" s="219">
        <v>100</v>
      </c>
      <c r="E18" s="220">
        <v>3.9</v>
      </c>
      <c r="F18" s="220">
        <f t="shared" si="0"/>
        <v>390</v>
      </c>
      <c r="G18" s="219"/>
      <c r="H18" s="219"/>
      <c r="I18" s="219">
        <v>91926</v>
      </c>
      <c r="J18" s="219" t="s">
        <v>1000</v>
      </c>
      <c r="K18" s="221"/>
      <c r="L18" s="221"/>
    </row>
    <row r="19" spans="1:12" x14ac:dyDescent="0.3">
      <c r="A19" s="218">
        <v>16</v>
      </c>
      <c r="B19" s="218" t="s">
        <v>1019</v>
      </c>
      <c r="C19" s="219" t="s">
        <v>1017</v>
      </c>
      <c r="D19" s="219">
        <v>20</v>
      </c>
      <c r="E19" s="220">
        <v>6.23</v>
      </c>
      <c r="F19" s="220">
        <f t="shared" si="0"/>
        <v>124.60000000000001</v>
      </c>
      <c r="G19" s="219"/>
      <c r="H19" s="219"/>
      <c r="I19" s="219">
        <v>91928</v>
      </c>
      <c r="J19" s="219" t="s">
        <v>1000</v>
      </c>
      <c r="K19" s="221"/>
      <c r="L19" s="221"/>
    </row>
    <row r="20" spans="1:12" x14ac:dyDescent="0.3">
      <c r="A20" s="218">
        <v>17</v>
      </c>
      <c r="B20" s="218" t="s">
        <v>1020</v>
      </c>
      <c r="C20" s="219" t="s">
        <v>1017</v>
      </c>
      <c r="D20" s="219">
        <v>20</v>
      </c>
      <c r="E20" s="220">
        <v>8.49</v>
      </c>
      <c r="F20" s="220">
        <f t="shared" si="0"/>
        <v>169.8</v>
      </c>
      <c r="G20" s="219"/>
      <c r="H20" s="219"/>
      <c r="I20" s="219">
        <v>91930</v>
      </c>
      <c r="J20" s="219" t="s">
        <v>1000</v>
      </c>
      <c r="K20" s="221"/>
      <c r="L20" s="221"/>
    </row>
    <row r="21" spans="1:12" x14ac:dyDescent="0.3">
      <c r="A21" s="218">
        <v>18</v>
      </c>
      <c r="B21" s="218" t="s">
        <v>1021</v>
      </c>
      <c r="C21" s="219" t="s">
        <v>1022</v>
      </c>
      <c r="D21" s="219">
        <v>1</v>
      </c>
      <c r="E21" s="220">
        <v>46</v>
      </c>
      <c r="F21" s="220">
        <f t="shared" si="0"/>
        <v>46</v>
      </c>
      <c r="G21" s="219"/>
      <c r="H21" s="219"/>
      <c r="I21" s="219"/>
      <c r="J21" s="219" t="s">
        <v>1010</v>
      </c>
      <c r="K21" s="221"/>
      <c r="L21" s="221"/>
    </row>
    <row r="22" spans="1:12" x14ac:dyDescent="0.3">
      <c r="A22" s="218">
        <v>19</v>
      </c>
      <c r="B22" s="218" t="s">
        <v>1023</v>
      </c>
      <c r="C22" s="219" t="s">
        <v>1022</v>
      </c>
      <c r="D22" s="219">
        <v>10</v>
      </c>
      <c r="E22" s="220">
        <v>8.6666666666666661</v>
      </c>
      <c r="F22" s="220">
        <f t="shared" si="0"/>
        <v>86.666666666666657</v>
      </c>
      <c r="G22" s="219"/>
      <c r="H22" s="219"/>
      <c r="I22" s="219"/>
      <c r="J22" s="219" t="s">
        <v>1010</v>
      </c>
      <c r="K22" s="221"/>
      <c r="L22" s="221"/>
    </row>
    <row r="23" spans="1:12" x14ac:dyDescent="0.3">
      <c r="A23" s="218">
        <v>20</v>
      </c>
      <c r="B23" s="218" t="s">
        <v>1024</v>
      </c>
      <c r="C23" s="219" t="s">
        <v>1022</v>
      </c>
      <c r="D23" s="219">
        <v>1</v>
      </c>
      <c r="E23" s="220">
        <v>89.666666666666671</v>
      </c>
      <c r="F23" s="220">
        <f t="shared" si="0"/>
        <v>89.666666666666671</v>
      </c>
      <c r="G23" s="219"/>
      <c r="H23" s="219"/>
      <c r="I23" s="219"/>
      <c r="J23" s="219" t="s">
        <v>1010</v>
      </c>
      <c r="K23" s="221"/>
      <c r="L23" s="221"/>
    </row>
    <row r="24" spans="1:12" x14ac:dyDescent="0.3">
      <c r="A24" s="218">
        <v>21</v>
      </c>
      <c r="B24" s="218" t="s">
        <v>1025</v>
      </c>
      <c r="C24" s="219" t="s">
        <v>1022</v>
      </c>
      <c r="D24" s="219">
        <v>10</v>
      </c>
      <c r="E24" s="220">
        <v>23.333333333333332</v>
      </c>
      <c r="F24" s="220">
        <f t="shared" si="0"/>
        <v>233.33333333333331</v>
      </c>
      <c r="G24" s="219"/>
      <c r="H24" s="219"/>
      <c r="I24" s="219"/>
      <c r="J24" s="219" t="s">
        <v>1010</v>
      </c>
      <c r="K24" s="221"/>
      <c r="L24" s="221"/>
    </row>
    <row r="25" spans="1:12" x14ac:dyDescent="0.3">
      <c r="A25" s="218">
        <v>22</v>
      </c>
      <c r="B25" s="218" t="s">
        <v>1026</v>
      </c>
      <c r="C25" s="219" t="s">
        <v>999</v>
      </c>
      <c r="D25" s="219">
        <v>20</v>
      </c>
      <c r="E25" s="220">
        <v>86.49</v>
      </c>
      <c r="F25" s="220">
        <f t="shared" si="0"/>
        <v>1729.8</v>
      </c>
      <c r="G25" s="219"/>
      <c r="H25" s="219"/>
      <c r="I25" s="219">
        <v>96358</v>
      </c>
      <c r="J25" s="219" t="s">
        <v>1000</v>
      </c>
      <c r="K25" s="221"/>
      <c r="L25" s="221"/>
    </row>
    <row r="26" spans="1:12" x14ac:dyDescent="0.3">
      <c r="A26" s="218">
        <v>23</v>
      </c>
      <c r="B26" s="218" t="s">
        <v>1027</v>
      </c>
      <c r="C26" s="219" t="s">
        <v>999</v>
      </c>
      <c r="D26" s="219">
        <v>20</v>
      </c>
      <c r="E26" s="220">
        <v>98.96</v>
      </c>
      <c r="F26" s="220">
        <f t="shared" si="0"/>
        <v>1979.1999999999998</v>
      </c>
      <c r="G26" s="219"/>
      <c r="H26" s="219"/>
      <c r="I26" s="219">
        <v>96359</v>
      </c>
      <c r="J26" s="219" t="s">
        <v>1000</v>
      </c>
      <c r="K26" s="221"/>
      <c r="L26" s="221"/>
    </row>
    <row r="27" spans="1:12" x14ac:dyDescent="0.3">
      <c r="A27" s="218">
        <v>24</v>
      </c>
      <c r="B27" s="218" t="s">
        <v>1028</v>
      </c>
      <c r="C27" s="219" t="s">
        <v>999</v>
      </c>
      <c r="D27" s="219">
        <v>20</v>
      </c>
      <c r="E27" s="220">
        <v>8.2200000000000006</v>
      </c>
      <c r="F27" s="220">
        <f t="shared" si="0"/>
        <v>164.4</v>
      </c>
      <c r="G27" s="219"/>
      <c r="H27" s="219"/>
      <c r="I27" s="219">
        <v>97638</v>
      </c>
      <c r="J27" s="219" t="s">
        <v>1000</v>
      </c>
      <c r="K27" s="221"/>
      <c r="L27" s="221"/>
    </row>
    <row r="28" spans="1:12" x14ac:dyDescent="0.3">
      <c r="A28" s="218">
        <v>25</v>
      </c>
      <c r="B28" s="218" t="s">
        <v>1029</v>
      </c>
      <c r="C28" s="219" t="s">
        <v>1022</v>
      </c>
      <c r="D28" s="219">
        <v>2</v>
      </c>
      <c r="E28" s="220">
        <v>1128.25</v>
      </c>
      <c r="F28" s="220">
        <f t="shared" si="0"/>
        <v>2256.5</v>
      </c>
      <c r="G28" s="219"/>
      <c r="H28" s="219"/>
      <c r="I28" s="219"/>
      <c r="J28" s="219" t="s">
        <v>1010</v>
      </c>
      <c r="K28" s="221"/>
      <c r="L28" s="221"/>
    </row>
    <row r="29" spans="1:12" x14ac:dyDescent="0.3">
      <c r="A29" s="209"/>
      <c r="B29" s="249" t="s">
        <v>1030</v>
      </c>
      <c r="C29" s="251"/>
      <c r="D29" s="251"/>
      <c r="E29" s="256">
        <f>SUM(F4:F28)</f>
        <v>33901.851666666669</v>
      </c>
      <c r="F29" s="246"/>
      <c r="G29" s="253" t="e">
        <f>SUM(#REF!)</f>
        <v>#REF!</v>
      </c>
      <c r="H29" s="253"/>
      <c r="I29" s="247"/>
      <c r="J29" s="210"/>
    </row>
    <row r="30" spans="1:12" x14ac:dyDescent="0.3">
      <c r="A30" s="209"/>
      <c r="B30" s="258"/>
      <c r="C30" s="257" t="s">
        <v>985</v>
      </c>
      <c r="D30" s="255">
        <f>BDI!D22</f>
        <v>0.23535496426352442</v>
      </c>
      <c r="E30" s="260">
        <f>$D$30*E29</f>
        <v>7978.9690874756398</v>
      </c>
      <c r="F30" s="248"/>
      <c r="G30" s="259" t="e">
        <f>$D$30*G29</f>
        <v>#REF!</v>
      </c>
      <c r="H30" s="259"/>
      <c r="I30" s="252"/>
      <c r="J30" s="211"/>
    </row>
    <row r="31" spans="1:12" x14ac:dyDescent="0.3">
      <c r="A31" s="209"/>
      <c r="B31" s="250" t="s">
        <v>986</v>
      </c>
      <c r="C31" s="254"/>
      <c r="D31" s="254"/>
      <c r="E31" s="262">
        <f>SUM(E29:F30)</f>
        <v>41880.820754142311</v>
      </c>
      <c r="F31" s="263"/>
      <c r="G31" s="264" t="e">
        <f>SUM(G29:H30)</f>
        <v>#REF!</v>
      </c>
      <c r="H31" s="264"/>
      <c r="I31" s="265"/>
      <c r="J31" s="211"/>
    </row>
    <row r="32" spans="1:12" x14ac:dyDescent="0.3">
      <c r="A32" s="209"/>
      <c r="B32" s="266" t="s">
        <v>448</v>
      </c>
      <c r="C32" s="267"/>
      <c r="D32" s="267"/>
      <c r="E32" s="262">
        <f>TRUNC(E31/12,2)</f>
        <v>3490.06</v>
      </c>
      <c r="F32" s="263"/>
      <c r="G32" s="264" t="e">
        <f>G31/12</f>
        <v>#REF!</v>
      </c>
      <c r="H32" s="264"/>
      <c r="I32" s="268"/>
      <c r="J32" s="211"/>
    </row>
    <row r="33" spans="2:10" x14ac:dyDescent="0.3">
      <c r="B33" s="250" t="s">
        <v>988</v>
      </c>
      <c r="C33" s="254"/>
      <c r="D33" s="254"/>
      <c r="E33" s="262">
        <f>TRUNC(E32*20,2)</f>
        <v>69801.2</v>
      </c>
      <c r="F33" s="263"/>
      <c r="G33" s="264" t="e">
        <f>SUM(G31:H32)</f>
        <v>#REF!</v>
      </c>
      <c r="H33" s="264"/>
      <c r="I33" s="265"/>
      <c r="J33" s="211"/>
    </row>
  </sheetData>
  <mergeCells count="9">
    <mergeCell ref="A1:J1"/>
    <mergeCell ref="A2:A3"/>
    <mergeCell ref="B2:B3"/>
    <mergeCell ref="C2:C3"/>
    <mergeCell ref="D2:D3"/>
    <mergeCell ref="E2:F2"/>
    <mergeCell ref="G2:H2"/>
    <mergeCell ref="I2:I3"/>
    <mergeCell ref="J2:J3"/>
  </mergeCells>
  <pageMargins left="0.51181102362204722" right="0.51181102362204722" top="0.78740157480314965" bottom="0.78740157480314965" header="0.31496062992125984" footer="0.31496062992125984"/>
  <pageSetup paperSize="9"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E95AC-551C-43E4-AD8D-BF7A6C9503DA}">
  <sheetPr>
    <pageSetUpPr fitToPage="1"/>
  </sheetPr>
  <dimension ref="B3:G22"/>
  <sheetViews>
    <sheetView showGridLines="0" workbookViewId="0">
      <selection activeCell="E24" sqref="E24"/>
    </sheetView>
  </sheetViews>
  <sheetFormatPr defaultRowHeight="14.4" x14ac:dyDescent="0.3"/>
  <cols>
    <col min="2" max="2" width="19.5546875" bestFit="1" customWidth="1"/>
    <col min="3" max="3" width="13.44140625" customWidth="1"/>
    <col min="4" max="4" width="17.109375" customWidth="1"/>
    <col min="5" max="5" width="16" customWidth="1"/>
    <col min="6" max="6" width="10.88671875" bestFit="1" customWidth="1"/>
    <col min="7" max="7" width="19.44140625" customWidth="1"/>
    <col min="10" max="10" width="9.5546875" bestFit="1" customWidth="1"/>
  </cols>
  <sheetData>
    <row r="3" spans="2:7" ht="15" thickBot="1" x14ac:dyDescent="0.35"/>
    <row r="4" spans="2:7" ht="15.6" thickTop="1" thickBot="1" x14ac:dyDescent="0.35">
      <c r="B4" s="391" t="s">
        <v>1031</v>
      </c>
      <c r="C4" s="391"/>
      <c r="D4" s="391"/>
      <c r="E4" s="391"/>
      <c r="F4" s="391"/>
      <c r="G4" s="391"/>
    </row>
    <row r="5" spans="2:7" ht="15.6" thickTop="1" thickBot="1" x14ac:dyDescent="0.35"/>
    <row r="6" spans="2:7" ht="15" thickTop="1" x14ac:dyDescent="0.3">
      <c r="B6" s="387" t="s">
        <v>44</v>
      </c>
      <c r="C6" s="387"/>
      <c r="D6" s="387"/>
      <c r="E6" s="387"/>
      <c r="F6" s="387"/>
      <c r="G6" s="387"/>
    </row>
    <row r="7" spans="2:7" ht="43.2" x14ac:dyDescent="0.3">
      <c r="B7" s="84" t="s">
        <v>453</v>
      </c>
      <c r="C7" s="84" t="s">
        <v>1032</v>
      </c>
      <c r="D7" s="85" t="s">
        <v>1033</v>
      </c>
      <c r="E7" s="85" t="s">
        <v>1034</v>
      </c>
      <c r="F7" s="85" t="s">
        <v>1035</v>
      </c>
      <c r="G7" s="85" t="s">
        <v>1036</v>
      </c>
    </row>
    <row r="8" spans="2:7" x14ac:dyDescent="0.3">
      <c r="B8" s="86" t="s">
        <v>1037</v>
      </c>
      <c r="C8" s="87" t="s">
        <v>1038</v>
      </c>
      <c r="D8" s="88">
        <v>2</v>
      </c>
      <c r="E8" s="88">
        <v>60</v>
      </c>
      <c r="F8" s="89">
        <f>'Pesquisa de preço'!H38</f>
        <v>1444.6733333333334</v>
      </c>
      <c r="G8" s="89">
        <f>ROUND((F8*D8)/E8,2)</f>
        <v>48.16</v>
      </c>
    </row>
    <row r="9" spans="2:7" x14ac:dyDescent="0.3">
      <c r="B9" s="389" t="s">
        <v>1039</v>
      </c>
      <c r="C9" s="389"/>
      <c r="D9" s="389"/>
      <c r="E9" s="389"/>
      <c r="F9" s="389"/>
      <c r="G9" s="90">
        <f>ROUND(SUM(G8:G8),2)</f>
        <v>48.16</v>
      </c>
    </row>
    <row r="10" spans="2:7" ht="15" thickBot="1" x14ac:dyDescent="0.35">
      <c r="B10" s="390" t="s">
        <v>1040</v>
      </c>
      <c r="C10" s="390"/>
      <c r="D10" s="390"/>
      <c r="E10" s="390"/>
      <c r="F10" s="390"/>
      <c r="G10" s="91">
        <f>ROUND(G9/22,2)</f>
        <v>2.19</v>
      </c>
    </row>
    <row r="11" spans="2:7" ht="15" thickTop="1" x14ac:dyDescent="0.3"/>
    <row r="12" spans="2:7" ht="15" thickBot="1" x14ac:dyDescent="0.35"/>
    <row r="13" spans="2:7" ht="15" thickTop="1" x14ac:dyDescent="0.3">
      <c r="B13" s="387" t="s">
        <v>1041</v>
      </c>
      <c r="C13" s="387"/>
      <c r="D13" s="387"/>
      <c r="E13" s="387"/>
      <c r="F13" s="387"/>
      <c r="G13" s="387"/>
    </row>
    <row r="14" spans="2:7" ht="43.2" x14ac:dyDescent="0.3">
      <c r="B14" s="78" t="s">
        <v>1042</v>
      </c>
      <c r="C14" s="78" t="s">
        <v>1043</v>
      </c>
      <c r="D14" s="78" t="s">
        <v>1044</v>
      </c>
      <c r="E14" s="78" t="s">
        <v>1045</v>
      </c>
      <c r="F14" s="78" t="s">
        <v>1046</v>
      </c>
      <c r="G14" s="78" t="s">
        <v>1047</v>
      </c>
    </row>
    <row r="15" spans="2:7" x14ac:dyDescent="0.3">
      <c r="B15" s="83">
        <v>300</v>
      </c>
      <c r="C15" s="83">
        <f>30000/4</f>
        <v>7500</v>
      </c>
      <c r="D15" s="83">
        <f>22*4</f>
        <v>88</v>
      </c>
      <c r="E15" s="83">
        <f>ROUND(C15/D15/30,0)</f>
        <v>3</v>
      </c>
      <c r="F15" s="83">
        <v>30</v>
      </c>
      <c r="G15" s="83">
        <f>F15/E15</f>
        <v>10</v>
      </c>
    </row>
    <row r="16" spans="2:7" x14ac:dyDescent="0.3">
      <c r="B16" s="389" t="s">
        <v>1039</v>
      </c>
      <c r="C16" s="389"/>
      <c r="D16" s="389"/>
      <c r="E16" s="389"/>
      <c r="F16" s="389"/>
      <c r="G16" s="90">
        <f>ROUND((1+(4/6))*'Pesquisa de preço'!H49,2)</f>
        <v>339.89</v>
      </c>
    </row>
    <row r="17" spans="2:7" ht="15" thickBot="1" x14ac:dyDescent="0.35">
      <c r="B17" s="390" t="s">
        <v>1040</v>
      </c>
      <c r="C17" s="390"/>
      <c r="D17" s="390"/>
      <c r="E17" s="390"/>
      <c r="F17" s="390"/>
      <c r="G17" s="91">
        <f>ROUND(G16/22/30,2)</f>
        <v>0.51</v>
      </c>
    </row>
    <row r="18" spans="2:7" ht="15" thickTop="1" x14ac:dyDescent="0.3"/>
    <row r="19" spans="2:7" ht="15" thickBot="1" x14ac:dyDescent="0.35"/>
    <row r="20" spans="2:7" ht="15" thickTop="1" x14ac:dyDescent="0.3">
      <c r="B20" s="387" t="s">
        <v>27</v>
      </c>
      <c r="C20" s="387"/>
      <c r="D20" s="387"/>
      <c r="E20" s="387"/>
      <c r="F20" s="387"/>
      <c r="G20" s="387"/>
    </row>
    <row r="21" spans="2:7" ht="15" thickBot="1" x14ac:dyDescent="0.35">
      <c r="B21" s="388" t="s">
        <v>1040</v>
      </c>
      <c r="C21" s="388"/>
      <c r="D21" s="388"/>
      <c r="E21" s="388"/>
      <c r="F21" s="388"/>
      <c r="G21" s="92">
        <f>'Pesquisa de preço'!H21</f>
        <v>3.2871428571428574</v>
      </c>
    </row>
    <row r="22" spans="2:7" ht="15" thickTop="1" x14ac:dyDescent="0.3"/>
  </sheetData>
  <mergeCells count="9">
    <mergeCell ref="B20:G20"/>
    <mergeCell ref="B21:F21"/>
    <mergeCell ref="B9:F9"/>
    <mergeCell ref="B10:F10"/>
    <mergeCell ref="B4:G4"/>
    <mergeCell ref="B6:G6"/>
    <mergeCell ref="B13:G13"/>
    <mergeCell ref="B16:F16"/>
    <mergeCell ref="B17:F17"/>
  </mergeCells>
  <pageMargins left="0.51181102362204722" right="0.51181102362204722" top="0.78740157480314965" bottom="0.78740157480314965" header="0.31496062992125984" footer="0.31496062992125984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00899-8D90-4FBD-9C9E-9E6FF5C66136}">
  <sheetPr>
    <pageSetUpPr fitToPage="1"/>
  </sheetPr>
  <dimension ref="B1:I8"/>
  <sheetViews>
    <sheetView showGridLines="0" workbookViewId="0">
      <selection activeCell="C26" sqref="C26"/>
    </sheetView>
  </sheetViews>
  <sheetFormatPr defaultRowHeight="14.4" x14ac:dyDescent="0.3"/>
  <cols>
    <col min="1" max="1" width="4.109375" customWidth="1"/>
    <col min="2" max="2" width="14" customWidth="1"/>
    <col min="3" max="3" width="46.5546875" customWidth="1"/>
    <col min="4" max="5" width="25.88671875" customWidth="1"/>
  </cols>
  <sheetData>
    <row r="1" spans="2:9" ht="21" customHeight="1" x14ac:dyDescent="0.3">
      <c r="B1" s="290" t="s">
        <v>1058</v>
      </c>
      <c r="C1" s="290"/>
      <c r="D1" s="290"/>
      <c r="E1" s="290"/>
      <c r="F1" s="106"/>
      <c r="G1" s="106"/>
      <c r="H1" s="106"/>
      <c r="I1" s="106"/>
    </row>
    <row r="2" spans="2:9" ht="15" thickBot="1" x14ac:dyDescent="0.35"/>
    <row r="3" spans="2:9" ht="15.6" thickTop="1" thickBot="1" x14ac:dyDescent="0.35">
      <c r="B3" s="120" t="s">
        <v>130</v>
      </c>
      <c r="C3" s="120" t="s">
        <v>131</v>
      </c>
      <c r="D3" s="121" t="s">
        <v>132</v>
      </c>
      <c r="E3" s="121" t="s">
        <v>133</v>
      </c>
    </row>
    <row r="4" spans="2:9" ht="40.049999999999997" customHeight="1" x14ac:dyDescent="0.3">
      <c r="B4" s="112">
        <v>1</v>
      </c>
      <c r="C4" s="113" t="s">
        <v>1059</v>
      </c>
      <c r="D4" s="114">
        <f>Eletricista!J133+'Of. Manut.'!J133+'Engenheiro Eletricista'!J52+'Mec. Refrig.'!J133+'Eng. Mec.'!J52</f>
        <v>18601.09</v>
      </c>
      <c r="E4" s="114">
        <f>TRUNC(D4*20,2)</f>
        <v>372021.8</v>
      </c>
    </row>
    <row r="5" spans="2:9" ht="40.049999999999997" customHeight="1" x14ac:dyDescent="0.3">
      <c r="B5" s="112">
        <v>2</v>
      </c>
      <c r="C5" s="272" t="s">
        <v>1060</v>
      </c>
      <c r="D5" s="114">
        <f>'Mat. Repos.'!H249</f>
        <v>3472.45</v>
      </c>
      <c r="E5" s="114">
        <f>TRUNC(D5*20,2)</f>
        <v>69449</v>
      </c>
    </row>
    <row r="6" spans="2:9" ht="40.049999999999997" customHeight="1" thickBot="1" x14ac:dyDescent="0.35">
      <c r="B6" s="112">
        <v>3</v>
      </c>
      <c r="C6" s="273" t="s">
        <v>1061</v>
      </c>
      <c r="D6" s="122">
        <f>'Serv. Eventuais'!E32</f>
        <v>3490.06</v>
      </c>
      <c r="E6" s="114">
        <f>TRUNC(D6*20,2)</f>
        <v>69801.2</v>
      </c>
    </row>
    <row r="7" spans="2:9" ht="15" thickBot="1" x14ac:dyDescent="0.35">
      <c r="B7" s="289" t="s">
        <v>139</v>
      </c>
      <c r="C7" s="289"/>
      <c r="D7" s="123">
        <f>SUM(D4,D5,D6)</f>
        <v>25563.600000000002</v>
      </c>
      <c r="E7" s="123">
        <f>SUM(E4,E5,E6)</f>
        <v>511272</v>
      </c>
    </row>
    <row r="8" spans="2:9" ht="15" thickTop="1" x14ac:dyDescent="0.3"/>
  </sheetData>
  <mergeCells count="2">
    <mergeCell ref="B7:C7"/>
    <mergeCell ref="B1:E1"/>
  </mergeCells>
  <pageMargins left="0.51181102362204722" right="0.51181102362204722" top="0.78740157480314965" bottom="0.78740157480314965" header="0.31496062992125984" footer="0.31496062992125984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9B4AC-4C5A-4EFA-A8FD-FD3364E7BA2F}">
  <sheetPr>
    <pageSetUpPr fitToPage="1"/>
  </sheetPr>
  <dimension ref="B1:M139"/>
  <sheetViews>
    <sheetView showGridLines="0" zoomScale="80" zoomScaleNormal="80" workbookViewId="0">
      <selection activeCell="J138" sqref="J138"/>
    </sheetView>
  </sheetViews>
  <sheetFormatPr defaultColWidth="8.88671875" defaultRowHeight="14.4" x14ac:dyDescent="0.3"/>
  <cols>
    <col min="1" max="1" width="3.44140625" customWidth="1"/>
    <col min="2" max="2" width="10.44140625" customWidth="1"/>
    <col min="3" max="3" width="49.5546875" bestFit="1" customWidth="1"/>
    <col min="8" max="8" width="9" bestFit="1" customWidth="1"/>
    <col min="9" max="9" width="9.44140625" bestFit="1" customWidth="1"/>
    <col min="10" max="10" width="25.44140625" customWidth="1"/>
    <col min="11" max="11" width="11.88671875" bestFit="1" customWidth="1"/>
    <col min="12" max="12" width="25.88671875" style="34" customWidth="1"/>
    <col min="13" max="13" width="63.44140625" style="34" customWidth="1"/>
  </cols>
  <sheetData>
    <row r="1" spans="2:10" x14ac:dyDescent="0.3">
      <c r="B1" s="326" t="s">
        <v>1058</v>
      </c>
      <c r="C1" s="326"/>
      <c r="D1" s="326"/>
      <c r="E1" s="326"/>
      <c r="F1" s="326"/>
      <c r="G1" s="326"/>
      <c r="H1" s="326"/>
      <c r="I1" s="326"/>
      <c r="J1" s="326"/>
    </row>
    <row r="2" spans="2:10" x14ac:dyDescent="0.3">
      <c r="B2" s="327" t="s">
        <v>140</v>
      </c>
      <c r="C2" s="327"/>
      <c r="D2" s="327"/>
      <c r="E2" s="327"/>
      <c r="F2" s="327"/>
      <c r="G2" s="327"/>
      <c r="H2" s="327"/>
      <c r="I2" s="327"/>
      <c r="J2" s="327"/>
    </row>
    <row r="3" spans="2:10" x14ac:dyDescent="0.3">
      <c r="B3" s="327" t="s">
        <v>141</v>
      </c>
      <c r="C3" s="327"/>
      <c r="D3" s="327"/>
      <c r="E3" s="327"/>
      <c r="F3" s="327"/>
      <c r="G3" s="327"/>
      <c r="H3" s="327"/>
      <c r="I3" s="327"/>
      <c r="J3" s="327"/>
    </row>
    <row r="4" spans="2:10" x14ac:dyDescent="0.3">
      <c r="B4" s="328" t="s">
        <v>142</v>
      </c>
      <c r="C4" s="328"/>
      <c r="D4" s="328"/>
      <c r="E4" s="328"/>
      <c r="F4" s="328"/>
      <c r="G4" s="328"/>
      <c r="H4" s="328"/>
      <c r="I4" s="328"/>
      <c r="J4" s="328"/>
    </row>
    <row r="5" spans="2:10" x14ac:dyDescent="0.3">
      <c r="B5" s="323"/>
      <c r="C5" s="323"/>
      <c r="D5" s="323"/>
      <c r="E5" s="323"/>
      <c r="F5" s="323"/>
      <c r="G5" s="323"/>
      <c r="H5" s="323"/>
      <c r="I5" s="323"/>
      <c r="J5" s="323"/>
    </row>
    <row r="6" spans="2:10" x14ac:dyDescent="0.3">
      <c r="B6" s="329" t="s">
        <v>143</v>
      </c>
      <c r="C6" s="329"/>
      <c r="D6" s="329"/>
      <c r="E6" s="329"/>
      <c r="F6" s="329"/>
      <c r="G6" s="329"/>
      <c r="H6" s="329"/>
      <c r="I6" s="329"/>
      <c r="J6" s="329"/>
    </row>
    <row r="7" spans="2:10" x14ac:dyDescent="0.3">
      <c r="B7" s="325"/>
      <c r="C7" s="325"/>
      <c r="D7" s="325"/>
      <c r="E7" s="325"/>
      <c r="F7" s="325"/>
      <c r="G7" s="325"/>
      <c r="H7" s="325"/>
      <c r="I7" s="325"/>
      <c r="J7" s="325"/>
    </row>
    <row r="8" spans="2:10" x14ac:dyDescent="0.3">
      <c r="B8" s="294" t="s">
        <v>144</v>
      </c>
      <c r="C8" s="294"/>
      <c r="D8" s="294"/>
      <c r="E8" s="294"/>
      <c r="F8" s="294"/>
      <c r="G8" s="294"/>
      <c r="H8" s="294"/>
      <c r="I8" s="294"/>
      <c r="J8" s="294"/>
    </row>
    <row r="9" spans="2:10" x14ac:dyDescent="0.3">
      <c r="B9" s="22" t="s">
        <v>134</v>
      </c>
      <c r="C9" s="291" t="s">
        <v>145</v>
      </c>
      <c r="D9" s="291"/>
      <c r="E9" s="291"/>
      <c r="F9" s="291"/>
      <c r="G9" s="291"/>
      <c r="H9" s="291"/>
      <c r="I9" s="321"/>
      <c r="J9" s="322"/>
    </row>
    <row r="10" spans="2:10" x14ac:dyDescent="0.3">
      <c r="B10" s="22" t="s">
        <v>137</v>
      </c>
      <c r="C10" s="291" t="s">
        <v>146</v>
      </c>
      <c r="D10" s="291"/>
      <c r="E10" s="291"/>
      <c r="F10" s="291"/>
      <c r="G10" s="291"/>
      <c r="H10" s="291"/>
      <c r="I10" s="322" t="s">
        <v>147</v>
      </c>
      <c r="J10" s="322"/>
    </row>
    <row r="11" spans="2:10" ht="44.4" customHeight="1" x14ac:dyDescent="0.3">
      <c r="B11" s="22" t="s">
        <v>148</v>
      </c>
      <c r="C11" s="291" t="s">
        <v>149</v>
      </c>
      <c r="D11" s="291"/>
      <c r="E11" s="291"/>
      <c r="F11" s="291"/>
      <c r="G11" s="291"/>
      <c r="H11" s="291"/>
      <c r="I11" s="330" t="s">
        <v>150</v>
      </c>
      <c r="J11" s="322"/>
    </row>
    <row r="12" spans="2:10" x14ac:dyDescent="0.3">
      <c r="B12" s="22" t="s">
        <v>151</v>
      </c>
      <c r="C12" s="291" t="s">
        <v>152</v>
      </c>
      <c r="D12" s="291"/>
      <c r="E12" s="291"/>
      <c r="F12" s="291"/>
      <c r="G12" s="291"/>
      <c r="H12" s="291"/>
      <c r="I12" s="322">
        <v>20</v>
      </c>
      <c r="J12" s="322"/>
    </row>
    <row r="13" spans="2:10" x14ac:dyDescent="0.3">
      <c r="B13" s="102"/>
      <c r="C13" s="97"/>
      <c r="D13" s="97"/>
      <c r="E13" s="97"/>
      <c r="F13" s="97"/>
      <c r="G13" s="97"/>
      <c r="H13" s="97"/>
      <c r="I13" s="102"/>
      <c r="J13" s="102"/>
    </row>
    <row r="14" spans="2:10" x14ac:dyDescent="0.3">
      <c r="B14" s="294" t="s">
        <v>153</v>
      </c>
      <c r="C14" s="294"/>
      <c r="D14" s="294"/>
      <c r="E14" s="294"/>
      <c r="F14" s="294"/>
      <c r="G14" s="294"/>
      <c r="H14" s="294"/>
      <c r="I14" s="294"/>
      <c r="J14" s="294"/>
    </row>
    <row r="15" spans="2:10" x14ac:dyDescent="0.3">
      <c r="B15" s="322" t="s">
        <v>154</v>
      </c>
      <c r="C15" s="322"/>
      <c r="D15" s="322" t="s">
        <v>155</v>
      </c>
      <c r="E15" s="322"/>
      <c r="F15" s="322" t="s">
        <v>156</v>
      </c>
      <c r="G15" s="322"/>
      <c r="H15" s="322"/>
      <c r="I15" s="322"/>
      <c r="J15" s="322"/>
    </row>
    <row r="16" spans="2:10" x14ac:dyDescent="0.3">
      <c r="B16" s="322" t="s">
        <v>157</v>
      </c>
      <c r="C16" s="322"/>
      <c r="D16" s="322" t="s">
        <v>158</v>
      </c>
      <c r="E16" s="322"/>
      <c r="F16" s="322">
        <v>1</v>
      </c>
      <c r="G16" s="322"/>
      <c r="H16" s="322"/>
      <c r="I16" s="322"/>
      <c r="J16" s="322"/>
    </row>
    <row r="17" spans="2:13" x14ac:dyDescent="0.3">
      <c r="B17" s="102"/>
      <c r="C17" s="97"/>
      <c r="D17" s="97"/>
      <c r="E17" s="97"/>
      <c r="F17" s="97"/>
      <c r="G17" s="97"/>
      <c r="H17" s="97"/>
      <c r="I17" s="102"/>
      <c r="J17" s="102"/>
    </row>
    <row r="18" spans="2:13" x14ac:dyDescent="0.3">
      <c r="B18" s="294" t="s">
        <v>159</v>
      </c>
      <c r="C18" s="294"/>
      <c r="D18" s="294"/>
      <c r="E18" s="294"/>
      <c r="F18" s="294"/>
      <c r="G18" s="294"/>
      <c r="H18" s="294"/>
      <c r="I18" s="294"/>
      <c r="J18" s="294"/>
    </row>
    <row r="19" spans="2:13" x14ac:dyDescent="0.3">
      <c r="B19" s="22">
        <v>1</v>
      </c>
      <c r="C19" s="291" t="s">
        <v>160</v>
      </c>
      <c r="D19" s="291"/>
      <c r="E19" s="291"/>
      <c r="F19" s="291"/>
      <c r="G19" s="291"/>
      <c r="H19" s="291"/>
      <c r="I19" s="322" t="s">
        <v>161</v>
      </c>
      <c r="J19" s="322"/>
    </row>
    <row r="20" spans="2:13" x14ac:dyDescent="0.3">
      <c r="B20" s="22">
        <v>2</v>
      </c>
      <c r="C20" s="291" t="s">
        <v>162</v>
      </c>
      <c r="D20" s="291"/>
      <c r="E20" s="291"/>
      <c r="F20" s="291"/>
      <c r="G20" s="291"/>
      <c r="H20" s="291"/>
      <c r="I20" s="322" t="s">
        <v>163</v>
      </c>
      <c r="J20" s="322"/>
    </row>
    <row r="21" spans="2:13" x14ac:dyDescent="0.3">
      <c r="B21" s="22">
        <v>3</v>
      </c>
      <c r="C21" s="291" t="s">
        <v>164</v>
      </c>
      <c r="D21" s="291"/>
      <c r="E21" s="291"/>
      <c r="F21" s="291"/>
      <c r="G21" s="291"/>
      <c r="H21" s="291"/>
      <c r="I21" s="324">
        <v>2030.19</v>
      </c>
      <c r="J21" s="322"/>
    </row>
    <row r="22" spans="2:13" x14ac:dyDescent="0.3">
      <c r="B22" s="22">
        <v>4</v>
      </c>
      <c r="C22" s="291" t="s">
        <v>165</v>
      </c>
      <c r="D22" s="291"/>
      <c r="E22" s="291"/>
      <c r="F22" s="291"/>
      <c r="G22" s="291"/>
      <c r="H22" s="291"/>
      <c r="I22" s="292" t="s">
        <v>157</v>
      </c>
      <c r="J22" s="292"/>
    </row>
    <row r="23" spans="2:13" x14ac:dyDescent="0.3">
      <c r="B23" s="22">
        <v>5</v>
      </c>
      <c r="C23" s="291" t="s">
        <v>166</v>
      </c>
      <c r="D23" s="291"/>
      <c r="E23" s="291"/>
      <c r="F23" s="291"/>
      <c r="G23" s="291"/>
      <c r="H23" s="291"/>
      <c r="I23" s="321" t="s">
        <v>167</v>
      </c>
      <c r="J23" s="322"/>
    </row>
    <row r="24" spans="2:13" x14ac:dyDescent="0.3">
      <c r="B24" s="323"/>
      <c r="C24" s="323"/>
      <c r="D24" s="323"/>
      <c r="E24" s="323"/>
      <c r="F24" s="323"/>
      <c r="G24" s="323"/>
      <c r="H24" s="323"/>
      <c r="I24" s="323"/>
      <c r="J24" s="323"/>
    </row>
    <row r="25" spans="2:13" x14ac:dyDescent="0.3">
      <c r="B25" s="303" t="s">
        <v>168</v>
      </c>
      <c r="C25" s="303"/>
      <c r="D25" s="303"/>
      <c r="E25" s="303"/>
      <c r="F25" s="303"/>
      <c r="G25" s="303"/>
      <c r="H25" s="303"/>
      <c r="I25" s="303"/>
      <c r="J25" s="303"/>
    </row>
    <row r="26" spans="2:13" x14ac:dyDescent="0.3">
      <c r="B26" s="3">
        <v>1</v>
      </c>
      <c r="C26" s="292" t="s">
        <v>169</v>
      </c>
      <c r="D26" s="292"/>
      <c r="E26" s="292"/>
      <c r="F26" s="292"/>
      <c r="G26" s="292"/>
      <c r="H26" s="292"/>
      <c r="I26" s="3" t="s">
        <v>170</v>
      </c>
      <c r="J26" s="3" t="s">
        <v>171</v>
      </c>
      <c r="L26" s="237" t="s">
        <v>172</v>
      </c>
      <c r="M26" s="237" t="s">
        <v>173</v>
      </c>
    </row>
    <row r="27" spans="2:13" x14ac:dyDescent="0.3">
      <c r="B27" s="3" t="s">
        <v>134</v>
      </c>
      <c r="C27" s="291" t="s">
        <v>174</v>
      </c>
      <c r="D27" s="291"/>
      <c r="E27" s="291"/>
      <c r="F27" s="291"/>
      <c r="G27" s="291"/>
      <c r="H27" s="291"/>
      <c r="I27" s="99"/>
      <c r="J27" s="1">
        <v>2030.19</v>
      </c>
      <c r="L27" s="35"/>
      <c r="M27" s="36" t="s">
        <v>175</v>
      </c>
    </row>
    <row r="28" spans="2:13" x14ac:dyDescent="0.3">
      <c r="B28" s="3" t="s">
        <v>137</v>
      </c>
      <c r="C28" s="291" t="s">
        <v>176</v>
      </c>
      <c r="D28" s="291"/>
      <c r="E28" s="291"/>
      <c r="F28" s="291"/>
      <c r="G28" s="291"/>
      <c r="H28" s="291"/>
      <c r="I28" s="2">
        <v>0.3</v>
      </c>
      <c r="J28" s="1">
        <f>TRUNC($J$27*I28,2)</f>
        <v>609.04999999999995</v>
      </c>
      <c r="L28" s="35"/>
      <c r="M28" s="36" t="s">
        <v>177</v>
      </c>
    </row>
    <row r="29" spans="2:13" x14ac:dyDescent="0.3">
      <c r="B29" s="3" t="s">
        <v>148</v>
      </c>
      <c r="C29" s="291" t="s">
        <v>178</v>
      </c>
      <c r="D29" s="291"/>
      <c r="E29" s="291"/>
      <c r="F29" s="291"/>
      <c r="G29" s="291"/>
      <c r="H29" s="291"/>
      <c r="I29" s="2"/>
      <c r="J29" s="1">
        <f t="shared" ref="J29:J32" si="0">TRUNC($J$27*I29,2)</f>
        <v>0</v>
      </c>
    </row>
    <row r="30" spans="2:13" x14ac:dyDescent="0.3">
      <c r="B30" s="3" t="s">
        <v>151</v>
      </c>
      <c r="C30" s="291" t="s">
        <v>179</v>
      </c>
      <c r="D30" s="291"/>
      <c r="E30" s="291"/>
      <c r="F30" s="291"/>
      <c r="G30" s="291"/>
      <c r="H30" s="291"/>
      <c r="I30" s="2"/>
      <c r="J30" s="1">
        <f t="shared" si="0"/>
        <v>0</v>
      </c>
      <c r="K30" s="34"/>
    </row>
    <row r="31" spans="2:13" x14ac:dyDescent="0.3">
      <c r="B31" s="3" t="s">
        <v>180</v>
      </c>
      <c r="C31" s="291" t="s">
        <v>181</v>
      </c>
      <c r="D31" s="291"/>
      <c r="E31" s="291"/>
      <c r="F31" s="291"/>
      <c r="G31" s="291"/>
      <c r="H31" s="291"/>
      <c r="I31" s="4"/>
      <c r="J31" s="1">
        <f t="shared" si="0"/>
        <v>0</v>
      </c>
    </row>
    <row r="32" spans="2:13" x14ac:dyDescent="0.3">
      <c r="B32" s="3" t="s">
        <v>182</v>
      </c>
      <c r="C32" s="291" t="s">
        <v>183</v>
      </c>
      <c r="D32" s="291"/>
      <c r="E32" s="291"/>
      <c r="F32" s="291"/>
      <c r="G32" s="291"/>
      <c r="H32" s="291"/>
      <c r="I32" s="2"/>
      <c r="J32" s="1">
        <f t="shared" si="0"/>
        <v>0</v>
      </c>
    </row>
    <row r="33" spans="2:13" x14ac:dyDescent="0.3">
      <c r="B33" s="292" t="s">
        <v>184</v>
      </c>
      <c r="C33" s="292"/>
      <c r="D33" s="292"/>
      <c r="E33" s="292"/>
      <c r="F33" s="292"/>
      <c r="G33" s="292"/>
      <c r="H33" s="292"/>
      <c r="I33" s="292"/>
      <c r="J33" s="5">
        <f>SUM(J27:J32)</f>
        <v>2639.24</v>
      </c>
    </row>
    <row r="34" spans="2:13" x14ac:dyDescent="0.3">
      <c r="B34" s="6"/>
      <c r="C34" s="6"/>
      <c r="D34" s="6"/>
      <c r="E34" s="6"/>
      <c r="F34" s="6"/>
      <c r="G34" s="6"/>
      <c r="H34" s="6"/>
      <c r="I34" s="6"/>
      <c r="J34" s="7"/>
    </row>
    <row r="35" spans="2:13" x14ac:dyDescent="0.3">
      <c r="B35" s="303" t="s">
        <v>185</v>
      </c>
      <c r="C35" s="303"/>
      <c r="D35" s="303"/>
      <c r="E35" s="303"/>
      <c r="F35" s="303"/>
      <c r="G35" s="303"/>
      <c r="H35" s="303"/>
      <c r="I35" s="303"/>
      <c r="J35" s="303"/>
    </row>
    <row r="36" spans="2:13" x14ac:dyDescent="0.3">
      <c r="B36" s="318" t="s">
        <v>186</v>
      </c>
      <c r="C36" s="318"/>
      <c r="D36" s="318"/>
      <c r="E36" s="318"/>
      <c r="F36" s="318"/>
      <c r="G36" s="318"/>
      <c r="H36" s="318"/>
      <c r="I36" s="101" t="s">
        <v>170</v>
      </c>
      <c r="J36" s="101" t="s">
        <v>171</v>
      </c>
      <c r="L36" s="237" t="s">
        <v>172</v>
      </c>
      <c r="M36" s="237" t="s">
        <v>173</v>
      </c>
    </row>
    <row r="37" spans="2:13" ht="27.6" x14ac:dyDescent="0.3">
      <c r="B37" s="3" t="s">
        <v>134</v>
      </c>
      <c r="C37" s="291" t="s">
        <v>187</v>
      </c>
      <c r="D37" s="291"/>
      <c r="E37" s="291"/>
      <c r="F37" s="291"/>
      <c r="G37" s="291"/>
      <c r="H37" s="291"/>
      <c r="I37" s="8">
        <v>8.3299999999999999E-2</v>
      </c>
      <c r="J37" s="1">
        <f>TRUNC($J$33*I37,2)</f>
        <v>219.84</v>
      </c>
      <c r="K37" s="32"/>
      <c r="L37" s="35"/>
      <c r="M37" s="37" t="s">
        <v>188</v>
      </c>
    </row>
    <row r="38" spans="2:13" ht="27.6" x14ac:dyDescent="0.3">
      <c r="B38" s="3" t="s">
        <v>137</v>
      </c>
      <c r="C38" s="291" t="s">
        <v>189</v>
      </c>
      <c r="D38" s="291"/>
      <c r="E38" s="291"/>
      <c r="F38" s="291"/>
      <c r="G38" s="291"/>
      <c r="H38" s="291"/>
      <c r="I38" s="9">
        <v>0.121</v>
      </c>
      <c r="J38" s="1">
        <f>TRUNC($J$33*I38,2)</f>
        <v>319.33999999999997</v>
      </c>
      <c r="K38" s="32"/>
      <c r="L38" s="38" t="s">
        <v>190</v>
      </c>
      <c r="M38" s="37" t="s">
        <v>191</v>
      </c>
    </row>
    <row r="39" spans="2:13" x14ac:dyDescent="0.3">
      <c r="B39" s="292" t="s">
        <v>192</v>
      </c>
      <c r="C39" s="292"/>
      <c r="D39" s="292"/>
      <c r="E39" s="292"/>
      <c r="F39" s="292"/>
      <c r="G39" s="292"/>
      <c r="H39" s="292"/>
      <c r="I39" s="10">
        <f>SUM(I37:I38)</f>
        <v>0.20429999999999998</v>
      </c>
      <c r="J39" s="5">
        <f>SUM(J37:J38)</f>
        <v>539.17999999999995</v>
      </c>
      <c r="K39" s="33"/>
    </row>
    <row r="40" spans="2:13" x14ac:dyDescent="0.3">
      <c r="B40" s="319"/>
      <c r="C40" s="320"/>
      <c r="D40" s="320"/>
      <c r="E40" s="320"/>
      <c r="F40" s="320"/>
      <c r="G40" s="320"/>
      <c r="H40" s="320"/>
      <c r="I40" s="320"/>
      <c r="J40" s="320"/>
    </row>
    <row r="41" spans="2:13" x14ac:dyDescent="0.3">
      <c r="B41" s="318" t="s">
        <v>193</v>
      </c>
      <c r="C41" s="318"/>
      <c r="D41" s="318"/>
      <c r="E41" s="318"/>
      <c r="F41" s="318"/>
      <c r="G41" s="318"/>
      <c r="H41" s="318"/>
      <c r="I41" s="101" t="s">
        <v>170</v>
      </c>
      <c r="J41" s="101" t="s">
        <v>171</v>
      </c>
      <c r="L41" s="237" t="s">
        <v>172</v>
      </c>
      <c r="M41" s="237" t="s">
        <v>173</v>
      </c>
    </row>
    <row r="42" spans="2:13" x14ac:dyDescent="0.3">
      <c r="B42" s="3" t="s">
        <v>134</v>
      </c>
      <c r="C42" s="291" t="s">
        <v>194</v>
      </c>
      <c r="D42" s="291"/>
      <c r="E42" s="291"/>
      <c r="F42" s="291"/>
      <c r="G42" s="291"/>
      <c r="H42" s="291"/>
      <c r="I42" s="8">
        <v>0.2</v>
      </c>
      <c r="J42" s="1">
        <f>TRUNC(($J$33+$J$39)*$I$42,2)</f>
        <v>635.67999999999995</v>
      </c>
      <c r="L42" s="35"/>
      <c r="M42" s="39" t="s">
        <v>195</v>
      </c>
    </row>
    <row r="43" spans="2:13" x14ac:dyDescent="0.3">
      <c r="B43" s="3" t="s">
        <v>137</v>
      </c>
      <c r="C43" s="291" t="s">
        <v>196</v>
      </c>
      <c r="D43" s="291"/>
      <c r="E43" s="291"/>
      <c r="F43" s="291"/>
      <c r="G43" s="291"/>
      <c r="H43" s="291"/>
      <c r="I43" s="8">
        <v>2.5000000000000001E-2</v>
      </c>
      <c r="J43" s="1">
        <f>TRUNC(($J$33+$J$39)*$I$43,2)</f>
        <v>79.459999999999994</v>
      </c>
      <c r="L43" s="35"/>
      <c r="M43" s="39" t="s">
        <v>197</v>
      </c>
    </row>
    <row r="44" spans="2:13" x14ac:dyDescent="0.3">
      <c r="B44" s="3" t="s">
        <v>148</v>
      </c>
      <c r="C44" s="291" t="s">
        <v>198</v>
      </c>
      <c r="D44" s="291"/>
      <c r="E44" s="291"/>
      <c r="F44" s="291"/>
      <c r="G44" s="291"/>
      <c r="H44" s="291"/>
      <c r="I44" s="8">
        <v>0.03</v>
      </c>
      <c r="J44" s="1">
        <f>TRUNC(($J$33+$J$39)*$I$44,2)</f>
        <v>95.35</v>
      </c>
      <c r="L44" s="38" t="s">
        <v>199</v>
      </c>
      <c r="M44" s="39" t="s">
        <v>200</v>
      </c>
    </row>
    <row r="45" spans="2:13" x14ac:dyDescent="0.3">
      <c r="B45" s="3" t="s">
        <v>151</v>
      </c>
      <c r="C45" s="291" t="s">
        <v>201</v>
      </c>
      <c r="D45" s="291"/>
      <c r="E45" s="291"/>
      <c r="F45" s="291"/>
      <c r="G45" s="291"/>
      <c r="H45" s="291"/>
      <c r="I45" s="8">
        <v>1.4999999999999999E-2</v>
      </c>
      <c r="J45" s="1">
        <f>TRUNC(($J$33+$J$39)*$I$45,2)</f>
        <v>47.67</v>
      </c>
      <c r="L45" s="35"/>
      <c r="M45" s="39" t="s">
        <v>202</v>
      </c>
    </row>
    <row r="46" spans="2:13" x14ac:dyDescent="0.3">
      <c r="B46" s="3" t="s">
        <v>180</v>
      </c>
      <c r="C46" s="291" t="s">
        <v>203</v>
      </c>
      <c r="D46" s="291"/>
      <c r="E46" s="291"/>
      <c r="F46" s="291"/>
      <c r="G46" s="291"/>
      <c r="H46" s="291"/>
      <c r="I46" s="8">
        <v>0.01</v>
      </c>
      <c r="J46" s="1">
        <f>TRUNC(($J$33+$J$39)*$I$46,2)</f>
        <v>31.78</v>
      </c>
      <c r="L46" s="35"/>
      <c r="M46" s="39" t="s">
        <v>204</v>
      </c>
    </row>
    <row r="47" spans="2:13" x14ac:dyDescent="0.3">
      <c r="B47" s="3" t="s">
        <v>182</v>
      </c>
      <c r="C47" s="291" t="s">
        <v>205</v>
      </c>
      <c r="D47" s="291"/>
      <c r="E47" s="291"/>
      <c r="F47" s="291"/>
      <c r="G47" s="291"/>
      <c r="H47" s="291"/>
      <c r="I47" s="8">
        <v>6.0000000000000001E-3</v>
      </c>
      <c r="J47" s="1">
        <f>TRUNC(($J$33+$J$39)*$I$47,2)</f>
        <v>19.07</v>
      </c>
      <c r="L47" s="35"/>
      <c r="M47" s="40" t="s">
        <v>206</v>
      </c>
    </row>
    <row r="48" spans="2:13" x14ac:dyDescent="0.3">
      <c r="B48" s="3" t="s">
        <v>207</v>
      </c>
      <c r="C48" s="291" t="s">
        <v>208</v>
      </c>
      <c r="D48" s="291"/>
      <c r="E48" s="291"/>
      <c r="F48" s="291"/>
      <c r="G48" s="291"/>
      <c r="H48" s="291"/>
      <c r="I48" s="8">
        <v>2E-3</v>
      </c>
      <c r="J48" s="1">
        <f>TRUNC(($J$33+$J$39)*$I$48,2)</f>
        <v>6.35</v>
      </c>
      <c r="L48" s="35"/>
      <c r="M48" s="39" t="s">
        <v>204</v>
      </c>
    </row>
    <row r="49" spans="2:13" x14ac:dyDescent="0.3">
      <c r="B49" s="3" t="s">
        <v>209</v>
      </c>
      <c r="C49" s="291" t="s">
        <v>210</v>
      </c>
      <c r="D49" s="291"/>
      <c r="E49" s="291"/>
      <c r="F49" s="291"/>
      <c r="G49" s="291"/>
      <c r="H49" s="291"/>
      <c r="I49" s="8">
        <v>0.08</v>
      </c>
      <c r="J49" s="1">
        <f>TRUNC(($J$33+$J$39)*$I$49,2)</f>
        <v>254.27</v>
      </c>
      <c r="L49" s="35"/>
      <c r="M49" s="39" t="s">
        <v>211</v>
      </c>
    </row>
    <row r="50" spans="2:13" x14ac:dyDescent="0.3">
      <c r="B50" s="292" t="s">
        <v>212</v>
      </c>
      <c r="C50" s="292"/>
      <c r="D50" s="292"/>
      <c r="E50" s="292"/>
      <c r="F50" s="292"/>
      <c r="G50" s="292"/>
      <c r="H50" s="292"/>
      <c r="I50" s="10">
        <f>SUM(I42:I49)</f>
        <v>0.36800000000000005</v>
      </c>
      <c r="J50" s="5">
        <f>SUM(J42:J49)</f>
        <v>1169.6300000000001</v>
      </c>
    </row>
    <row r="51" spans="2:13" x14ac:dyDescent="0.3">
      <c r="B51" s="313"/>
      <c r="C51" s="313"/>
      <c r="D51" s="313"/>
      <c r="E51" s="313"/>
      <c r="F51" s="313"/>
      <c r="G51" s="313"/>
      <c r="H51" s="313"/>
      <c r="I51" s="313"/>
      <c r="J51" s="314"/>
    </row>
    <row r="52" spans="2:13" x14ac:dyDescent="0.3">
      <c r="B52" s="318" t="s">
        <v>213</v>
      </c>
      <c r="C52" s="318"/>
      <c r="D52" s="318"/>
      <c r="E52" s="318"/>
      <c r="F52" s="318"/>
      <c r="G52" s="318"/>
      <c r="H52" s="318"/>
      <c r="I52" s="29"/>
      <c r="J52" s="101" t="s">
        <v>171</v>
      </c>
      <c r="L52" s="237" t="s">
        <v>172</v>
      </c>
      <c r="M52" s="237" t="s">
        <v>173</v>
      </c>
    </row>
    <row r="53" spans="2:13" x14ac:dyDescent="0.3">
      <c r="B53" s="3" t="s">
        <v>134</v>
      </c>
      <c r="C53" s="300" t="s">
        <v>214</v>
      </c>
      <c r="D53" s="300"/>
      <c r="E53" s="300"/>
      <c r="F53" s="300"/>
      <c r="G53" s="300"/>
      <c r="H53" s="300"/>
      <c r="I53" s="22" t="s">
        <v>24</v>
      </c>
      <c r="J53" s="11">
        <f>TRUNC((5.2*2*22)-(6%*J27),2)</f>
        <v>106.98</v>
      </c>
      <c r="L53" s="238" t="s">
        <v>215</v>
      </c>
      <c r="M53" s="238" t="s">
        <v>216</v>
      </c>
    </row>
    <row r="54" spans="2:13" x14ac:dyDescent="0.3">
      <c r="B54" s="3" t="s">
        <v>137</v>
      </c>
      <c r="C54" s="300" t="s">
        <v>217</v>
      </c>
      <c r="D54" s="300"/>
      <c r="E54" s="300"/>
      <c r="F54" s="300"/>
      <c r="G54" s="300"/>
      <c r="H54" s="300"/>
      <c r="I54" s="22" t="s">
        <v>24</v>
      </c>
      <c r="J54" s="141">
        <f>TRUNC(((24.5)*22*0.95),2)</f>
        <v>512.04999999999995</v>
      </c>
      <c r="L54" s="36" t="s">
        <v>218</v>
      </c>
      <c r="M54" s="36" t="s">
        <v>219</v>
      </c>
    </row>
    <row r="55" spans="2:13" x14ac:dyDescent="0.3">
      <c r="B55" s="3" t="s">
        <v>148</v>
      </c>
      <c r="C55" s="315" t="s">
        <v>220</v>
      </c>
      <c r="D55" s="316"/>
      <c r="E55" s="316"/>
      <c r="F55" s="316"/>
      <c r="G55" s="316"/>
      <c r="H55" s="317"/>
      <c r="I55" s="22" t="s">
        <v>24</v>
      </c>
      <c r="J55" s="141">
        <f>TRUNC(1%*J33,2)</f>
        <v>26.39</v>
      </c>
      <c r="L55" s="41"/>
      <c r="M55" s="36" t="s">
        <v>221</v>
      </c>
    </row>
    <row r="56" spans="2:13" x14ac:dyDescent="0.3">
      <c r="B56" s="3" t="s">
        <v>151</v>
      </c>
      <c r="C56" s="315" t="s">
        <v>222</v>
      </c>
      <c r="D56" s="316"/>
      <c r="E56" s="316"/>
      <c r="F56" s="316"/>
      <c r="G56" s="316"/>
      <c r="H56" s="317"/>
      <c r="I56" s="22" t="s">
        <v>24</v>
      </c>
      <c r="J56" s="141">
        <v>13.47</v>
      </c>
      <c r="L56" s="35"/>
      <c r="M56" s="36" t="s">
        <v>223</v>
      </c>
    </row>
    <row r="57" spans="2:13" x14ac:dyDescent="0.3">
      <c r="B57" s="3" t="s">
        <v>180</v>
      </c>
      <c r="C57" s="300" t="s">
        <v>224</v>
      </c>
      <c r="D57" s="300"/>
      <c r="E57" s="300"/>
      <c r="F57" s="300"/>
      <c r="G57" s="300"/>
      <c r="H57" s="300"/>
      <c r="I57" s="22" t="s">
        <v>24</v>
      </c>
      <c r="J57" s="11">
        <v>74.25</v>
      </c>
      <c r="L57" s="36"/>
      <c r="M57" s="36" t="s">
        <v>225</v>
      </c>
    </row>
    <row r="58" spans="2:13" x14ac:dyDescent="0.3">
      <c r="B58" s="292" t="s">
        <v>226</v>
      </c>
      <c r="C58" s="292"/>
      <c r="D58" s="292"/>
      <c r="E58" s="292"/>
      <c r="F58" s="292"/>
      <c r="G58" s="292"/>
      <c r="H58" s="292"/>
      <c r="I58" s="292"/>
      <c r="J58" s="5">
        <f>SUM(J53:J57)</f>
        <v>733.14</v>
      </c>
    </row>
    <row r="59" spans="2:13" x14ac:dyDescent="0.3">
      <c r="B59" s="313"/>
      <c r="C59" s="313"/>
      <c r="D59" s="313"/>
      <c r="E59" s="313"/>
      <c r="F59" s="313"/>
      <c r="G59" s="313"/>
      <c r="H59" s="313"/>
      <c r="I59" s="313"/>
      <c r="J59" s="314"/>
    </row>
    <row r="60" spans="2:13" x14ac:dyDescent="0.3">
      <c r="B60" s="294" t="s">
        <v>227</v>
      </c>
      <c r="C60" s="294"/>
      <c r="D60" s="294"/>
      <c r="E60" s="294"/>
      <c r="F60" s="294"/>
      <c r="G60" s="294"/>
      <c r="H60" s="294"/>
      <c r="I60" s="294"/>
      <c r="J60" s="294"/>
    </row>
    <row r="61" spans="2:13" x14ac:dyDescent="0.3">
      <c r="B61" s="292" t="s">
        <v>228</v>
      </c>
      <c r="C61" s="292"/>
      <c r="D61" s="292"/>
      <c r="E61" s="292"/>
      <c r="F61" s="292"/>
      <c r="G61" s="292"/>
      <c r="H61" s="292"/>
      <c r="I61" s="292"/>
      <c r="J61" s="3" t="s">
        <v>171</v>
      </c>
    </row>
    <row r="62" spans="2:13" x14ac:dyDescent="0.3">
      <c r="B62" s="3" t="s">
        <v>229</v>
      </c>
      <c r="C62" s="291" t="s">
        <v>230</v>
      </c>
      <c r="D62" s="291"/>
      <c r="E62" s="291"/>
      <c r="F62" s="291"/>
      <c r="G62" s="291"/>
      <c r="H62" s="291"/>
      <c r="I62" s="291"/>
      <c r="J62" s="1">
        <f>J39</f>
        <v>539.17999999999995</v>
      </c>
    </row>
    <row r="63" spans="2:13" x14ac:dyDescent="0.3">
      <c r="B63" s="3" t="s">
        <v>231</v>
      </c>
      <c r="C63" s="291" t="s">
        <v>232</v>
      </c>
      <c r="D63" s="291"/>
      <c r="E63" s="291"/>
      <c r="F63" s="291"/>
      <c r="G63" s="291"/>
      <c r="H63" s="291"/>
      <c r="I63" s="291"/>
      <c r="J63" s="1">
        <f>J50</f>
        <v>1169.6300000000001</v>
      </c>
    </row>
    <row r="64" spans="2:13" x14ac:dyDescent="0.3">
      <c r="B64" s="3" t="s">
        <v>233</v>
      </c>
      <c r="C64" s="291" t="s">
        <v>234</v>
      </c>
      <c r="D64" s="291"/>
      <c r="E64" s="291"/>
      <c r="F64" s="291"/>
      <c r="G64" s="291"/>
      <c r="H64" s="291"/>
      <c r="I64" s="291"/>
      <c r="J64" s="1">
        <f>J58</f>
        <v>733.14</v>
      </c>
    </row>
    <row r="65" spans="2:13" x14ac:dyDescent="0.3">
      <c r="B65" s="292" t="s">
        <v>235</v>
      </c>
      <c r="C65" s="292"/>
      <c r="D65" s="292"/>
      <c r="E65" s="292"/>
      <c r="F65" s="292"/>
      <c r="G65" s="292"/>
      <c r="H65" s="292"/>
      <c r="I65" s="292"/>
      <c r="J65" s="5">
        <f>SUM(J62:J64)</f>
        <v>2441.9499999999998</v>
      </c>
    </row>
    <row r="66" spans="2:13" x14ac:dyDescent="0.3">
      <c r="B66" s="301"/>
      <c r="C66" s="302"/>
      <c r="D66" s="302"/>
      <c r="E66" s="302"/>
      <c r="F66" s="302"/>
      <c r="G66" s="302"/>
      <c r="H66" s="302"/>
      <c r="I66" s="302"/>
      <c r="J66" s="302"/>
    </row>
    <row r="67" spans="2:13" x14ac:dyDescent="0.3">
      <c r="B67" s="303" t="s">
        <v>236</v>
      </c>
      <c r="C67" s="303"/>
      <c r="D67" s="303"/>
      <c r="E67" s="303"/>
      <c r="F67" s="303"/>
      <c r="G67" s="303"/>
      <c r="H67" s="303"/>
      <c r="I67" s="303"/>
      <c r="J67" s="303"/>
    </row>
    <row r="68" spans="2:13" x14ac:dyDescent="0.3">
      <c r="B68" s="3">
        <v>3</v>
      </c>
      <c r="C68" s="292" t="s">
        <v>237</v>
      </c>
      <c r="D68" s="292"/>
      <c r="E68" s="292"/>
      <c r="F68" s="292"/>
      <c r="G68" s="292"/>
      <c r="H68" s="292"/>
      <c r="I68" s="3" t="s">
        <v>170</v>
      </c>
      <c r="J68" s="3" t="s">
        <v>171</v>
      </c>
      <c r="L68" s="237" t="s">
        <v>172</v>
      </c>
      <c r="M68" s="237" t="s">
        <v>173</v>
      </c>
    </row>
    <row r="69" spans="2:13" ht="27.6" x14ac:dyDescent="0.3">
      <c r="B69" s="3" t="s">
        <v>134</v>
      </c>
      <c r="C69" s="291" t="s">
        <v>238</v>
      </c>
      <c r="D69" s="291"/>
      <c r="E69" s="291"/>
      <c r="F69" s="291"/>
      <c r="G69" s="291"/>
      <c r="H69" s="291"/>
      <c r="I69" s="8">
        <f>(1/12)*5%</f>
        <v>4.1666666666666666E-3</v>
      </c>
      <c r="J69" s="1">
        <f>TRUNC(I69*$J$33,2)</f>
        <v>10.99</v>
      </c>
      <c r="L69" s="42" t="s">
        <v>239</v>
      </c>
      <c r="M69" s="42" t="s">
        <v>240</v>
      </c>
    </row>
    <row r="70" spans="2:13" x14ac:dyDescent="0.3">
      <c r="B70" s="3" t="s">
        <v>137</v>
      </c>
      <c r="C70" s="291" t="s">
        <v>241</v>
      </c>
      <c r="D70" s="291"/>
      <c r="E70" s="291"/>
      <c r="F70" s="291"/>
      <c r="G70" s="291"/>
      <c r="H70" s="291"/>
      <c r="I70" s="8">
        <f>I49*I69</f>
        <v>3.3333333333333332E-4</v>
      </c>
      <c r="J70" s="1">
        <f>TRUNC(I70*$J$33,2)</f>
        <v>0.87</v>
      </c>
      <c r="L70" s="42" t="s">
        <v>242</v>
      </c>
      <c r="M70" s="42" t="s">
        <v>243</v>
      </c>
    </row>
    <row r="71" spans="2:13" x14ac:dyDescent="0.3">
      <c r="B71" s="3" t="s">
        <v>148</v>
      </c>
      <c r="C71" s="291" t="s">
        <v>244</v>
      </c>
      <c r="D71" s="291"/>
      <c r="E71" s="291"/>
      <c r="F71" s="291"/>
      <c r="G71" s="291"/>
      <c r="H71" s="291"/>
      <c r="I71" s="8">
        <f>((7/30)/12)</f>
        <v>1.9444444444444445E-2</v>
      </c>
      <c r="J71" s="1">
        <f t="shared" ref="J71:J72" si="1">TRUNC(I71*$J$33,2)</f>
        <v>51.31</v>
      </c>
      <c r="L71" s="42" t="s">
        <v>245</v>
      </c>
      <c r="M71" s="42" t="s">
        <v>246</v>
      </c>
    </row>
    <row r="72" spans="2:13" ht="27.6" x14ac:dyDescent="0.3">
      <c r="B72" s="3" t="s">
        <v>151</v>
      </c>
      <c r="C72" s="291" t="s">
        <v>247</v>
      </c>
      <c r="D72" s="291"/>
      <c r="E72" s="291"/>
      <c r="F72" s="291"/>
      <c r="G72" s="291"/>
      <c r="H72" s="291"/>
      <c r="I72" s="9">
        <f>I50*I71</f>
        <v>7.1555555555555565E-3</v>
      </c>
      <c r="J72" s="1">
        <f t="shared" si="1"/>
        <v>18.88</v>
      </c>
      <c r="L72" s="42" t="s">
        <v>248</v>
      </c>
    </row>
    <row r="73" spans="2:13" ht="27.6" x14ac:dyDescent="0.3">
      <c r="B73" s="3" t="s">
        <v>180</v>
      </c>
      <c r="C73" s="308" t="s">
        <v>249</v>
      </c>
      <c r="D73" s="308"/>
      <c r="E73" s="308"/>
      <c r="F73" s="308"/>
      <c r="G73" s="308"/>
      <c r="H73" s="308"/>
      <c r="I73" s="8">
        <v>0.04</v>
      </c>
      <c r="J73" s="1">
        <f>TRUNC(I73*$J$33,2)</f>
        <v>105.56</v>
      </c>
      <c r="L73" s="45" t="s">
        <v>250</v>
      </c>
      <c r="M73" s="46" t="s">
        <v>251</v>
      </c>
    </row>
    <row r="74" spans="2:13" x14ac:dyDescent="0.3">
      <c r="B74" s="292" t="s">
        <v>252</v>
      </c>
      <c r="C74" s="292"/>
      <c r="D74" s="292"/>
      <c r="E74" s="292"/>
      <c r="F74" s="292"/>
      <c r="G74" s="292"/>
      <c r="H74" s="292"/>
      <c r="I74" s="10">
        <f>SUM(I69:I73)</f>
        <v>7.1099999999999997E-2</v>
      </c>
      <c r="J74" s="5">
        <f>SUM(J69:J73)</f>
        <v>187.61</v>
      </c>
    </row>
    <row r="75" spans="2:13" ht="40.35" customHeight="1" x14ac:dyDescent="0.3">
      <c r="B75" s="103" t="s">
        <v>253</v>
      </c>
      <c r="C75" s="311" t="s">
        <v>254</v>
      </c>
      <c r="D75" s="311"/>
      <c r="E75" s="311"/>
      <c r="F75" s="311"/>
      <c r="G75" s="311"/>
      <c r="H75" s="311"/>
      <c r="I75" s="311"/>
      <c r="J75" s="312"/>
    </row>
    <row r="76" spans="2:13" x14ac:dyDescent="0.3">
      <c r="B76" s="309"/>
      <c r="C76" s="310"/>
      <c r="D76" s="310"/>
      <c r="E76" s="310"/>
      <c r="F76" s="310"/>
      <c r="G76" s="310"/>
      <c r="H76" s="310"/>
      <c r="I76" s="310"/>
      <c r="J76" s="310"/>
    </row>
    <row r="77" spans="2:13" x14ac:dyDescent="0.3">
      <c r="B77" s="303" t="s">
        <v>255</v>
      </c>
      <c r="C77" s="303"/>
      <c r="D77" s="303"/>
      <c r="E77" s="303"/>
      <c r="F77" s="303"/>
      <c r="G77" s="303"/>
      <c r="H77" s="303"/>
      <c r="I77" s="303"/>
      <c r="J77" s="303"/>
    </row>
    <row r="78" spans="2:13" x14ac:dyDescent="0.3">
      <c r="B78" s="292" t="s">
        <v>256</v>
      </c>
      <c r="C78" s="292"/>
      <c r="D78" s="292"/>
      <c r="E78" s="292"/>
      <c r="F78" s="292"/>
      <c r="G78" s="292"/>
      <c r="H78" s="292"/>
      <c r="I78" s="3" t="s">
        <v>170</v>
      </c>
      <c r="J78" s="3" t="s">
        <v>171</v>
      </c>
      <c r="L78" s="237" t="s">
        <v>172</v>
      </c>
      <c r="M78" s="237" t="s">
        <v>173</v>
      </c>
    </row>
    <row r="79" spans="2:13" ht="27.6" x14ac:dyDescent="0.3">
      <c r="B79" s="3" t="s">
        <v>134</v>
      </c>
      <c r="C79" s="291" t="s">
        <v>257</v>
      </c>
      <c r="D79" s="291"/>
      <c r="E79" s="291"/>
      <c r="F79" s="291"/>
      <c r="G79" s="291"/>
      <c r="H79" s="291"/>
      <c r="I79" s="8">
        <f>(1/12/12)+(1/12/12)+(1/12/12/3)</f>
        <v>1.6203703703703703E-2</v>
      </c>
      <c r="J79" s="1">
        <f>TRUNC(($J$33)*I79,2)</f>
        <v>42.76</v>
      </c>
      <c r="L79" s="42" t="s">
        <v>258</v>
      </c>
      <c r="M79" s="42" t="s">
        <v>259</v>
      </c>
    </row>
    <row r="80" spans="2:13" x14ac:dyDescent="0.3">
      <c r="B80" s="3" t="s">
        <v>137</v>
      </c>
      <c r="C80" s="291" t="s">
        <v>260</v>
      </c>
      <c r="D80" s="291"/>
      <c r="E80" s="291"/>
      <c r="F80" s="291"/>
      <c r="G80" s="291"/>
      <c r="H80" s="291"/>
      <c r="I80" s="8">
        <f>((1/30))/12</f>
        <v>2.7777777777777779E-3</v>
      </c>
      <c r="J80" s="1">
        <f t="shared" ref="J80:J84" si="2">TRUNC(($J$33)*I80,2)</f>
        <v>7.33</v>
      </c>
      <c r="L80" s="42" t="s">
        <v>261</v>
      </c>
      <c r="M80" s="42" t="s">
        <v>262</v>
      </c>
    </row>
    <row r="81" spans="2:13" ht="27.6" x14ac:dyDescent="0.3">
      <c r="B81" s="3" t="s">
        <v>148</v>
      </c>
      <c r="C81" s="291" t="s">
        <v>263</v>
      </c>
      <c r="D81" s="291"/>
      <c r="E81" s="291"/>
      <c r="F81" s="291"/>
      <c r="G81" s="291"/>
      <c r="H81" s="291"/>
      <c r="I81" s="8">
        <f>((5/30)/12)*1.5%</f>
        <v>2.0833333333333332E-4</v>
      </c>
      <c r="J81" s="1">
        <f t="shared" si="2"/>
        <v>0.54</v>
      </c>
      <c r="L81" s="42" t="s">
        <v>264</v>
      </c>
      <c r="M81" s="37" t="s">
        <v>265</v>
      </c>
    </row>
    <row r="82" spans="2:13" ht="27.6" x14ac:dyDescent="0.3">
      <c r="B82" s="3" t="s">
        <v>151</v>
      </c>
      <c r="C82" s="291" t="s">
        <v>266</v>
      </c>
      <c r="D82" s="291"/>
      <c r="E82" s="291"/>
      <c r="F82" s="291"/>
      <c r="G82" s="291"/>
      <c r="H82" s="291"/>
      <c r="I82" s="8">
        <f>((15/30)/12)*8%</f>
        <v>3.3333333333333331E-3</v>
      </c>
      <c r="J82" s="1">
        <f t="shared" si="2"/>
        <v>8.7899999999999991</v>
      </c>
      <c r="L82" s="42" t="s">
        <v>267</v>
      </c>
      <c r="M82" s="37" t="s">
        <v>268</v>
      </c>
    </row>
    <row r="83" spans="2:13" ht="27.6" x14ac:dyDescent="0.3">
      <c r="B83" s="3" t="s">
        <v>180</v>
      </c>
      <c r="C83" s="291" t="s">
        <v>269</v>
      </c>
      <c r="D83" s="291"/>
      <c r="E83" s="291"/>
      <c r="F83" s="291"/>
      <c r="G83" s="291"/>
      <c r="H83" s="291"/>
      <c r="I83" s="8">
        <f>(((4*8.33%)+(4*2.78%))/12)*2%</f>
        <v>7.4066666666666671E-4</v>
      </c>
      <c r="J83" s="1">
        <f t="shared" si="2"/>
        <v>1.95</v>
      </c>
      <c r="L83" s="42" t="s">
        <v>270</v>
      </c>
      <c r="M83" s="37" t="s">
        <v>271</v>
      </c>
    </row>
    <row r="84" spans="2:13" x14ac:dyDescent="0.3">
      <c r="B84" s="3" t="s">
        <v>182</v>
      </c>
      <c r="C84" s="291" t="s">
        <v>272</v>
      </c>
      <c r="D84" s="291"/>
      <c r="E84" s="291"/>
      <c r="F84" s="291"/>
      <c r="G84" s="291"/>
      <c r="H84" s="291"/>
      <c r="I84" s="8">
        <v>0</v>
      </c>
      <c r="J84" s="1">
        <f t="shared" si="2"/>
        <v>0</v>
      </c>
    </row>
    <row r="85" spans="2:13" x14ac:dyDescent="0.3">
      <c r="B85" s="292" t="s">
        <v>273</v>
      </c>
      <c r="C85" s="292"/>
      <c r="D85" s="292"/>
      <c r="E85" s="292"/>
      <c r="F85" s="292"/>
      <c r="G85" s="292"/>
      <c r="H85" s="292"/>
      <c r="I85" s="10">
        <f>SUM(I79:I84)</f>
        <v>2.3263814814814817E-2</v>
      </c>
      <c r="J85" s="5">
        <f>SUM(J79:J84)</f>
        <v>61.37</v>
      </c>
    </row>
    <row r="86" spans="2:13" x14ac:dyDescent="0.3">
      <c r="B86" s="306"/>
      <c r="C86" s="307"/>
      <c r="D86" s="307"/>
      <c r="E86" s="307"/>
      <c r="F86" s="307"/>
      <c r="G86" s="307"/>
      <c r="H86" s="307"/>
      <c r="I86" s="307"/>
      <c r="J86" s="307"/>
    </row>
    <row r="87" spans="2:13" x14ac:dyDescent="0.3">
      <c r="B87" s="292" t="s">
        <v>274</v>
      </c>
      <c r="C87" s="292"/>
      <c r="D87" s="292"/>
      <c r="E87" s="292"/>
      <c r="F87" s="292"/>
      <c r="G87" s="292"/>
      <c r="H87" s="292"/>
      <c r="I87" s="3" t="s">
        <v>170</v>
      </c>
      <c r="J87" s="3" t="s">
        <v>171</v>
      </c>
    </row>
    <row r="88" spans="2:13" x14ac:dyDescent="0.3">
      <c r="B88" s="3" t="s">
        <v>134</v>
      </c>
      <c r="C88" s="308" t="s">
        <v>275</v>
      </c>
      <c r="D88" s="291"/>
      <c r="E88" s="291"/>
      <c r="F88" s="291"/>
      <c r="G88" s="291"/>
      <c r="H88" s="291"/>
      <c r="I88" s="8">
        <v>0</v>
      </c>
      <c r="J88" s="1">
        <v>0</v>
      </c>
    </row>
    <row r="89" spans="2:13" x14ac:dyDescent="0.3">
      <c r="B89" s="292" t="s">
        <v>276</v>
      </c>
      <c r="C89" s="292"/>
      <c r="D89" s="292"/>
      <c r="E89" s="292"/>
      <c r="F89" s="292"/>
      <c r="G89" s="292"/>
      <c r="H89" s="292"/>
      <c r="I89" s="10">
        <v>0</v>
      </c>
      <c r="J89" s="5">
        <v>0</v>
      </c>
    </row>
    <row r="90" spans="2:13" x14ac:dyDescent="0.3">
      <c r="B90" s="304"/>
      <c r="C90" s="305"/>
      <c r="D90" s="305"/>
      <c r="E90" s="305"/>
      <c r="F90" s="305"/>
      <c r="G90" s="305"/>
      <c r="H90" s="305"/>
      <c r="I90" s="305"/>
      <c r="J90" s="305"/>
    </row>
    <row r="91" spans="2:13" x14ac:dyDescent="0.3">
      <c r="B91" s="294" t="s">
        <v>277</v>
      </c>
      <c r="C91" s="294"/>
      <c r="D91" s="294"/>
      <c r="E91" s="294"/>
      <c r="F91" s="294"/>
      <c r="G91" s="294"/>
      <c r="H91" s="294"/>
      <c r="I91" s="294"/>
      <c r="J91" s="294"/>
    </row>
    <row r="92" spans="2:13" x14ac:dyDescent="0.3">
      <c r="B92" s="292" t="s">
        <v>278</v>
      </c>
      <c r="C92" s="292"/>
      <c r="D92" s="292"/>
      <c r="E92" s="292"/>
      <c r="F92" s="292"/>
      <c r="G92" s="292"/>
      <c r="H92" s="292"/>
      <c r="I92" s="292"/>
      <c r="J92" s="3" t="s">
        <v>171</v>
      </c>
    </row>
    <row r="93" spans="2:13" x14ac:dyDescent="0.3">
      <c r="B93" s="3" t="s">
        <v>279</v>
      </c>
      <c r="C93" s="291" t="s">
        <v>280</v>
      </c>
      <c r="D93" s="291"/>
      <c r="E93" s="291"/>
      <c r="F93" s="291"/>
      <c r="G93" s="291"/>
      <c r="H93" s="291"/>
      <c r="I93" s="291"/>
      <c r="J93" s="1">
        <f>J85</f>
        <v>61.37</v>
      </c>
    </row>
    <row r="94" spans="2:13" x14ac:dyDescent="0.3">
      <c r="B94" s="3" t="s">
        <v>281</v>
      </c>
      <c r="C94" s="291" t="s">
        <v>282</v>
      </c>
      <c r="D94" s="291"/>
      <c r="E94" s="291"/>
      <c r="F94" s="291"/>
      <c r="G94" s="291"/>
      <c r="H94" s="291"/>
      <c r="I94" s="291"/>
      <c r="J94" s="1">
        <f>J89</f>
        <v>0</v>
      </c>
    </row>
    <row r="95" spans="2:13" x14ac:dyDescent="0.3">
      <c r="B95" s="292" t="s">
        <v>283</v>
      </c>
      <c r="C95" s="292"/>
      <c r="D95" s="292"/>
      <c r="E95" s="292"/>
      <c r="F95" s="292"/>
      <c r="G95" s="292"/>
      <c r="H95" s="292"/>
      <c r="I95" s="292"/>
      <c r="J95" s="5">
        <f>SUM(J93:J94)</f>
        <v>61.37</v>
      </c>
    </row>
    <row r="96" spans="2:13" x14ac:dyDescent="0.3">
      <c r="B96" s="301"/>
      <c r="C96" s="302"/>
      <c r="D96" s="302"/>
      <c r="E96" s="302"/>
      <c r="F96" s="302"/>
      <c r="G96" s="302"/>
      <c r="H96" s="302"/>
      <c r="I96" s="302"/>
      <c r="J96" s="302"/>
    </row>
    <row r="97" spans="2:13" x14ac:dyDescent="0.3">
      <c r="B97" s="303" t="s">
        <v>284</v>
      </c>
      <c r="C97" s="303"/>
      <c r="D97" s="303"/>
      <c r="E97" s="303"/>
      <c r="F97" s="303"/>
      <c r="G97" s="303"/>
      <c r="H97" s="303"/>
      <c r="I97" s="303"/>
      <c r="J97" s="303"/>
    </row>
    <row r="98" spans="2:13" x14ac:dyDescent="0.3">
      <c r="B98" s="3">
        <v>5</v>
      </c>
      <c r="C98" s="292" t="s">
        <v>285</v>
      </c>
      <c r="D98" s="292"/>
      <c r="E98" s="292"/>
      <c r="F98" s="292"/>
      <c r="G98" s="292"/>
      <c r="H98" s="292"/>
      <c r="I98" s="3"/>
      <c r="J98" s="3" t="s">
        <v>171</v>
      </c>
      <c r="L98"/>
      <c r="M98"/>
    </row>
    <row r="99" spans="2:13" x14ac:dyDescent="0.3">
      <c r="B99" s="3" t="s">
        <v>134</v>
      </c>
      <c r="C99" s="300" t="s">
        <v>286</v>
      </c>
      <c r="D99" s="300"/>
      <c r="E99" s="300"/>
      <c r="F99" s="300"/>
      <c r="G99" s="300"/>
      <c r="H99" s="300"/>
      <c r="I99" s="8" t="s">
        <v>24</v>
      </c>
      <c r="J99" s="143">
        <f>Uniformes!E12</f>
        <v>91.481111111111105</v>
      </c>
      <c r="L99"/>
      <c r="M99"/>
    </row>
    <row r="100" spans="2:13" x14ac:dyDescent="0.3">
      <c r="B100" s="3" t="s">
        <v>137</v>
      </c>
      <c r="C100" s="300" t="s">
        <v>287</v>
      </c>
      <c r="D100" s="300"/>
      <c r="E100" s="300"/>
      <c r="F100" s="300"/>
      <c r="G100" s="300"/>
      <c r="H100" s="300"/>
      <c r="I100" s="8" t="s">
        <v>24</v>
      </c>
      <c r="J100" s="245">
        <f>'Equip. Ferram.'!E99</f>
        <v>94.133466666666664</v>
      </c>
      <c r="L100"/>
      <c r="M100"/>
    </row>
    <row r="101" spans="2:13" x14ac:dyDescent="0.3">
      <c r="B101" s="100" t="s">
        <v>148</v>
      </c>
      <c r="C101" s="300" t="s">
        <v>183</v>
      </c>
      <c r="D101" s="300"/>
      <c r="E101" s="300"/>
      <c r="F101" s="300"/>
      <c r="G101" s="300"/>
      <c r="H101" s="300"/>
      <c r="I101" s="22"/>
      <c r="J101" s="1"/>
    </row>
    <row r="102" spans="2:13" x14ac:dyDescent="0.3">
      <c r="B102" s="100" t="s">
        <v>151</v>
      </c>
      <c r="C102" s="300" t="s">
        <v>183</v>
      </c>
      <c r="D102" s="300"/>
      <c r="E102" s="300"/>
      <c r="F102" s="300"/>
      <c r="G102" s="300"/>
      <c r="H102" s="300"/>
      <c r="I102" s="22" t="s">
        <v>24</v>
      </c>
      <c r="J102" s="1">
        <v>0</v>
      </c>
    </row>
    <row r="103" spans="2:13" x14ac:dyDescent="0.3">
      <c r="B103" s="292" t="s">
        <v>288</v>
      </c>
      <c r="C103" s="292"/>
      <c r="D103" s="292"/>
      <c r="E103" s="292"/>
      <c r="F103" s="292"/>
      <c r="G103" s="292"/>
      <c r="H103" s="292"/>
      <c r="I103" s="10" t="s">
        <v>24</v>
      </c>
      <c r="J103" s="5">
        <f>SUM(J99:J102)</f>
        <v>185.61457777777775</v>
      </c>
    </row>
    <row r="104" spans="2:13" x14ac:dyDescent="0.3">
      <c r="B104" s="301"/>
      <c r="C104" s="302"/>
      <c r="D104" s="302"/>
      <c r="E104" s="302"/>
      <c r="F104" s="302"/>
      <c r="G104" s="302"/>
      <c r="H104" s="302"/>
      <c r="I104" s="302"/>
      <c r="J104" s="302"/>
    </row>
    <row r="105" spans="2:13" x14ac:dyDescent="0.3">
      <c r="B105" s="303" t="s">
        <v>289</v>
      </c>
      <c r="C105" s="303"/>
      <c r="D105" s="303"/>
      <c r="E105" s="303"/>
      <c r="F105" s="303"/>
      <c r="G105" s="303"/>
      <c r="H105" s="303"/>
      <c r="I105" s="303"/>
      <c r="J105" s="303"/>
    </row>
    <row r="106" spans="2:13" x14ac:dyDescent="0.3">
      <c r="B106" s="3">
        <v>6</v>
      </c>
      <c r="C106" s="292" t="s">
        <v>290</v>
      </c>
      <c r="D106" s="292"/>
      <c r="E106" s="292"/>
      <c r="F106" s="292"/>
      <c r="G106" s="292"/>
      <c r="H106" s="292"/>
      <c r="I106" s="3" t="s">
        <v>170</v>
      </c>
      <c r="J106" s="3" t="s">
        <v>171</v>
      </c>
      <c r="L106" s="237" t="s">
        <v>172</v>
      </c>
      <c r="M106" s="237" t="s">
        <v>173</v>
      </c>
    </row>
    <row r="107" spans="2:13" x14ac:dyDescent="0.3">
      <c r="B107" s="3" t="s">
        <v>134</v>
      </c>
      <c r="C107" s="291" t="s">
        <v>291</v>
      </c>
      <c r="D107" s="291"/>
      <c r="E107" s="291"/>
      <c r="F107" s="291"/>
      <c r="G107" s="291"/>
      <c r="H107" s="291"/>
      <c r="I107" s="12">
        <v>5.2699999999999997E-2</v>
      </c>
      <c r="J107" s="1">
        <f>TRUNC(((J131)*I107),2)</f>
        <v>290.68</v>
      </c>
      <c r="L107" s="41"/>
      <c r="M107" s="41" t="s">
        <v>292</v>
      </c>
    </row>
    <row r="108" spans="2:13" x14ac:dyDescent="0.3">
      <c r="B108" s="3" t="s">
        <v>137</v>
      </c>
      <c r="C108" s="291" t="s">
        <v>293</v>
      </c>
      <c r="D108" s="291"/>
      <c r="E108" s="291"/>
      <c r="F108" s="291"/>
      <c r="G108" s="291"/>
      <c r="H108" s="291"/>
      <c r="I108" s="12">
        <v>6.0699999999999997E-2</v>
      </c>
      <c r="J108" s="1">
        <f>TRUNC(((J131+J107)*I108),2)</f>
        <v>352.45</v>
      </c>
      <c r="L108" s="41"/>
      <c r="M108" s="41" t="s">
        <v>294</v>
      </c>
    </row>
    <row r="109" spans="2:13" x14ac:dyDescent="0.3">
      <c r="B109" s="3" t="s">
        <v>148</v>
      </c>
      <c r="C109" s="299" t="s">
        <v>295</v>
      </c>
      <c r="D109" s="299"/>
      <c r="E109" s="299"/>
      <c r="F109" s="299"/>
      <c r="G109" s="299"/>
      <c r="H109" s="299"/>
      <c r="I109" s="2"/>
      <c r="J109" s="13"/>
      <c r="L109" s="43"/>
      <c r="M109" s="43"/>
    </row>
    <row r="110" spans="2:13" x14ac:dyDescent="0.3">
      <c r="B110" s="3" t="s">
        <v>296</v>
      </c>
      <c r="C110" s="291" t="s">
        <v>297</v>
      </c>
      <c r="D110" s="291"/>
      <c r="E110" s="291"/>
      <c r="F110" s="291"/>
      <c r="G110" s="291"/>
      <c r="H110" s="291"/>
      <c r="I110" s="14">
        <v>6.4999999999999997E-3</v>
      </c>
      <c r="J110" s="1">
        <f>TRUNC(I110*((J131+J107+J108)/(1-I115)),2)</f>
        <v>42.88</v>
      </c>
      <c r="L110" s="41"/>
      <c r="M110" s="41" t="s">
        <v>298</v>
      </c>
    </row>
    <row r="111" spans="2:13" x14ac:dyDescent="0.3">
      <c r="B111" s="3" t="s">
        <v>299</v>
      </c>
      <c r="C111" s="291" t="s">
        <v>300</v>
      </c>
      <c r="D111" s="291"/>
      <c r="E111" s="291"/>
      <c r="F111" s="291"/>
      <c r="G111" s="291"/>
      <c r="H111" s="291"/>
      <c r="I111" s="14">
        <v>0.03</v>
      </c>
      <c r="J111" s="1">
        <f>TRUNC(I111*(J131+J107+J108)/(1-I115),2)</f>
        <v>197.92</v>
      </c>
      <c r="L111" s="41"/>
      <c r="M111" s="41" t="s">
        <v>301</v>
      </c>
    </row>
    <row r="112" spans="2:13" x14ac:dyDescent="0.3">
      <c r="B112" s="3" t="s">
        <v>302</v>
      </c>
      <c r="C112" s="291" t="s">
        <v>303</v>
      </c>
      <c r="D112" s="291"/>
      <c r="E112" s="291"/>
      <c r="F112" s="291"/>
      <c r="G112" s="291"/>
      <c r="H112" s="291"/>
      <c r="I112" s="14">
        <v>0.03</v>
      </c>
      <c r="J112" s="1">
        <f>TRUNC(I112*(J131+J107+J108)/(1-I115),2)</f>
        <v>197.92</v>
      </c>
      <c r="L112" s="44"/>
      <c r="M112" s="44" t="s">
        <v>304</v>
      </c>
    </row>
    <row r="113" spans="2:13" x14ac:dyDescent="0.3">
      <c r="B113" s="292" t="s">
        <v>305</v>
      </c>
      <c r="C113" s="292"/>
      <c r="D113" s="292"/>
      <c r="E113" s="292"/>
      <c r="F113" s="292"/>
      <c r="G113" s="292"/>
      <c r="H113" s="292"/>
      <c r="I113" s="14">
        <f>SUM(I107:I112)</f>
        <v>0.1799</v>
      </c>
      <c r="J113" s="5">
        <f>SUM(J107:J112)</f>
        <v>1081.8499999999999</v>
      </c>
    </row>
    <row r="114" spans="2:13" x14ac:dyDescent="0.3">
      <c r="B114" s="102"/>
      <c r="C114" s="295"/>
      <c r="D114" s="295"/>
      <c r="E114" s="295"/>
      <c r="F114" s="295"/>
      <c r="G114" s="295"/>
      <c r="H114" s="295"/>
      <c r="I114" s="295"/>
      <c r="J114" s="295"/>
      <c r="L114" s="43"/>
      <c r="M114" s="43"/>
    </row>
    <row r="115" spans="2:13" x14ac:dyDescent="0.3">
      <c r="B115" s="239" t="s">
        <v>306</v>
      </c>
      <c r="C115" s="296" t="s">
        <v>307</v>
      </c>
      <c r="D115" s="296"/>
      <c r="E115" s="296"/>
      <c r="F115" s="296"/>
      <c r="G115" s="296"/>
      <c r="H115" s="296"/>
      <c r="I115" s="240">
        <f>I110+I111+I112</f>
        <v>6.6500000000000004E-2</v>
      </c>
      <c r="J115" s="241"/>
    </row>
    <row r="116" spans="2:13" x14ac:dyDescent="0.3">
      <c r="B116" s="15"/>
      <c r="C116" s="297">
        <v>100</v>
      </c>
      <c r="D116" s="297"/>
      <c r="E116" s="297"/>
      <c r="F116" s="297"/>
      <c r="G116" s="297"/>
      <c r="H116" s="297"/>
      <c r="I116" s="16"/>
      <c r="J116" s="17"/>
    </row>
    <row r="117" spans="2:13" x14ac:dyDescent="0.3">
      <c r="B117" s="18"/>
      <c r="C117" s="98"/>
      <c r="D117" s="98"/>
      <c r="E117" s="98"/>
      <c r="F117" s="98"/>
      <c r="G117" s="98"/>
      <c r="H117" s="98"/>
      <c r="I117" s="16"/>
      <c r="J117" s="17"/>
    </row>
    <row r="118" spans="2:13" x14ac:dyDescent="0.3">
      <c r="B118" s="15" t="s">
        <v>308</v>
      </c>
      <c r="C118" s="297" t="s">
        <v>309</v>
      </c>
      <c r="D118" s="297"/>
      <c r="E118" s="297"/>
      <c r="F118" s="297"/>
      <c r="G118" s="297"/>
      <c r="H118" s="297"/>
      <c r="I118" s="16"/>
      <c r="J118" s="17">
        <f>J33+J65+J74+J95+J103+J107+J108</f>
        <v>6158.9145777777767</v>
      </c>
    </row>
    <row r="119" spans="2:13" x14ac:dyDescent="0.3">
      <c r="B119" s="15"/>
      <c r="C119" s="98"/>
      <c r="D119" s="98"/>
      <c r="E119" s="98"/>
      <c r="F119" s="98"/>
      <c r="G119" s="98"/>
      <c r="H119" s="98"/>
      <c r="I119" s="16"/>
      <c r="J119" s="17"/>
    </row>
    <row r="120" spans="2:13" x14ac:dyDescent="0.3">
      <c r="B120" s="15" t="s">
        <v>310</v>
      </c>
      <c r="C120" s="297" t="s">
        <v>311</v>
      </c>
      <c r="D120" s="297"/>
      <c r="E120" s="297"/>
      <c r="F120" s="297"/>
      <c r="G120" s="297"/>
      <c r="H120" s="297"/>
      <c r="I120" s="16"/>
      <c r="J120" s="17">
        <f>TRUNC(J118/(1-I115),2)</f>
        <v>6597.65</v>
      </c>
    </row>
    <row r="121" spans="2:13" x14ac:dyDescent="0.3">
      <c r="B121" s="15"/>
      <c r="C121" s="98"/>
      <c r="D121" s="98"/>
      <c r="E121" s="98"/>
      <c r="F121" s="98"/>
      <c r="G121" s="98"/>
      <c r="H121" s="98"/>
      <c r="I121" s="16"/>
      <c r="J121" s="17"/>
    </row>
    <row r="122" spans="2:13" x14ac:dyDescent="0.3">
      <c r="B122" s="19"/>
      <c r="C122" s="298" t="s">
        <v>312</v>
      </c>
      <c r="D122" s="298"/>
      <c r="E122" s="298"/>
      <c r="F122" s="298"/>
      <c r="G122" s="298"/>
      <c r="H122" s="298"/>
      <c r="I122" s="20"/>
      <c r="J122" s="21">
        <f>J120-J118</f>
        <v>438.73542222222295</v>
      </c>
    </row>
    <row r="123" spans="2:13" x14ac:dyDescent="0.3">
      <c r="B123" s="102"/>
      <c r="C123" s="102"/>
      <c r="D123" s="102"/>
      <c r="E123" s="102"/>
      <c r="F123" s="102"/>
      <c r="G123" s="102"/>
      <c r="H123" s="102"/>
      <c r="I123" s="102"/>
      <c r="J123" s="7"/>
    </row>
    <row r="124" spans="2:13" x14ac:dyDescent="0.3">
      <c r="B124" s="294" t="s">
        <v>313</v>
      </c>
      <c r="C124" s="294"/>
      <c r="D124" s="294"/>
      <c r="E124" s="294"/>
      <c r="F124" s="294"/>
      <c r="G124" s="294"/>
      <c r="H124" s="294"/>
      <c r="I124" s="294"/>
      <c r="J124" s="294"/>
    </row>
    <row r="125" spans="2:13" x14ac:dyDescent="0.3">
      <c r="B125" s="292" t="s">
        <v>314</v>
      </c>
      <c r="C125" s="292"/>
      <c r="D125" s="292"/>
      <c r="E125" s="292"/>
      <c r="F125" s="292"/>
      <c r="G125" s="292"/>
      <c r="H125" s="292"/>
      <c r="I125" s="292"/>
      <c r="J125" s="3" t="s">
        <v>171</v>
      </c>
    </row>
    <row r="126" spans="2:13" x14ac:dyDescent="0.3">
      <c r="B126" s="22" t="s">
        <v>134</v>
      </c>
      <c r="C126" s="291" t="s">
        <v>168</v>
      </c>
      <c r="D126" s="291"/>
      <c r="E126" s="291"/>
      <c r="F126" s="291"/>
      <c r="G126" s="291"/>
      <c r="H126" s="291"/>
      <c r="I126" s="291"/>
      <c r="J126" s="1">
        <f>J33</f>
        <v>2639.24</v>
      </c>
    </row>
    <row r="127" spans="2:13" x14ac:dyDescent="0.3">
      <c r="B127" s="22" t="s">
        <v>137</v>
      </c>
      <c r="C127" s="291" t="s">
        <v>185</v>
      </c>
      <c r="D127" s="291"/>
      <c r="E127" s="291"/>
      <c r="F127" s="291"/>
      <c r="G127" s="291"/>
      <c r="H127" s="291"/>
      <c r="I127" s="291"/>
      <c r="J127" s="1">
        <f>J65</f>
        <v>2441.9499999999998</v>
      </c>
    </row>
    <row r="128" spans="2:13" x14ac:dyDescent="0.3">
      <c r="B128" s="22" t="s">
        <v>148</v>
      </c>
      <c r="C128" s="291" t="s">
        <v>236</v>
      </c>
      <c r="D128" s="291"/>
      <c r="E128" s="291"/>
      <c r="F128" s="291"/>
      <c r="G128" s="291"/>
      <c r="H128" s="291"/>
      <c r="I128" s="291"/>
      <c r="J128" s="1">
        <f>J74</f>
        <v>187.61</v>
      </c>
    </row>
    <row r="129" spans="2:10" x14ac:dyDescent="0.3">
      <c r="B129" s="22" t="s">
        <v>151</v>
      </c>
      <c r="C129" s="291" t="s">
        <v>255</v>
      </c>
      <c r="D129" s="291"/>
      <c r="E129" s="291"/>
      <c r="F129" s="291"/>
      <c r="G129" s="291"/>
      <c r="H129" s="291"/>
      <c r="I129" s="291"/>
      <c r="J129" s="1">
        <f>J95</f>
        <v>61.37</v>
      </c>
    </row>
    <row r="130" spans="2:10" x14ac:dyDescent="0.3">
      <c r="B130" s="22" t="s">
        <v>180</v>
      </c>
      <c r="C130" s="291" t="s">
        <v>284</v>
      </c>
      <c r="D130" s="291"/>
      <c r="E130" s="291"/>
      <c r="F130" s="291"/>
      <c r="G130" s="291"/>
      <c r="H130" s="291"/>
      <c r="I130" s="291"/>
      <c r="J130" s="1">
        <f>J103</f>
        <v>185.61457777777775</v>
      </c>
    </row>
    <row r="131" spans="2:10" x14ac:dyDescent="0.3">
      <c r="B131" s="3"/>
      <c r="C131" s="292" t="s">
        <v>315</v>
      </c>
      <c r="D131" s="292"/>
      <c r="E131" s="292"/>
      <c r="F131" s="292"/>
      <c r="G131" s="292"/>
      <c r="H131" s="292"/>
      <c r="I131" s="292"/>
      <c r="J131" s="5">
        <f>SUM(J126:J130)</f>
        <v>5515.7845777777766</v>
      </c>
    </row>
    <row r="132" spans="2:10" x14ac:dyDescent="0.3">
      <c r="B132" s="22" t="s">
        <v>182</v>
      </c>
      <c r="C132" s="291" t="s">
        <v>289</v>
      </c>
      <c r="D132" s="291"/>
      <c r="E132" s="291"/>
      <c r="F132" s="291"/>
      <c r="G132" s="291"/>
      <c r="H132" s="291"/>
      <c r="I132" s="291"/>
      <c r="J132" s="1">
        <f>J113</f>
        <v>1081.8499999999999</v>
      </c>
    </row>
    <row r="133" spans="2:10" ht="17.399999999999999" x14ac:dyDescent="0.3">
      <c r="B133" s="293" t="s">
        <v>316</v>
      </c>
      <c r="C133" s="293"/>
      <c r="D133" s="293"/>
      <c r="E133" s="293"/>
      <c r="F133" s="293"/>
      <c r="G133" s="293"/>
      <c r="H133" s="293"/>
      <c r="I133" s="293"/>
      <c r="J133" s="23">
        <f>TRUNC(J131+J132,2)</f>
        <v>6597.63</v>
      </c>
    </row>
    <row r="134" spans="2:10" x14ac:dyDescent="0.3">
      <c r="B134" s="24"/>
      <c r="C134" s="24"/>
      <c r="D134" s="24"/>
      <c r="E134" s="24"/>
      <c r="F134" s="24"/>
      <c r="G134" s="24"/>
      <c r="H134" s="24"/>
      <c r="I134" s="24"/>
      <c r="J134" s="25"/>
    </row>
    <row r="135" spans="2:10" x14ac:dyDescent="0.3">
      <c r="B135" s="24"/>
      <c r="C135" s="24"/>
      <c r="D135" s="24"/>
      <c r="E135" s="24"/>
      <c r="F135" s="24"/>
      <c r="G135" s="24"/>
      <c r="H135" s="24"/>
      <c r="I135" s="24"/>
      <c r="J135" s="24"/>
    </row>
    <row r="136" spans="2:10" x14ac:dyDescent="0.3">
      <c r="B136" s="30"/>
      <c r="C136" s="31"/>
      <c r="D136" s="24"/>
      <c r="E136" s="24"/>
      <c r="F136" s="24"/>
      <c r="G136" s="24"/>
      <c r="H136" s="24"/>
      <c r="I136" s="24"/>
      <c r="J136" s="24"/>
    </row>
    <row r="137" spans="2:10" x14ac:dyDescent="0.3">
      <c r="B137" s="26"/>
      <c r="C137" s="26"/>
      <c r="D137" s="27"/>
    </row>
    <row r="138" spans="2:10" x14ac:dyDescent="0.3">
      <c r="B138" s="28"/>
      <c r="C138" s="24"/>
      <c r="D138" s="24"/>
    </row>
    <row r="139" spans="2:10" x14ac:dyDescent="0.3">
      <c r="B139" s="28"/>
      <c r="C139" s="24"/>
      <c r="D139" s="24"/>
    </row>
  </sheetData>
  <mergeCells count="139">
    <mergeCell ref="B1:J1"/>
    <mergeCell ref="B2:J2"/>
    <mergeCell ref="B3:J3"/>
    <mergeCell ref="B4:J4"/>
    <mergeCell ref="B5:J5"/>
    <mergeCell ref="B6:J6"/>
    <mergeCell ref="C11:H11"/>
    <mergeCell ref="I11:J11"/>
    <mergeCell ref="C12:H12"/>
    <mergeCell ref="I12:J12"/>
    <mergeCell ref="B14:J14"/>
    <mergeCell ref="B15:C15"/>
    <mergeCell ref="D15:E15"/>
    <mergeCell ref="F15:J15"/>
    <mergeCell ref="B7:J7"/>
    <mergeCell ref="B8:J8"/>
    <mergeCell ref="C9:H9"/>
    <mergeCell ref="I9:J9"/>
    <mergeCell ref="C10:H10"/>
    <mergeCell ref="I10:J10"/>
    <mergeCell ref="C20:H20"/>
    <mergeCell ref="I20:J20"/>
    <mergeCell ref="C21:H21"/>
    <mergeCell ref="I21:J21"/>
    <mergeCell ref="C22:H22"/>
    <mergeCell ref="I22:J22"/>
    <mergeCell ref="B16:C16"/>
    <mergeCell ref="D16:E16"/>
    <mergeCell ref="F16:J16"/>
    <mergeCell ref="B18:J18"/>
    <mergeCell ref="C19:H19"/>
    <mergeCell ref="I19:J19"/>
    <mergeCell ref="C28:H28"/>
    <mergeCell ref="C29:H29"/>
    <mergeCell ref="C30:H30"/>
    <mergeCell ref="C31:H31"/>
    <mergeCell ref="C32:H32"/>
    <mergeCell ref="B33:I33"/>
    <mergeCell ref="C23:H23"/>
    <mergeCell ref="I23:J23"/>
    <mergeCell ref="B24:J24"/>
    <mergeCell ref="B25:J25"/>
    <mergeCell ref="C26:H26"/>
    <mergeCell ref="C27:H27"/>
    <mergeCell ref="B41:H41"/>
    <mergeCell ref="C42:H42"/>
    <mergeCell ref="C43:H43"/>
    <mergeCell ref="C44:H44"/>
    <mergeCell ref="C45:H45"/>
    <mergeCell ref="C46:H46"/>
    <mergeCell ref="B35:J35"/>
    <mergeCell ref="B36:H36"/>
    <mergeCell ref="C37:H37"/>
    <mergeCell ref="C38:H38"/>
    <mergeCell ref="B39:H39"/>
    <mergeCell ref="B40:J40"/>
    <mergeCell ref="C53:H53"/>
    <mergeCell ref="C54:H54"/>
    <mergeCell ref="C55:H55"/>
    <mergeCell ref="C56:H56"/>
    <mergeCell ref="C57:H57"/>
    <mergeCell ref="B58:I58"/>
    <mergeCell ref="C47:H47"/>
    <mergeCell ref="C48:H48"/>
    <mergeCell ref="C49:H49"/>
    <mergeCell ref="B50:H50"/>
    <mergeCell ref="B51:J51"/>
    <mergeCell ref="B52:H52"/>
    <mergeCell ref="B65:I65"/>
    <mergeCell ref="B66:J66"/>
    <mergeCell ref="B67:J67"/>
    <mergeCell ref="C68:H68"/>
    <mergeCell ref="C69:H69"/>
    <mergeCell ref="C70:H70"/>
    <mergeCell ref="B59:J59"/>
    <mergeCell ref="B60:J60"/>
    <mergeCell ref="B61:I61"/>
    <mergeCell ref="C62:I62"/>
    <mergeCell ref="C63:I63"/>
    <mergeCell ref="C64:I64"/>
    <mergeCell ref="B78:H78"/>
    <mergeCell ref="C79:H79"/>
    <mergeCell ref="C80:H80"/>
    <mergeCell ref="C81:H81"/>
    <mergeCell ref="C82:H82"/>
    <mergeCell ref="C83:H83"/>
    <mergeCell ref="C71:H71"/>
    <mergeCell ref="C72:H72"/>
    <mergeCell ref="C73:H73"/>
    <mergeCell ref="B74:H74"/>
    <mergeCell ref="B76:J76"/>
    <mergeCell ref="B77:J77"/>
    <mergeCell ref="C75:J75"/>
    <mergeCell ref="B90:J90"/>
    <mergeCell ref="B91:J91"/>
    <mergeCell ref="B92:I92"/>
    <mergeCell ref="C93:I93"/>
    <mergeCell ref="C94:I94"/>
    <mergeCell ref="B95:I95"/>
    <mergeCell ref="C84:H84"/>
    <mergeCell ref="B85:H85"/>
    <mergeCell ref="B86:J86"/>
    <mergeCell ref="B87:H87"/>
    <mergeCell ref="C88:H88"/>
    <mergeCell ref="B89:H89"/>
    <mergeCell ref="C102:H102"/>
    <mergeCell ref="B103:H103"/>
    <mergeCell ref="B104:J104"/>
    <mergeCell ref="B105:J105"/>
    <mergeCell ref="C106:H106"/>
    <mergeCell ref="C107:H107"/>
    <mergeCell ref="B96:J96"/>
    <mergeCell ref="B97:J97"/>
    <mergeCell ref="C98:H98"/>
    <mergeCell ref="C99:H99"/>
    <mergeCell ref="C100:H100"/>
    <mergeCell ref="C101:H101"/>
    <mergeCell ref="C114:J114"/>
    <mergeCell ref="C115:H115"/>
    <mergeCell ref="C116:H116"/>
    <mergeCell ref="C118:H118"/>
    <mergeCell ref="C120:H120"/>
    <mergeCell ref="C122:H122"/>
    <mergeCell ref="C108:H108"/>
    <mergeCell ref="C109:H109"/>
    <mergeCell ref="C110:H110"/>
    <mergeCell ref="C111:H111"/>
    <mergeCell ref="C112:H112"/>
    <mergeCell ref="B113:H113"/>
    <mergeCell ref="C130:I130"/>
    <mergeCell ref="C131:I131"/>
    <mergeCell ref="C132:I132"/>
    <mergeCell ref="B133:I133"/>
    <mergeCell ref="B124:J124"/>
    <mergeCell ref="B125:I125"/>
    <mergeCell ref="C126:I126"/>
    <mergeCell ref="C127:I127"/>
    <mergeCell ref="C128:I128"/>
    <mergeCell ref="C129:I129"/>
  </mergeCells>
  <phoneticPr fontId="16" type="noConversion"/>
  <pageMargins left="0.51181102362204722" right="0.51181102362204722" top="0.78740157480314965" bottom="0.78740157480314965" header="0.31496062992125984" footer="0.31496062992125984"/>
  <pageSetup paperSize="9" scale="66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B2427-02A6-4C47-9B25-9BD3475B3E0C}">
  <sheetPr>
    <pageSetUpPr fitToPage="1"/>
  </sheetPr>
  <dimension ref="B1:M139"/>
  <sheetViews>
    <sheetView showGridLines="0" zoomScale="80" zoomScaleNormal="80" workbookViewId="0">
      <selection activeCell="B1" sqref="B1:J1"/>
    </sheetView>
  </sheetViews>
  <sheetFormatPr defaultColWidth="8.88671875" defaultRowHeight="14.4" x14ac:dyDescent="0.3"/>
  <cols>
    <col min="1" max="1" width="3.44140625" customWidth="1"/>
    <col min="2" max="2" width="10.44140625" customWidth="1"/>
    <col min="3" max="3" width="49.5546875" bestFit="1" customWidth="1"/>
    <col min="8" max="8" width="9" bestFit="1" customWidth="1"/>
    <col min="9" max="9" width="9.44140625" bestFit="1" customWidth="1"/>
    <col min="10" max="10" width="23.5546875" customWidth="1"/>
    <col min="11" max="11" width="11.88671875" bestFit="1" customWidth="1"/>
    <col min="12" max="12" width="25.88671875" style="34" customWidth="1"/>
    <col min="13" max="13" width="63.44140625" style="34" customWidth="1"/>
  </cols>
  <sheetData>
    <row r="1" spans="2:10" x14ac:dyDescent="0.3">
      <c r="B1" s="326" t="s">
        <v>1058</v>
      </c>
      <c r="C1" s="326"/>
      <c r="D1" s="326"/>
      <c r="E1" s="326"/>
      <c r="F1" s="326"/>
      <c r="G1" s="326"/>
      <c r="H1" s="326"/>
      <c r="I1" s="326"/>
      <c r="J1" s="326"/>
    </row>
    <row r="2" spans="2:10" x14ac:dyDescent="0.3">
      <c r="B2" s="327" t="s">
        <v>140</v>
      </c>
      <c r="C2" s="327"/>
      <c r="D2" s="327"/>
      <c r="E2" s="327"/>
      <c r="F2" s="327"/>
      <c r="G2" s="327"/>
      <c r="H2" s="327"/>
      <c r="I2" s="327"/>
      <c r="J2" s="327"/>
    </row>
    <row r="3" spans="2:10" x14ac:dyDescent="0.3">
      <c r="B3" s="327" t="s">
        <v>141</v>
      </c>
      <c r="C3" s="327"/>
      <c r="D3" s="327"/>
      <c r="E3" s="327"/>
      <c r="F3" s="327"/>
      <c r="G3" s="327"/>
      <c r="H3" s="327"/>
      <c r="I3" s="327"/>
      <c r="J3" s="327"/>
    </row>
    <row r="4" spans="2:10" x14ac:dyDescent="0.3">
      <c r="B4" s="328" t="s">
        <v>142</v>
      </c>
      <c r="C4" s="328"/>
      <c r="D4" s="328"/>
      <c r="E4" s="328"/>
      <c r="F4" s="328"/>
      <c r="G4" s="328"/>
      <c r="H4" s="328"/>
      <c r="I4" s="328"/>
      <c r="J4" s="328"/>
    </row>
    <row r="5" spans="2:10" x14ac:dyDescent="0.3">
      <c r="B5" s="323"/>
      <c r="C5" s="323"/>
      <c r="D5" s="323"/>
      <c r="E5" s="323"/>
      <c r="F5" s="323"/>
      <c r="G5" s="323"/>
      <c r="H5" s="323"/>
      <c r="I5" s="323"/>
      <c r="J5" s="323"/>
    </row>
    <row r="6" spans="2:10" x14ac:dyDescent="0.3">
      <c r="B6" s="329" t="s">
        <v>317</v>
      </c>
      <c r="C6" s="329"/>
      <c r="D6" s="329"/>
      <c r="E6" s="329"/>
      <c r="F6" s="329"/>
      <c r="G6" s="329"/>
      <c r="H6" s="329"/>
      <c r="I6" s="329"/>
      <c r="J6" s="329"/>
    </row>
    <row r="7" spans="2:10" x14ac:dyDescent="0.3">
      <c r="B7" s="325"/>
      <c r="C7" s="325"/>
      <c r="D7" s="325"/>
      <c r="E7" s="325"/>
      <c r="F7" s="325"/>
      <c r="G7" s="325"/>
      <c r="H7" s="325"/>
      <c r="I7" s="325"/>
      <c r="J7" s="325"/>
    </row>
    <row r="8" spans="2:10" x14ac:dyDescent="0.3">
      <c r="B8" s="294" t="s">
        <v>144</v>
      </c>
      <c r="C8" s="294"/>
      <c r="D8" s="294"/>
      <c r="E8" s="294"/>
      <c r="F8" s="294"/>
      <c r="G8" s="294"/>
      <c r="H8" s="294"/>
      <c r="I8" s="294"/>
      <c r="J8" s="294"/>
    </row>
    <row r="9" spans="2:10" x14ac:dyDescent="0.3">
      <c r="B9" s="22" t="s">
        <v>134</v>
      </c>
      <c r="C9" s="291" t="s">
        <v>145</v>
      </c>
      <c r="D9" s="291"/>
      <c r="E9" s="291"/>
      <c r="F9" s="291"/>
      <c r="G9" s="291"/>
      <c r="H9" s="291"/>
      <c r="I9" s="321"/>
      <c r="J9" s="322"/>
    </row>
    <row r="10" spans="2:10" x14ac:dyDescent="0.3">
      <c r="B10" s="22" t="s">
        <v>137</v>
      </c>
      <c r="C10" s="291" t="s">
        <v>146</v>
      </c>
      <c r="D10" s="291"/>
      <c r="E10" s="291"/>
      <c r="F10" s="291"/>
      <c r="G10" s="291"/>
      <c r="H10" s="291"/>
      <c r="I10" s="322" t="s">
        <v>147</v>
      </c>
      <c r="J10" s="322"/>
    </row>
    <row r="11" spans="2:10" ht="44.4" customHeight="1" x14ac:dyDescent="0.3">
      <c r="B11" s="22" t="s">
        <v>148</v>
      </c>
      <c r="C11" s="291" t="s">
        <v>149</v>
      </c>
      <c r="D11" s="291"/>
      <c r="E11" s="291"/>
      <c r="F11" s="291"/>
      <c r="G11" s="291"/>
      <c r="H11" s="291"/>
      <c r="I11" s="330" t="s">
        <v>150</v>
      </c>
      <c r="J11" s="322"/>
    </row>
    <row r="12" spans="2:10" x14ac:dyDescent="0.3">
      <c r="B12" s="22" t="s">
        <v>151</v>
      </c>
      <c r="C12" s="291" t="s">
        <v>152</v>
      </c>
      <c r="D12" s="291"/>
      <c r="E12" s="291"/>
      <c r="F12" s="291"/>
      <c r="G12" s="291"/>
      <c r="H12" s="291"/>
      <c r="I12" s="322">
        <v>20</v>
      </c>
      <c r="J12" s="322"/>
    </row>
    <row r="13" spans="2:10" x14ac:dyDescent="0.3">
      <c r="B13" s="102"/>
      <c r="C13" s="97"/>
      <c r="D13" s="97"/>
      <c r="E13" s="97"/>
      <c r="F13" s="97"/>
      <c r="G13" s="97"/>
      <c r="H13" s="97"/>
      <c r="I13" s="102"/>
      <c r="J13" s="102"/>
    </row>
    <row r="14" spans="2:10" x14ac:dyDescent="0.3">
      <c r="B14" s="294" t="s">
        <v>153</v>
      </c>
      <c r="C14" s="294"/>
      <c r="D14" s="294"/>
      <c r="E14" s="294"/>
      <c r="F14" s="294"/>
      <c r="G14" s="294"/>
      <c r="H14" s="294"/>
      <c r="I14" s="294"/>
      <c r="J14" s="294"/>
    </row>
    <row r="15" spans="2:10" x14ac:dyDescent="0.3">
      <c r="B15" s="322" t="s">
        <v>154</v>
      </c>
      <c r="C15" s="322"/>
      <c r="D15" s="322" t="s">
        <v>155</v>
      </c>
      <c r="E15" s="322"/>
      <c r="F15" s="322" t="s">
        <v>156</v>
      </c>
      <c r="G15" s="322"/>
      <c r="H15" s="322"/>
      <c r="I15" s="322"/>
      <c r="J15" s="322"/>
    </row>
    <row r="16" spans="2:10" x14ac:dyDescent="0.3">
      <c r="B16" s="322" t="s">
        <v>318</v>
      </c>
      <c r="C16" s="322"/>
      <c r="D16" s="322" t="s">
        <v>158</v>
      </c>
      <c r="E16" s="322"/>
      <c r="F16" s="322">
        <v>1</v>
      </c>
      <c r="G16" s="322"/>
      <c r="H16" s="322"/>
      <c r="I16" s="322"/>
      <c r="J16" s="322"/>
    </row>
    <row r="17" spans="2:13" x14ac:dyDescent="0.3">
      <c r="B17" s="102"/>
      <c r="C17" s="97"/>
      <c r="D17" s="97"/>
      <c r="E17" s="97"/>
      <c r="F17" s="97"/>
      <c r="G17" s="97"/>
      <c r="H17" s="97"/>
      <c r="I17" s="102"/>
      <c r="J17" s="102"/>
    </row>
    <row r="18" spans="2:13" x14ac:dyDescent="0.3">
      <c r="B18" s="294" t="s">
        <v>159</v>
      </c>
      <c r="C18" s="294"/>
      <c r="D18" s="294"/>
      <c r="E18" s="294"/>
      <c r="F18" s="294"/>
      <c r="G18" s="294"/>
      <c r="H18" s="294"/>
      <c r="I18" s="294"/>
      <c r="J18" s="294"/>
    </row>
    <row r="19" spans="2:13" x14ac:dyDescent="0.3">
      <c r="B19" s="22">
        <v>1</v>
      </c>
      <c r="C19" s="291" t="s">
        <v>160</v>
      </c>
      <c r="D19" s="291"/>
      <c r="E19" s="291"/>
      <c r="F19" s="291"/>
      <c r="G19" s="291"/>
      <c r="H19" s="291"/>
      <c r="I19" s="322" t="s">
        <v>161</v>
      </c>
      <c r="J19" s="322"/>
    </row>
    <row r="20" spans="2:13" x14ac:dyDescent="0.3">
      <c r="B20" s="22">
        <v>2</v>
      </c>
      <c r="C20" s="291" t="s">
        <v>162</v>
      </c>
      <c r="D20" s="291"/>
      <c r="E20" s="291"/>
      <c r="F20" s="291"/>
      <c r="G20" s="291"/>
      <c r="H20" s="291"/>
      <c r="I20" s="322" t="s">
        <v>319</v>
      </c>
      <c r="J20" s="322"/>
    </row>
    <row r="21" spans="2:13" x14ac:dyDescent="0.3">
      <c r="B21" s="22">
        <v>3</v>
      </c>
      <c r="C21" s="291" t="s">
        <v>164</v>
      </c>
      <c r="D21" s="291"/>
      <c r="E21" s="291"/>
      <c r="F21" s="291"/>
      <c r="G21" s="291"/>
      <c r="H21" s="291"/>
      <c r="I21" s="324">
        <v>2030.19</v>
      </c>
      <c r="J21" s="322"/>
    </row>
    <row r="22" spans="2:13" x14ac:dyDescent="0.3">
      <c r="B22" s="22">
        <v>4</v>
      </c>
      <c r="C22" s="291" t="s">
        <v>165</v>
      </c>
      <c r="D22" s="291"/>
      <c r="E22" s="291"/>
      <c r="F22" s="291"/>
      <c r="G22" s="291"/>
      <c r="H22" s="291"/>
      <c r="I22" s="292" t="s">
        <v>318</v>
      </c>
      <c r="J22" s="292"/>
    </row>
    <row r="23" spans="2:13" x14ac:dyDescent="0.3">
      <c r="B23" s="22">
        <v>5</v>
      </c>
      <c r="C23" s="291" t="s">
        <v>166</v>
      </c>
      <c r="D23" s="291"/>
      <c r="E23" s="291"/>
      <c r="F23" s="291"/>
      <c r="G23" s="291"/>
      <c r="H23" s="291"/>
      <c r="I23" s="321" t="s">
        <v>167</v>
      </c>
      <c r="J23" s="322"/>
    </row>
    <row r="24" spans="2:13" x14ac:dyDescent="0.3">
      <c r="B24" s="323"/>
      <c r="C24" s="323"/>
      <c r="D24" s="323"/>
      <c r="E24" s="323"/>
      <c r="F24" s="323"/>
      <c r="G24" s="323"/>
      <c r="H24" s="323"/>
      <c r="I24" s="323"/>
      <c r="J24" s="323"/>
    </row>
    <row r="25" spans="2:13" x14ac:dyDescent="0.3">
      <c r="B25" s="303" t="s">
        <v>168</v>
      </c>
      <c r="C25" s="303"/>
      <c r="D25" s="303"/>
      <c r="E25" s="303"/>
      <c r="F25" s="303"/>
      <c r="G25" s="303"/>
      <c r="H25" s="303"/>
      <c r="I25" s="303"/>
      <c r="J25" s="303"/>
    </row>
    <row r="26" spans="2:13" x14ac:dyDescent="0.3">
      <c r="B26" s="3">
        <v>1</v>
      </c>
      <c r="C26" s="292" t="s">
        <v>169</v>
      </c>
      <c r="D26" s="292"/>
      <c r="E26" s="292"/>
      <c r="F26" s="292"/>
      <c r="G26" s="292"/>
      <c r="H26" s="292"/>
      <c r="I26" s="3" t="s">
        <v>170</v>
      </c>
      <c r="J26" s="3" t="s">
        <v>171</v>
      </c>
      <c r="L26" s="237" t="s">
        <v>172</v>
      </c>
      <c r="M26" s="237" t="s">
        <v>173</v>
      </c>
    </row>
    <row r="27" spans="2:13" x14ac:dyDescent="0.3">
      <c r="B27" s="3" t="s">
        <v>134</v>
      </c>
      <c r="C27" s="291" t="s">
        <v>174</v>
      </c>
      <c r="D27" s="291"/>
      <c r="E27" s="291"/>
      <c r="F27" s="291"/>
      <c r="G27" s="291"/>
      <c r="H27" s="291"/>
      <c r="I27" s="99"/>
      <c r="J27" s="1">
        <v>2030.19</v>
      </c>
      <c r="L27" s="35"/>
      <c r="M27" s="36" t="s">
        <v>175</v>
      </c>
    </row>
    <row r="28" spans="2:13" x14ac:dyDescent="0.3">
      <c r="B28" s="3" t="s">
        <v>137</v>
      </c>
      <c r="C28" s="291" t="s">
        <v>176</v>
      </c>
      <c r="D28" s="291"/>
      <c r="E28" s="291"/>
      <c r="F28" s="291"/>
      <c r="G28" s="291"/>
      <c r="H28" s="291"/>
      <c r="I28" s="2"/>
      <c r="J28" s="1">
        <f>TRUNC($J$27*I28,2)</f>
        <v>0</v>
      </c>
      <c r="L28" s="35"/>
      <c r="M28" s="36"/>
    </row>
    <row r="29" spans="2:13" x14ac:dyDescent="0.3">
      <c r="B29" s="3" t="s">
        <v>148</v>
      </c>
      <c r="C29" s="291" t="s">
        <v>178</v>
      </c>
      <c r="D29" s="291"/>
      <c r="E29" s="291"/>
      <c r="F29" s="291"/>
      <c r="G29" s="291"/>
      <c r="H29" s="291"/>
      <c r="I29" s="2"/>
      <c r="J29" s="1">
        <f t="shared" ref="J29:J32" si="0">TRUNC($J$27*I29,2)</f>
        <v>0</v>
      </c>
    </row>
    <row r="30" spans="2:13" x14ac:dyDescent="0.3">
      <c r="B30" s="3" t="s">
        <v>151</v>
      </c>
      <c r="C30" s="291" t="s">
        <v>179</v>
      </c>
      <c r="D30" s="291"/>
      <c r="E30" s="291"/>
      <c r="F30" s="291"/>
      <c r="G30" s="291"/>
      <c r="H30" s="291"/>
      <c r="I30" s="2"/>
      <c r="J30" s="1">
        <f t="shared" si="0"/>
        <v>0</v>
      </c>
      <c r="K30" s="34"/>
    </row>
    <row r="31" spans="2:13" x14ac:dyDescent="0.3">
      <c r="B31" s="3" t="s">
        <v>180</v>
      </c>
      <c r="C31" s="291" t="s">
        <v>181</v>
      </c>
      <c r="D31" s="291"/>
      <c r="E31" s="291"/>
      <c r="F31" s="291"/>
      <c r="G31" s="291"/>
      <c r="H31" s="291"/>
      <c r="I31" s="4"/>
      <c r="J31" s="1">
        <f t="shared" si="0"/>
        <v>0</v>
      </c>
    </row>
    <row r="32" spans="2:13" x14ac:dyDescent="0.3">
      <c r="B32" s="3" t="s">
        <v>182</v>
      </c>
      <c r="C32" s="291" t="s">
        <v>183</v>
      </c>
      <c r="D32" s="291"/>
      <c r="E32" s="291"/>
      <c r="F32" s="291"/>
      <c r="G32" s="291"/>
      <c r="H32" s="291"/>
      <c r="I32" s="2"/>
      <c r="J32" s="1">
        <f t="shared" si="0"/>
        <v>0</v>
      </c>
    </row>
    <row r="33" spans="2:13" x14ac:dyDescent="0.3">
      <c r="B33" s="292" t="s">
        <v>184</v>
      </c>
      <c r="C33" s="292"/>
      <c r="D33" s="292"/>
      <c r="E33" s="292"/>
      <c r="F33" s="292"/>
      <c r="G33" s="292"/>
      <c r="H33" s="292"/>
      <c r="I33" s="292"/>
      <c r="J33" s="5">
        <f>SUM(J27:J32)</f>
        <v>2030.19</v>
      </c>
    </row>
    <row r="34" spans="2:13" x14ac:dyDescent="0.3">
      <c r="B34" s="6"/>
      <c r="C34" s="6"/>
      <c r="D34" s="6"/>
      <c r="E34" s="6"/>
      <c r="F34" s="6"/>
      <c r="G34" s="6"/>
      <c r="H34" s="6"/>
      <c r="I34" s="6"/>
      <c r="J34" s="7"/>
    </row>
    <row r="35" spans="2:13" x14ac:dyDescent="0.3">
      <c r="B35" s="303" t="s">
        <v>185</v>
      </c>
      <c r="C35" s="303"/>
      <c r="D35" s="303"/>
      <c r="E35" s="303"/>
      <c r="F35" s="303"/>
      <c r="G35" s="303"/>
      <c r="H35" s="303"/>
      <c r="I35" s="303"/>
      <c r="J35" s="303"/>
    </row>
    <row r="36" spans="2:13" x14ac:dyDescent="0.3">
      <c r="B36" s="318" t="s">
        <v>186</v>
      </c>
      <c r="C36" s="318"/>
      <c r="D36" s="318"/>
      <c r="E36" s="318"/>
      <c r="F36" s="318"/>
      <c r="G36" s="318"/>
      <c r="H36" s="318"/>
      <c r="I36" s="101" t="s">
        <v>170</v>
      </c>
      <c r="J36" s="101" t="s">
        <v>171</v>
      </c>
      <c r="L36" s="237" t="s">
        <v>172</v>
      </c>
      <c r="M36" s="237" t="s">
        <v>173</v>
      </c>
    </row>
    <row r="37" spans="2:13" ht="27.6" x14ac:dyDescent="0.3">
      <c r="B37" s="3" t="s">
        <v>134</v>
      </c>
      <c r="C37" s="291" t="s">
        <v>187</v>
      </c>
      <c r="D37" s="291"/>
      <c r="E37" s="291"/>
      <c r="F37" s="291"/>
      <c r="G37" s="291"/>
      <c r="H37" s="291"/>
      <c r="I37" s="8">
        <v>8.3299999999999999E-2</v>
      </c>
      <c r="J37" s="1">
        <f>TRUNC($J$33*I37,2)</f>
        <v>169.11</v>
      </c>
      <c r="K37" s="32"/>
      <c r="L37" s="35"/>
      <c r="M37" s="37" t="s">
        <v>188</v>
      </c>
    </row>
    <row r="38" spans="2:13" ht="27.6" x14ac:dyDescent="0.3">
      <c r="B38" s="3" t="s">
        <v>137</v>
      </c>
      <c r="C38" s="291" t="s">
        <v>189</v>
      </c>
      <c r="D38" s="291"/>
      <c r="E38" s="291"/>
      <c r="F38" s="291"/>
      <c r="G38" s="291"/>
      <c r="H38" s="291"/>
      <c r="I38" s="9">
        <v>0.121</v>
      </c>
      <c r="J38" s="1">
        <f>TRUNC($J$33*I38,2)</f>
        <v>245.65</v>
      </c>
      <c r="K38" s="32"/>
      <c r="L38" s="38" t="s">
        <v>190</v>
      </c>
      <c r="M38" s="37" t="s">
        <v>191</v>
      </c>
    </row>
    <row r="39" spans="2:13" x14ac:dyDescent="0.3">
      <c r="B39" s="292" t="s">
        <v>192</v>
      </c>
      <c r="C39" s="292"/>
      <c r="D39" s="292"/>
      <c r="E39" s="292"/>
      <c r="F39" s="292"/>
      <c r="G39" s="292"/>
      <c r="H39" s="292"/>
      <c r="I39" s="10">
        <f>SUM(I37:I38)</f>
        <v>0.20429999999999998</v>
      </c>
      <c r="J39" s="5">
        <f>SUM(J37:J38)</f>
        <v>414.76</v>
      </c>
      <c r="K39" s="33"/>
    </row>
    <row r="40" spans="2:13" x14ac:dyDescent="0.3">
      <c r="B40" s="319"/>
      <c r="C40" s="320"/>
      <c r="D40" s="320"/>
      <c r="E40" s="320"/>
      <c r="F40" s="320"/>
      <c r="G40" s="320"/>
      <c r="H40" s="320"/>
      <c r="I40" s="320"/>
      <c r="J40" s="320"/>
    </row>
    <row r="41" spans="2:13" x14ac:dyDescent="0.3">
      <c r="B41" s="318" t="s">
        <v>193</v>
      </c>
      <c r="C41" s="318"/>
      <c r="D41" s="318"/>
      <c r="E41" s="318"/>
      <c r="F41" s="318"/>
      <c r="G41" s="318"/>
      <c r="H41" s="318"/>
      <c r="I41" s="101" t="s">
        <v>170</v>
      </c>
      <c r="J41" s="101" t="s">
        <v>171</v>
      </c>
      <c r="L41" s="237" t="s">
        <v>172</v>
      </c>
      <c r="M41" s="237" t="s">
        <v>173</v>
      </c>
    </row>
    <row r="42" spans="2:13" x14ac:dyDescent="0.3">
      <c r="B42" s="3" t="s">
        <v>134</v>
      </c>
      <c r="C42" s="291" t="s">
        <v>194</v>
      </c>
      <c r="D42" s="291"/>
      <c r="E42" s="291"/>
      <c r="F42" s="291"/>
      <c r="G42" s="291"/>
      <c r="H42" s="291"/>
      <c r="I42" s="8">
        <v>0.2</v>
      </c>
      <c r="J42" s="1">
        <f>TRUNC(($J$33+$J$39)*$I$42,2)</f>
        <v>488.99</v>
      </c>
      <c r="L42" s="35"/>
      <c r="M42" s="39" t="s">
        <v>195</v>
      </c>
    </row>
    <row r="43" spans="2:13" x14ac:dyDescent="0.3">
      <c r="B43" s="3" t="s">
        <v>137</v>
      </c>
      <c r="C43" s="291" t="s">
        <v>196</v>
      </c>
      <c r="D43" s="291"/>
      <c r="E43" s="291"/>
      <c r="F43" s="291"/>
      <c r="G43" s="291"/>
      <c r="H43" s="291"/>
      <c r="I43" s="8">
        <v>2.5000000000000001E-2</v>
      </c>
      <c r="J43" s="1">
        <f>TRUNC(($J$33+$J$39)*$I$43,2)</f>
        <v>61.12</v>
      </c>
      <c r="L43" s="35"/>
      <c r="M43" s="39" t="s">
        <v>197</v>
      </c>
    </row>
    <row r="44" spans="2:13" x14ac:dyDescent="0.3">
      <c r="B44" s="3" t="s">
        <v>148</v>
      </c>
      <c r="C44" s="291" t="s">
        <v>198</v>
      </c>
      <c r="D44" s="291"/>
      <c r="E44" s="291"/>
      <c r="F44" s="291"/>
      <c r="G44" s="291"/>
      <c r="H44" s="291"/>
      <c r="I44" s="8">
        <v>0.03</v>
      </c>
      <c r="J44" s="1">
        <f>TRUNC(($J$33+$J$39)*$I$44,2)</f>
        <v>73.34</v>
      </c>
      <c r="L44" s="38" t="s">
        <v>199</v>
      </c>
      <c r="M44" s="39" t="s">
        <v>200</v>
      </c>
    </row>
    <row r="45" spans="2:13" x14ac:dyDescent="0.3">
      <c r="B45" s="3" t="s">
        <v>151</v>
      </c>
      <c r="C45" s="291" t="s">
        <v>201</v>
      </c>
      <c r="D45" s="291"/>
      <c r="E45" s="291"/>
      <c r="F45" s="291"/>
      <c r="G45" s="291"/>
      <c r="H45" s="291"/>
      <c r="I45" s="8">
        <v>1.4999999999999999E-2</v>
      </c>
      <c r="J45" s="1">
        <f>TRUNC(($J$33+$J$39)*$I$45,2)</f>
        <v>36.67</v>
      </c>
      <c r="L45" s="35"/>
      <c r="M45" s="39" t="s">
        <v>202</v>
      </c>
    </row>
    <row r="46" spans="2:13" x14ac:dyDescent="0.3">
      <c r="B46" s="3" t="s">
        <v>180</v>
      </c>
      <c r="C46" s="291" t="s">
        <v>203</v>
      </c>
      <c r="D46" s="291"/>
      <c r="E46" s="291"/>
      <c r="F46" s="291"/>
      <c r="G46" s="291"/>
      <c r="H46" s="291"/>
      <c r="I46" s="8">
        <v>0.01</v>
      </c>
      <c r="J46" s="1">
        <f>TRUNC(($J$33+$J$39)*$I$46,2)</f>
        <v>24.44</v>
      </c>
      <c r="L46" s="35"/>
      <c r="M46" s="39" t="s">
        <v>204</v>
      </c>
    </row>
    <row r="47" spans="2:13" x14ac:dyDescent="0.3">
      <c r="B47" s="3" t="s">
        <v>182</v>
      </c>
      <c r="C47" s="291" t="s">
        <v>205</v>
      </c>
      <c r="D47" s="291"/>
      <c r="E47" s="291"/>
      <c r="F47" s="291"/>
      <c r="G47" s="291"/>
      <c r="H47" s="291"/>
      <c r="I47" s="8">
        <v>6.0000000000000001E-3</v>
      </c>
      <c r="J47" s="1">
        <f>TRUNC(($J$33+$J$39)*$I$47,2)</f>
        <v>14.66</v>
      </c>
      <c r="L47" s="35"/>
      <c r="M47" s="40" t="s">
        <v>206</v>
      </c>
    </row>
    <row r="48" spans="2:13" x14ac:dyDescent="0.3">
      <c r="B48" s="3" t="s">
        <v>207</v>
      </c>
      <c r="C48" s="291" t="s">
        <v>208</v>
      </c>
      <c r="D48" s="291"/>
      <c r="E48" s="291"/>
      <c r="F48" s="291"/>
      <c r="G48" s="291"/>
      <c r="H48" s="291"/>
      <c r="I48" s="8">
        <v>2E-3</v>
      </c>
      <c r="J48" s="1">
        <f>TRUNC(($J$33+$J$39)*$I$48,2)</f>
        <v>4.88</v>
      </c>
      <c r="L48" s="35"/>
      <c r="M48" s="39" t="s">
        <v>204</v>
      </c>
    </row>
    <row r="49" spans="2:13" x14ac:dyDescent="0.3">
      <c r="B49" s="3" t="s">
        <v>209</v>
      </c>
      <c r="C49" s="291" t="s">
        <v>210</v>
      </c>
      <c r="D49" s="291"/>
      <c r="E49" s="291"/>
      <c r="F49" s="291"/>
      <c r="G49" s="291"/>
      <c r="H49" s="291"/>
      <c r="I49" s="8">
        <v>0.08</v>
      </c>
      <c r="J49" s="1">
        <f>TRUNC(($J$33+$J$39)*$I$49,2)</f>
        <v>195.59</v>
      </c>
      <c r="L49" s="35"/>
      <c r="M49" s="39" t="s">
        <v>211</v>
      </c>
    </row>
    <row r="50" spans="2:13" x14ac:dyDescent="0.3">
      <c r="B50" s="292" t="s">
        <v>212</v>
      </c>
      <c r="C50" s="292"/>
      <c r="D50" s="292"/>
      <c r="E50" s="292"/>
      <c r="F50" s="292"/>
      <c r="G50" s="292"/>
      <c r="H50" s="292"/>
      <c r="I50" s="10">
        <f>SUM(I42:I49)</f>
        <v>0.36800000000000005</v>
      </c>
      <c r="J50" s="5">
        <f>SUM(J42:J49)</f>
        <v>899.69</v>
      </c>
    </row>
    <row r="51" spans="2:13" x14ac:dyDescent="0.3">
      <c r="B51" s="313"/>
      <c r="C51" s="313"/>
      <c r="D51" s="313"/>
      <c r="E51" s="313"/>
      <c r="F51" s="313"/>
      <c r="G51" s="313"/>
      <c r="H51" s="313"/>
      <c r="I51" s="313"/>
      <c r="J51" s="314"/>
    </row>
    <row r="52" spans="2:13" x14ac:dyDescent="0.3">
      <c r="B52" s="318" t="s">
        <v>213</v>
      </c>
      <c r="C52" s="318"/>
      <c r="D52" s="318"/>
      <c r="E52" s="318"/>
      <c r="F52" s="318"/>
      <c r="G52" s="318"/>
      <c r="H52" s="318"/>
      <c r="I52" s="29"/>
      <c r="J52" s="101" t="s">
        <v>171</v>
      </c>
      <c r="L52" s="237" t="s">
        <v>172</v>
      </c>
      <c r="M52" s="237" t="s">
        <v>173</v>
      </c>
    </row>
    <row r="53" spans="2:13" x14ac:dyDescent="0.3">
      <c r="B53" s="3" t="s">
        <v>134</v>
      </c>
      <c r="C53" s="300" t="s">
        <v>214</v>
      </c>
      <c r="D53" s="300"/>
      <c r="E53" s="300"/>
      <c r="F53" s="300"/>
      <c r="G53" s="300"/>
      <c r="H53" s="300"/>
      <c r="I53" s="22" t="s">
        <v>24</v>
      </c>
      <c r="J53" s="11">
        <f>TRUNC((5.2*2*22)-(6%*J27),2)</f>
        <v>106.98</v>
      </c>
      <c r="L53" s="238" t="s">
        <v>215</v>
      </c>
      <c r="M53" s="238" t="s">
        <v>216</v>
      </c>
    </row>
    <row r="54" spans="2:13" x14ac:dyDescent="0.3">
      <c r="B54" s="3" t="s">
        <v>137</v>
      </c>
      <c r="C54" s="300" t="s">
        <v>217</v>
      </c>
      <c r="D54" s="300"/>
      <c r="E54" s="300"/>
      <c r="F54" s="300"/>
      <c r="G54" s="300"/>
      <c r="H54" s="300"/>
      <c r="I54" s="22" t="s">
        <v>24</v>
      </c>
      <c r="J54" s="141">
        <f>TRUNC(((24.5)*22*0.95),2)</f>
        <v>512.04999999999995</v>
      </c>
      <c r="L54" s="36" t="s">
        <v>218</v>
      </c>
      <c r="M54" s="36" t="s">
        <v>219</v>
      </c>
    </row>
    <row r="55" spans="2:13" x14ac:dyDescent="0.3">
      <c r="B55" s="3" t="s">
        <v>148</v>
      </c>
      <c r="C55" s="315" t="s">
        <v>220</v>
      </c>
      <c r="D55" s="316"/>
      <c r="E55" s="316"/>
      <c r="F55" s="316"/>
      <c r="G55" s="316"/>
      <c r="H55" s="317"/>
      <c r="I55" s="22" t="s">
        <v>24</v>
      </c>
      <c r="J55" s="141">
        <f>TRUNC(1%*J33,2)</f>
        <v>20.3</v>
      </c>
      <c r="L55" s="41"/>
      <c r="M55" s="36" t="s">
        <v>221</v>
      </c>
    </row>
    <row r="56" spans="2:13" x14ac:dyDescent="0.3">
      <c r="B56" s="3" t="s">
        <v>151</v>
      </c>
      <c r="C56" s="315" t="s">
        <v>222</v>
      </c>
      <c r="D56" s="316"/>
      <c r="E56" s="316"/>
      <c r="F56" s="316"/>
      <c r="G56" s="316"/>
      <c r="H56" s="317"/>
      <c r="I56" s="22" t="s">
        <v>24</v>
      </c>
      <c r="J56" s="141">
        <v>13.47</v>
      </c>
      <c r="L56" s="35"/>
      <c r="M56" s="36" t="s">
        <v>223</v>
      </c>
    </row>
    <row r="57" spans="2:13" x14ac:dyDescent="0.3">
      <c r="B57" s="3" t="s">
        <v>180</v>
      </c>
      <c r="C57" s="300" t="s">
        <v>224</v>
      </c>
      <c r="D57" s="300"/>
      <c r="E57" s="300"/>
      <c r="F57" s="300"/>
      <c r="G57" s="300"/>
      <c r="H57" s="300"/>
      <c r="I57" s="22" t="s">
        <v>24</v>
      </c>
      <c r="J57" s="11">
        <v>74.25</v>
      </c>
      <c r="L57" s="36"/>
      <c r="M57" s="36" t="s">
        <v>225</v>
      </c>
    </row>
    <row r="58" spans="2:13" x14ac:dyDescent="0.3">
      <c r="B58" s="292" t="s">
        <v>226</v>
      </c>
      <c r="C58" s="292"/>
      <c r="D58" s="292"/>
      <c r="E58" s="292"/>
      <c r="F58" s="292"/>
      <c r="G58" s="292"/>
      <c r="H58" s="292"/>
      <c r="I58" s="292"/>
      <c r="J58" s="5">
        <f>SUM(J53:J57)</f>
        <v>727.05</v>
      </c>
    </row>
    <row r="59" spans="2:13" x14ac:dyDescent="0.3">
      <c r="B59" s="313"/>
      <c r="C59" s="313"/>
      <c r="D59" s="313"/>
      <c r="E59" s="313"/>
      <c r="F59" s="313"/>
      <c r="G59" s="313"/>
      <c r="H59" s="313"/>
      <c r="I59" s="313"/>
      <c r="J59" s="314"/>
    </row>
    <row r="60" spans="2:13" x14ac:dyDescent="0.3">
      <c r="B60" s="294" t="s">
        <v>227</v>
      </c>
      <c r="C60" s="294"/>
      <c r="D60" s="294"/>
      <c r="E60" s="294"/>
      <c r="F60" s="294"/>
      <c r="G60" s="294"/>
      <c r="H60" s="294"/>
      <c r="I60" s="294"/>
      <c r="J60" s="294"/>
    </row>
    <row r="61" spans="2:13" x14ac:dyDescent="0.3">
      <c r="B61" s="292" t="s">
        <v>228</v>
      </c>
      <c r="C61" s="292"/>
      <c r="D61" s="292"/>
      <c r="E61" s="292"/>
      <c r="F61" s="292"/>
      <c r="G61" s="292"/>
      <c r="H61" s="292"/>
      <c r="I61" s="292"/>
      <c r="J61" s="3" t="s">
        <v>171</v>
      </c>
    </row>
    <row r="62" spans="2:13" x14ac:dyDescent="0.3">
      <c r="B62" s="3" t="s">
        <v>229</v>
      </c>
      <c r="C62" s="291" t="s">
        <v>230</v>
      </c>
      <c r="D62" s="291"/>
      <c r="E62" s="291"/>
      <c r="F62" s="291"/>
      <c r="G62" s="291"/>
      <c r="H62" s="291"/>
      <c r="I62" s="291"/>
      <c r="J62" s="1">
        <f>J39</f>
        <v>414.76</v>
      </c>
    </row>
    <row r="63" spans="2:13" x14ac:dyDescent="0.3">
      <c r="B63" s="3" t="s">
        <v>231</v>
      </c>
      <c r="C63" s="291" t="s">
        <v>232</v>
      </c>
      <c r="D63" s="291"/>
      <c r="E63" s="291"/>
      <c r="F63" s="291"/>
      <c r="G63" s="291"/>
      <c r="H63" s="291"/>
      <c r="I63" s="291"/>
      <c r="J63" s="1">
        <f>J50</f>
        <v>899.69</v>
      </c>
    </row>
    <row r="64" spans="2:13" x14ac:dyDescent="0.3">
      <c r="B64" s="3" t="s">
        <v>233</v>
      </c>
      <c r="C64" s="291" t="s">
        <v>234</v>
      </c>
      <c r="D64" s="291"/>
      <c r="E64" s="291"/>
      <c r="F64" s="291"/>
      <c r="G64" s="291"/>
      <c r="H64" s="291"/>
      <c r="I64" s="291"/>
      <c r="J64" s="1">
        <f>J58</f>
        <v>727.05</v>
      </c>
    </row>
    <row r="65" spans="2:13" x14ac:dyDescent="0.3">
      <c r="B65" s="292" t="s">
        <v>235</v>
      </c>
      <c r="C65" s="292"/>
      <c r="D65" s="292"/>
      <c r="E65" s="292"/>
      <c r="F65" s="292"/>
      <c r="G65" s="292"/>
      <c r="H65" s="292"/>
      <c r="I65" s="292"/>
      <c r="J65" s="5">
        <f>SUM(J62:J64)</f>
        <v>2041.5</v>
      </c>
    </row>
    <row r="66" spans="2:13" x14ac:dyDescent="0.3">
      <c r="B66" s="301"/>
      <c r="C66" s="302"/>
      <c r="D66" s="302"/>
      <c r="E66" s="302"/>
      <c r="F66" s="302"/>
      <c r="G66" s="302"/>
      <c r="H66" s="302"/>
      <c r="I66" s="302"/>
      <c r="J66" s="302"/>
    </row>
    <row r="67" spans="2:13" x14ac:dyDescent="0.3">
      <c r="B67" s="303" t="s">
        <v>236</v>
      </c>
      <c r="C67" s="303"/>
      <c r="D67" s="303"/>
      <c r="E67" s="303"/>
      <c r="F67" s="303"/>
      <c r="G67" s="303"/>
      <c r="H67" s="303"/>
      <c r="I67" s="303"/>
      <c r="J67" s="303"/>
    </row>
    <row r="68" spans="2:13" x14ac:dyDescent="0.3">
      <c r="B68" s="3">
        <v>3</v>
      </c>
      <c r="C68" s="292" t="s">
        <v>237</v>
      </c>
      <c r="D68" s="292"/>
      <c r="E68" s="292"/>
      <c r="F68" s="292"/>
      <c r="G68" s="292"/>
      <c r="H68" s="292"/>
      <c r="I68" s="3" t="s">
        <v>170</v>
      </c>
      <c r="J68" s="3" t="s">
        <v>171</v>
      </c>
      <c r="L68" s="237" t="s">
        <v>172</v>
      </c>
      <c r="M68" s="237" t="s">
        <v>173</v>
      </c>
    </row>
    <row r="69" spans="2:13" ht="27.6" x14ac:dyDescent="0.3">
      <c r="B69" s="3" t="s">
        <v>134</v>
      </c>
      <c r="C69" s="291" t="s">
        <v>238</v>
      </c>
      <c r="D69" s="291"/>
      <c r="E69" s="291"/>
      <c r="F69" s="291"/>
      <c r="G69" s="291"/>
      <c r="H69" s="291"/>
      <c r="I69" s="8">
        <f>(1/12)*5%</f>
        <v>4.1666666666666666E-3</v>
      </c>
      <c r="J69" s="1">
        <f>TRUNC(I69*$J$33,2)</f>
        <v>8.4499999999999993</v>
      </c>
      <c r="L69" s="42" t="s">
        <v>239</v>
      </c>
      <c r="M69" s="42" t="s">
        <v>240</v>
      </c>
    </row>
    <row r="70" spans="2:13" x14ac:dyDescent="0.3">
      <c r="B70" s="3" t="s">
        <v>137</v>
      </c>
      <c r="C70" s="291" t="s">
        <v>241</v>
      </c>
      <c r="D70" s="291"/>
      <c r="E70" s="291"/>
      <c r="F70" s="291"/>
      <c r="G70" s="291"/>
      <c r="H70" s="291"/>
      <c r="I70" s="8">
        <f>I49*I69</f>
        <v>3.3333333333333332E-4</v>
      </c>
      <c r="J70" s="1">
        <f>TRUNC(I70*$J$33,2)</f>
        <v>0.67</v>
      </c>
      <c r="L70" s="42" t="s">
        <v>242</v>
      </c>
      <c r="M70" s="42" t="s">
        <v>243</v>
      </c>
    </row>
    <row r="71" spans="2:13" x14ac:dyDescent="0.3">
      <c r="B71" s="3" t="s">
        <v>148</v>
      </c>
      <c r="C71" s="291" t="s">
        <v>244</v>
      </c>
      <c r="D71" s="291"/>
      <c r="E71" s="291"/>
      <c r="F71" s="291"/>
      <c r="G71" s="291"/>
      <c r="H71" s="291"/>
      <c r="I71" s="8">
        <f>((7/30)/12)</f>
        <v>1.9444444444444445E-2</v>
      </c>
      <c r="J71" s="1">
        <f t="shared" ref="J71:J72" si="1">TRUNC(I71*$J$33,2)</f>
        <v>39.47</v>
      </c>
      <c r="L71" s="42" t="s">
        <v>245</v>
      </c>
      <c r="M71" s="42" t="s">
        <v>246</v>
      </c>
    </row>
    <row r="72" spans="2:13" ht="27.6" x14ac:dyDescent="0.3">
      <c r="B72" s="3" t="s">
        <v>151</v>
      </c>
      <c r="C72" s="291" t="s">
        <v>247</v>
      </c>
      <c r="D72" s="291"/>
      <c r="E72" s="291"/>
      <c r="F72" s="291"/>
      <c r="G72" s="291"/>
      <c r="H72" s="291"/>
      <c r="I72" s="9">
        <f>I50*I71</f>
        <v>7.1555555555555565E-3</v>
      </c>
      <c r="J72" s="1">
        <f t="shared" si="1"/>
        <v>14.52</v>
      </c>
      <c r="L72" s="42" t="s">
        <v>248</v>
      </c>
    </row>
    <row r="73" spans="2:13" ht="27.6" x14ac:dyDescent="0.3">
      <c r="B73" s="3" t="s">
        <v>180</v>
      </c>
      <c r="C73" s="308" t="s">
        <v>249</v>
      </c>
      <c r="D73" s="308"/>
      <c r="E73" s="308"/>
      <c r="F73" s="308"/>
      <c r="G73" s="308"/>
      <c r="H73" s="308"/>
      <c r="I73" s="8">
        <v>0.04</v>
      </c>
      <c r="J73" s="1">
        <f>TRUNC(I73*$J$33,2)</f>
        <v>81.2</v>
      </c>
      <c r="L73" s="45" t="s">
        <v>250</v>
      </c>
      <c r="M73" s="46" t="s">
        <v>251</v>
      </c>
    </row>
    <row r="74" spans="2:13" x14ac:dyDescent="0.3">
      <c r="B74" s="292" t="s">
        <v>252</v>
      </c>
      <c r="C74" s="292"/>
      <c r="D74" s="292"/>
      <c r="E74" s="292"/>
      <c r="F74" s="292"/>
      <c r="G74" s="292"/>
      <c r="H74" s="292"/>
      <c r="I74" s="10">
        <f>SUM(I69:I73)</f>
        <v>7.1099999999999997E-2</v>
      </c>
      <c r="J74" s="5">
        <f>SUM(J69:J73)</f>
        <v>144.31</v>
      </c>
    </row>
    <row r="75" spans="2:13" ht="40.35" customHeight="1" x14ac:dyDescent="0.3">
      <c r="B75" s="103" t="s">
        <v>253</v>
      </c>
      <c r="C75" s="311" t="s">
        <v>254</v>
      </c>
      <c r="D75" s="311"/>
      <c r="E75" s="311"/>
      <c r="F75" s="311"/>
      <c r="G75" s="311"/>
      <c r="H75" s="311"/>
      <c r="I75" s="311"/>
      <c r="J75" s="312"/>
    </row>
    <row r="76" spans="2:13" x14ac:dyDescent="0.3">
      <c r="B76" s="309"/>
      <c r="C76" s="310"/>
      <c r="D76" s="310"/>
      <c r="E76" s="310"/>
      <c r="F76" s="310"/>
      <c r="G76" s="310"/>
      <c r="H76" s="310"/>
      <c r="I76" s="310"/>
      <c r="J76" s="310"/>
    </row>
    <row r="77" spans="2:13" x14ac:dyDescent="0.3">
      <c r="B77" s="303" t="s">
        <v>255</v>
      </c>
      <c r="C77" s="303"/>
      <c r="D77" s="303"/>
      <c r="E77" s="303"/>
      <c r="F77" s="303"/>
      <c r="G77" s="303"/>
      <c r="H77" s="303"/>
      <c r="I77" s="303"/>
      <c r="J77" s="303"/>
    </row>
    <row r="78" spans="2:13" x14ac:dyDescent="0.3">
      <c r="B78" s="292" t="s">
        <v>256</v>
      </c>
      <c r="C78" s="292"/>
      <c r="D78" s="292"/>
      <c r="E78" s="292"/>
      <c r="F78" s="292"/>
      <c r="G78" s="292"/>
      <c r="H78" s="292"/>
      <c r="I78" s="3" t="s">
        <v>170</v>
      </c>
      <c r="J78" s="3" t="s">
        <v>171</v>
      </c>
      <c r="L78" s="237" t="s">
        <v>172</v>
      </c>
      <c r="M78" s="237" t="s">
        <v>173</v>
      </c>
    </row>
    <row r="79" spans="2:13" ht="27.6" x14ac:dyDescent="0.3">
      <c r="B79" s="3" t="s">
        <v>134</v>
      </c>
      <c r="C79" s="291" t="s">
        <v>257</v>
      </c>
      <c r="D79" s="291"/>
      <c r="E79" s="291"/>
      <c r="F79" s="291"/>
      <c r="G79" s="291"/>
      <c r="H79" s="291"/>
      <c r="I79" s="8">
        <f>(1/12/12)+(1/12/12)+(1/12/12/3)</f>
        <v>1.6203703703703703E-2</v>
      </c>
      <c r="J79" s="1">
        <f>TRUNC(($J$33)*I79,2)</f>
        <v>32.89</v>
      </c>
      <c r="L79" s="42" t="s">
        <v>258</v>
      </c>
      <c r="M79" s="42" t="s">
        <v>259</v>
      </c>
    </row>
    <row r="80" spans="2:13" x14ac:dyDescent="0.3">
      <c r="B80" s="3" t="s">
        <v>137</v>
      </c>
      <c r="C80" s="291" t="s">
        <v>260</v>
      </c>
      <c r="D80" s="291"/>
      <c r="E80" s="291"/>
      <c r="F80" s="291"/>
      <c r="G80" s="291"/>
      <c r="H80" s="291"/>
      <c r="I80" s="8">
        <f>((1/30))/12</f>
        <v>2.7777777777777779E-3</v>
      </c>
      <c r="J80" s="1">
        <f t="shared" ref="J80:J84" si="2">TRUNC(($J$33)*I80,2)</f>
        <v>5.63</v>
      </c>
      <c r="L80" s="42" t="s">
        <v>261</v>
      </c>
      <c r="M80" s="42" t="s">
        <v>262</v>
      </c>
    </row>
    <row r="81" spans="2:13" ht="27.6" x14ac:dyDescent="0.3">
      <c r="B81" s="3" t="s">
        <v>148</v>
      </c>
      <c r="C81" s="291" t="s">
        <v>263</v>
      </c>
      <c r="D81" s="291"/>
      <c r="E81" s="291"/>
      <c r="F81" s="291"/>
      <c r="G81" s="291"/>
      <c r="H81" s="291"/>
      <c r="I81" s="8">
        <f>((5/30)/12)*1.5%</f>
        <v>2.0833333333333332E-4</v>
      </c>
      <c r="J81" s="1">
        <f t="shared" si="2"/>
        <v>0.42</v>
      </c>
      <c r="L81" s="42" t="s">
        <v>264</v>
      </c>
      <c r="M81" s="37" t="s">
        <v>265</v>
      </c>
    </row>
    <row r="82" spans="2:13" ht="27.6" x14ac:dyDescent="0.3">
      <c r="B82" s="3" t="s">
        <v>151</v>
      </c>
      <c r="C82" s="291" t="s">
        <v>266</v>
      </c>
      <c r="D82" s="291"/>
      <c r="E82" s="291"/>
      <c r="F82" s="291"/>
      <c r="G82" s="291"/>
      <c r="H82" s="291"/>
      <c r="I82" s="8">
        <f>((15/30)/12)*8%</f>
        <v>3.3333333333333331E-3</v>
      </c>
      <c r="J82" s="1">
        <f t="shared" si="2"/>
        <v>6.76</v>
      </c>
      <c r="L82" s="42" t="s">
        <v>267</v>
      </c>
      <c r="M82" s="37" t="s">
        <v>268</v>
      </c>
    </row>
    <row r="83" spans="2:13" ht="27.6" x14ac:dyDescent="0.3">
      <c r="B83" s="3" t="s">
        <v>180</v>
      </c>
      <c r="C83" s="291" t="s">
        <v>269</v>
      </c>
      <c r="D83" s="291"/>
      <c r="E83" s="291"/>
      <c r="F83" s="291"/>
      <c r="G83" s="291"/>
      <c r="H83" s="291"/>
      <c r="I83" s="8">
        <f>(((4*8.33%)+(4*2.78%))/12)*2%</f>
        <v>7.4066666666666671E-4</v>
      </c>
      <c r="J83" s="1">
        <f t="shared" si="2"/>
        <v>1.5</v>
      </c>
      <c r="L83" s="42" t="s">
        <v>270</v>
      </c>
      <c r="M83" s="37" t="s">
        <v>271</v>
      </c>
    </row>
    <row r="84" spans="2:13" x14ac:dyDescent="0.3">
      <c r="B84" s="3" t="s">
        <v>182</v>
      </c>
      <c r="C84" s="291" t="s">
        <v>272</v>
      </c>
      <c r="D84" s="291"/>
      <c r="E84" s="291"/>
      <c r="F84" s="291"/>
      <c r="G84" s="291"/>
      <c r="H84" s="291"/>
      <c r="I84" s="8">
        <v>0</v>
      </c>
      <c r="J84" s="1">
        <f t="shared" si="2"/>
        <v>0</v>
      </c>
    </row>
    <row r="85" spans="2:13" x14ac:dyDescent="0.3">
      <c r="B85" s="292" t="s">
        <v>273</v>
      </c>
      <c r="C85" s="292"/>
      <c r="D85" s="292"/>
      <c r="E85" s="292"/>
      <c r="F85" s="292"/>
      <c r="G85" s="292"/>
      <c r="H85" s="292"/>
      <c r="I85" s="10">
        <f>SUM(I79:I84)</f>
        <v>2.3263814814814817E-2</v>
      </c>
      <c r="J85" s="5">
        <f>SUM(J79:J84)</f>
        <v>47.2</v>
      </c>
    </row>
    <row r="86" spans="2:13" x14ac:dyDescent="0.3">
      <c r="B86" s="306"/>
      <c r="C86" s="307"/>
      <c r="D86" s="307"/>
      <c r="E86" s="307"/>
      <c r="F86" s="307"/>
      <c r="G86" s="307"/>
      <c r="H86" s="307"/>
      <c r="I86" s="307"/>
      <c r="J86" s="307"/>
    </row>
    <row r="87" spans="2:13" x14ac:dyDescent="0.3">
      <c r="B87" s="292" t="s">
        <v>274</v>
      </c>
      <c r="C87" s="292"/>
      <c r="D87" s="292"/>
      <c r="E87" s="292"/>
      <c r="F87" s="292"/>
      <c r="G87" s="292"/>
      <c r="H87" s="292"/>
      <c r="I87" s="3" t="s">
        <v>170</v>
      </c>
      <c r="J87" s="3" t="s">
        <v>171</v>
      </c>
    </row>
    <row r="88" spans="2:13" x14ac:dyDescent="0.3">
      <c r="B88" s="3" t="s">
        <v>134</v>
      </c>
      <c r="C88" s="308" t="s">
        <v>275</v>
      </c>
      <c r="D88" s="291"/>
      <c r="E88" s="291"/>
      <c r="F88" s="291"/>
      <c r="G88" s="291"/>
      <c r="H88" s="291"/>
      <c r="I88" s="8">
        <v>0</v>
      </c>
      <c r="J88" s="1">
        <v>0</v>
      </c>
    </row>
    <row r="89" spans="2:13" x14ac:dyDescent="0.3">
      <c r="B89" s="292" t="s">
        <v>276</v>
      </c>
      <c r="C89" s="292"/>
      <c r="D89" s="292"/>
      <c r="E89" s="292"/>
      <c r="F89" s="292"/>
      <c r="G89" s="292"/>
      <c r="H89" s="292"/>
      <c r="I89" s="10">
        <v>0</v>
      </c>
      <c r="J89" s="5">
        <v>0</v>
      </c>
    </row>
    <row r="90" spans="2:13" x14ac:dyDescent="0.3">
      <c r="B90" s="304"/>
      <c r="C90" s="305"/>
      <c r="D90" s="305"/>
      <c r="E90" s="305"/>
      <c r="F90" s="305"/>
      <c r="G90" s="305"/>
      <c r="H90" s="305"/>
      <c r="I90" s="305"/>
      <c r="J90" s="305"/>
    </row>
    <row r="91" spans="2:13" x14ac:dyDescent="0.3">
      <c r="B91" s="294" t="s">
        <v>277</v>
      </c>
      <c r="C91" s="294"/>
      <c r="D91" s="294"/>
      <c r="E91" s="294"/>
      <c r="F91" s="294"/>
      <c r="G91" s="294"/>
      <c r="H91" s="294"/>
      <c r="I91" s="294"/>
      <c r="J91" s="294"/>
    </row>
    <row r="92" spans="2:13" x14ac:dyDescent="0.3">
      <c r="B92" s="292" t="s">
        <v>278</v>
      </c>
      <c r="C92" s="292"/>
      <c r="D92" s="292"/>
      <c r="E92" s="292"/>
      <c r="F92" s="292"/>
      <c r="G92" s="292"/>
      <c r="H92" s="292"/>
      <c r="I92" s="292"/>
      <c r="J92" s="3" t="s">
        <v>171</v>
      </c>
    </row>
    <row r="93" spans="2:13" x14ac:dyDescent="0.3">
      <c r="B93" s="3" t="s">
        <v>279</v>
      </c>
      <c r="C93" s="291" t="s">
        <v>280</v>
      </c>
      <c r="D93" s="291"/>
      <c r="E93" s="291"/>
      <c r="F93" s="291"/>
      <c r="G93" s="291"/>
      <c r="H93" s="291"/>
      <c r="I93" s="291"/>
      <c r="J93" s="1">
        <f>J85</f>
        <v>47.2</v>
      </c>
    </row>
    <row r="94" spans="2:13" x14ac:dyDescent="0.3">
      <c r="B94" s="3" t="s">
        <v>281</v>
      </c>
      <c r="C94" s="291" t="s">
        <v>282</v>
      </c>
      <c r="D94" s="291"/>
      <c r="E94" s="291"/>
      <c r="F94" s="291"/>
      <c r="G94" s="291"/>
      <c r="H94" s="291"/>
      <c r="I94" s="291"/>
      <c r="J94" s="1">
        <f>J89</f>
        <v>0</v>
      </c>
    </row>
    <row r="95" spans="2:13" x14ac:dyDescent="0.3">
      <c r="B95" s="292" t="s">
        <v>283</v>
      </c>
      <c r="C95" s="292"/>
      <c r="D95" s="292"/>
      <c r="E95" s="292"/>
      <c r="F95" s="292"/>
      <c r="G95" s="292"/>
      <c r="H95" s="292"/>
      <c r="I95" s="292"/>
      <c r="J95" s="5">
        <f>SUM(J93:J94)</f>
        <v>47.2</v>
      </c>
    </row>
    <row r="96" spans="2:13" x14ac:dyDescent="0.3">
      <c r="B96" s="301"/>
      <c r="C96" s="302"/>
      <c r="D96" s="302"/>
      <c r="E96" s="302"/>
      <c r="F96" s="302"/>
      <c r="G96" s="302"/>
      <c r="H96" s="302"/>
      <c r="I96" s="302"/>
      <c r="J96" s="302"/>
    </row>
    <row r="97" spans="2:13" x14ac:dyDescent="0.3">
      <c r="B97" s="303" t="s">
        <v>284</v>
      </c>
      <c r="C97" s="303"/>
      <c r="D97" s="303"/>
      <c r="E97" s="303"/>
      <c r="F97" s="303"/>
      <c r="G97" s="303"/>
      <c r="H97" s="303"/>
      <c r="I97" s="303"/>
      <c r="J97" s="303"/>
    </row>
    <row r="98" spans="2:13" x14ac:dyDescent="0.3">
      <c r="B98" s="3">
        <v>5</v>
      </c>
      <c r="C98" s="292" t="s">
        <v>285</v>
      </c>
      <c r="D98" s="292"/>
      <c r="E98" s="292"/>
      <c r="F98" s="292"/>
      <c r="G98" s="292"/>
      <c r="H98" s="292"/>
      <c r="I98" s="3"/>
      <c r="J98" s="3" t="s">
        <v>171</v>
      </c>
      <c r="L98"/>
      <c r="M98"/>
    </row>
    <row r="99" spans="2:13" x14ac:dyDescent="0.3">
      <c r="B99" s="3" t="s">
        <v>134</v>
      </c>
      <c r="C99" s="300" t="s">
        <v>286</v>
      </c>
      <c r="D99" s="300"/>
      <c r="E99" s="300"/>
      <c r="F99" s="300"/>
      <c r="G99" s="300"/>
      <c r="H99" s="300"/>
      <c r="I99" s="8" t="s">
        <v>24</v>
      </c>
      <c r="J99" s="143">
        <f>Uniformes!E12</f>
        <v>91.481111111111105</v>
      </c>
      <c r="L99"/>
      <c r="M99"/>
    </row>
    <row r="100" spans="2:13" x14ac:dyDescent="0.3">
      <c r="B100" s="3" t="s">
        <v>137</v>
      </c>
      <c r="C100" s="300" t="s">
        <v>287</v>
      </c>
      <c r="D100" s="300"/>
      <c r="E100" s="300"/>
      <c r="F100" s="300"/>
      <c r="G100" s="300"/>
      <c r="H100" s="300"/>
      <c r="I100" s="8" t="s">
        <v>24</v>
      </c>
      <c r="J100" s="245">
        <f>'Equip. Ferram.'!E99</f>
        <v>94.133466666666664</v>
      </c>
      <c r="L100"/>
      <c r="M100"/>
    </row>
    <row r="101" spans="2:13" x14ac:dyDescent="0.3">
      <c r="B101" s="100" t="s">
        <v>148</v>
      </c>
      <c r="C101" s="300" t="s">
        <v>183</v>
      </c>
      <c r="D101" s="300"/>
      <c r="E101" s="300"/>
      <c r="F101" s="300"/>
      <c r="G101" s="300"/>
      <c r="H101" s="300"/>
      <c r="I101" s="22"/>
      <c r="J101" s="1"/>
    </row>
    <row r="102" spans="2:13" x14ac:dyDescent="0.3">
      <c r="B102" s="100" t="s">
        <v>151</v>
      </c>
      <c r="C102" s="300" t="s">
        <v>183</v>
      </c>
      <c r="D102" s="300"/>
      <c r="E102" s="300"/>
      <c r="F102" s="300"/>
      <c r="G102" s="300"/>
      <c r="H102" s="300"/>
      <c r="I102" s="22" t="s">
        <v>24</v>
      </c>
      <c r="J102" s="1">
        <v>0</v>
      </c>
    </row>
    <row r="103" spans="2:13" x14ac:dyDescent="0.3">
      <c r="B103" s="292" t="s">
        <v>288</v>
      </c>
      <c r="C103" s="292"/>
      <c r="D103" s="292"/>
      <c r="E103" s="292"/>
      <c r="F103" s="292"/>
      <c r="G103" s="292"/>
      <c r="H103" s="292"/>
      <c r="I103" s="10" t="s">
        <v>24</v>
      </c>
      <c r="J103" s="5">
        <f>SUM(J99:J102)</f>
        <v>185.61457777777775</v>
      </c>
    </row>
    <row r="104" spans="2:13" x14ac:dyDescent="0.3">
      <c r="B104" s="301"/>
      <c r="C104" s="302"/>
      <c r="D104" s="302"/>
      <c r="E104" s="302"/>
      <c r="F104" s="302"/>
      <c r="G104" s="302"/>
      <c r="H104" s="302"/>
      <c r="I104" s="302"/>
      <c r="J104" s="302"/>
    </row>
    <row r="105" spans="2:13" x14ac:dyDescent="0.3">
      <c r="B105" s="303" t="s">
        <v>289</v>
      </c>
      <c r="C105" s="303"/>
      <c r="D105" s="303"/>
      <c r="E105" s="303"/>
      <c r="F105" s="303"/>
      <c r="G105" s="303"/>
      <c r="H105" s="303"/>
      <c r="I105" s="303"/>
      <c r="J105" s="303"/>
    </row>
    <row r="106" spans="2:13" x14ac:dyDescent="0.3">
      <c r="B106" s="3">
        <v>6</v>
      </c>
      <c r="C106" s="292" t="s">
        <v>290</v>
      </c>
      <c r="D106" s="292"/>
      <c r="E106" s="292"/>
      <c r="F106" s="292"/>
      <c r="G106" s="292"/>
      <c r="H106" s="292"/>
      <c r="I106" s="3" t="s">
        <v>170</v>
      </c>
      <c r="J106" s="3" t="s">
        <v>171</v>
      </c>
      <c r="L106" s="237" t="s">
        <v>172</v>
      </c>
      <c r="M106" s="237" t="s">
        <v>173</v>
      </c>
    </row>
    <row r="107" spans="2:13" x14ac:dyDescent="0.3">
      <c r="B107" s="3" t="s">
        <v>134</v>
      </c>
      <c r="C107" s="291" t="s">
        <v>291</v>
      </c>
      <c r="D107" s="291"/>
      <c r="E107" s="291"/>
      <c r="F107" s="291"/>
      <c r="G107" s="291"/>
      <c r="H107" s="291"/>
      <c r="I107" s="12">
        <v>5.2699999999999997E-2</v>
      </c>
      <c r="J107" s="1">
        <f>TRUNC(((J131)*I107),2)</f>
        <v>234.45</v>
      </c>
      <c r="L107" s="41"/>
      <c r="M107" s="41" t="s">
        <v>292</v>
      </c>
    </row>
    <row r="108" spans="2:13" x14ac:dyDescent="0.3">
      <c r="B108" s="3" t="s">
        <v>137</v>
      </c>
      <c r="C108" s="291" t="s">
        <v>293</v>
      </c>
      <c r="D108" s="291"/>
      <c r="E108" s="291"/>
      <c r="F108" s="291"/>
      <c r="G108" s="291"/>
      <c r="H108" s="291"/>
      <c r="I108" s="12">
        <v>6.0699999999999997E-2</v>
      </c>
      <c r="J108" s="1">
        <f>TRUNC(((J131+J107)*I108),2)</f>
        <v>284.27</v>
      </c>
      <c r="L108" s="41"/>
      <c r="M108" s="41" t="s">
        <v>294</v>
      </c>
    </row>
    <row r="109" spans="2:13" x14ac:dyDescent="0.3">
      <c r="B109" s="3" t="s">
        <v>148</v>
      </c>
      <c r="C109" s="299" t="s">
        <v>295</v>
      </c>
      <c r="D109" s="299"/>
      <c r="E109" s="299"/>
      <c r="F109" s="299"/>
      <c r="G109" s="299"/>
      <c r="H109" s="299"/>
      <c r="I109" s="2"/>
      <c r="J109" s="13"/>
      <c r="L109" s="43"/>
      <c r="M109" s="43"/>
    </row>
    <row r="110" spans="2:13" x14ac:dyDescent="0.3">
      <c r="B110" s="3" t="s">
        <v>296</v>
      </c>
      <c r="C110" s="291" t="s">
        <v>297</v>
      </c>
      <c r="D110" s="291"/>
      <c r="E110" s="291"/>
      <c r="F110" s="291"/>
      <c r="G110" s="291"/>
      <c r="H110" s="291"/>
      <c r="I110" s="14">
        <v>6.4999999999999997E-3</v>
      </c>
      <c r="J110" s="1">
        <f>TRUNC(I110*((J131+J107+J108)/(1-I115)),2)</f>
        <v>34.58</v>
      </c>
      <c r="L110" s="41"/>
      <c r="M110" s="41" t="s">
        <v>298</v>
      </c>
    </row>
    <row r="111" spans="2:13" x14ac:dyDescent="0.3">
      <c r="B111" s="3" t="s">
        <v>299</v>
      </c>
      <c r="C111" s="291" t="s">
        <v>300</v>
      </c>
      <c r="D111" s="291"/>
      <c r="E111" s="291"/>
      <c r="F111" s="291"/>
      <c r="G111" s="291"/>
      <c r="H111" s="291"/>
      <c r="I111" s="14">
        <v>0.03</v>
      </c>
      <c r="J111" s="1">
        <f>TRUNC(I111*(J131+J107+J108)/(1-I115),2)</f>
        <v>159.63999999999999</v>
      </c>
      <c r="L111" s="41"/>
      <c r="M111" s="41" t="s">
        <v>301</v>
      </c>
    </row>
    <row r="112" spans="2:13" x14ac:dyDescent="0.3">
      <c r="B112" s="3" t="s">
        <v>302</v>
      </c>
      <c r="C112" s="291" t="s">
        <v>303</v>
      </c>
      <c r="D112" s="291"/>
      <c r="E112" s="291"/>
      <c r="F112" s="291"/>
      <c r="G112" s="291"/>
      <c r="H112" s="291"/>
      <c r="I112" s="14">
        <v>0.03</v>
      </c>
      <c r="J112" s="1">
        <f>TRUNC(I112*(J131+J107+J108)/(1-I115),2)</f>
        <v>159.63999999999999</v>
      </c>
      <c r="L112" s="44"/>
      <c r="M112" s="44" t="s">
        <v>304</v>
      </c>
    </row>
    <row r="113" spans="2:13" x14ac:dyDescent="0.3">
      <c r="B113" s="292" t="s">
        <v>305</v>
      </c>
      <c r="C113" s="292"/>
      <c r="D113" s="292"/>
      <c r="E113" s="292"/>
      <c r="F113" s="292"/>
      <c r="G113" s="292"/>
      <c r="H113" s="292"/>
      <c r="I113" s="14">
        <f>SUM(I107:I112)</f>
        <v>0.1799</v>
      </c>
      <c r="J113" s="5">
        <f>SUM(J107:J112)</f>
        <v>872.58</v>
      </c>
    </row>
    <row r="114" spans="2:13" x14ac:dyDescent="0.3">
      <c r="B114" s="102"/>
      <c r="C114" s="295"/>
      <c r="D114" s="295"/>
      <c r="E114" s="295"/>
      <c r="F114" s="295"/>
      <c r="G114" s="295"/>
      <c r="H114" s="295"/>
      <c r="I114" s="295"/>
      <c r="J114" s="295"/>
      <c r="L114" s="43"/>
      <c r="M114" s="43"/>
    </row>
    <row r="115" spans="2:13" x14ac:dyDescent="0.3">
      <c r="B115" s="239" t="s">
        <v>306</v>
      </c>
      <c r="C115" s="296" t="s">
        <v>307</v>
      </c>
      <c r="D115" s="296"/>
      <c r="E115" s="296"/>
      <c r="F115" s="296"/>
      <c r="G115" s="296"/>
      <c r="H115" s="296"/>
      <c r="I115" s="240">
        <f>I110+I111+I112</f>
        <v>6.6500000000000004E-2</v>
      </c>
      <c r="J115" s="241"/>
    </row>
    <row r="116" spans="2:13" x14ac:dyDescent="0.3">
      <c r="B116" s="15"/>
      <c r="C116" s="297">
        <v>100</v>
      </c>
      <c r="D116" s="297"/>
      <c r="E116" s="297"/>
      <c r="F116" s="297"/>
      <c r="G116" s="297"/>
      <c r="H116" s="297"/>
      <c r="I116" s="16"/>
      <c r="J116" s="17"/>
    </row>
    <row r="117" spans="2:13" x14ac:dyDescent="0.3">
      <c r="B117" s="18"/>
      <c r="C117" s="98"/>
      <c r="D117" s="98"/>
      <c r="E117" s="98"/>
      <c r="F117" s="98"/>
      <c r="G117" s="98"/>
      <c r="H117" s="98"/>
      <c r="I117" s="16"/>
      <c r="J117" s="17"/>
    </row>
    <row r="118" spans="2:13" x14ac:dyDescent="0.3">
      <c r="B118" s="15" t="s">
        <v>308</v>
      </c>
      <c r="C118" s="297" t="s">
        <v>309</v>
      </c>
      <c r="D118" s="297"/>
      <c r="E118" s="297"/>
      <c r="F118" s="297"/>
      <c r="G118" s="297"/>
      <c r="H118" s="297"/>
      <c r="I118" s="16"/>
      <c r="J118" s="17">
        <f>J33+J65+J74+J95+J103+J107+J108</f>
        <v>4967.5345777777766</v>
      </c>
    </row>
    <row r="119" spans="2:13" x14ac:dyDescent="0.3">
      <c r="B119" s="15"/>
      <c r="C119" s="98"/>
      <c r="D119" s="98"/>
      <c r="E119" s="98"/>
      <c r="F119" s="98"/>
      <c r="G119" s="98"/>
      <c r="H119" s="98"/>
      <c r="I119" s="16"/>
      <c r="J119" s="17"/>
    </row>
    <row r="120" spans="2:13" x14ac:dyDescent="0.3">
      <c r="B120" s="15" t="s">
        <v>310</v>
      </c>
      <c r="C120" s="297" t="s">
        <v>311</v>
      </c>
      <c r="D120" s="297"/>
      <c r="E120" s="297"/>
      <c r="F120" s="297"/>
      <c r="G120" s="297"/>
      <c r="H120" s="297"/>
      <c r="I120" s="16"/>
      <c r="J120" s="17">
        <f>TRUNC(J118/(1-I115),2)</f>
        <v>5321.4</v>
      </c>
    </row>
    <row r="121" spans="2:13" x14ac:dyDescent="0.3">
      <c r="B121" s="15"/>
      <c r="C121" s="98"/>
      <c r="D121" s="98"/>
      <c r="E121" s="98"/>
      <c r="F121" s="98"/>
      <c r="G121" s="98"/>
      <c r="H121" s="98"/>
      <c r="I121" s="16"/>
      <c r="J121" s="17"/>
    </row>
    <row r="122" spans="2:13" x14ac:dyDescent="0.3">
      <c r="B122" s="19"/>
      <c r="C122" s="298" t="s">
        <v>312</v>
      </c>
      <c r="D122" s="298"/>
      <c r="E122" s="298"/>
      <c r="F122" s="298"/>
      <c r="G122" s="298"/>
      <c r="H122" s="298"/>
      <c r="I122" s="20"/>
      <c r="J122" s="21">
        <f>J120-J118</f>
        <v>353.86542222222306</v>
      </c>
    </row>
    <row r="123" spans="2:13" x14ac:dyDescent="0.3">
      <c r="B123" s="102"/>
      <c r="C123" s="102"/>
      <c r="D123" s="102"/>
      <c r="E123" s="102"/>
      <c r="F123" s="102"/>
      <c r="G123" s="102"/>
      <c r="H123" s="102"/>
      <c r="I123" s="102"/>
      <c r="J123" s="7"/>
    </row>
    <row r="124" spans="2:13" x14ac:dyDescent="0.3">
      <c r="B124" s="294" t="s">
        <v>313</v>
      </c>
      <c r="C124" s="294"/>
      <c r="D124" s="294"/>
      <c r="E124" s="294"/>
      <c r="F124" s="294"/>
      <c r="G124" s="294"/>
      <c r="H124" s="294"/>
      <c r="I124" s="294"/>
      <c r="J124" s="294"/>
    </row>
    <row r="125" spans="2:13" x14ac:dyDescent="0.3">
      <c r="B125" s="292" t="s">
        <v>314</v>
      </c>
      <c r="C125" s="292"/>
      <c r="D125" s="292"/>
      <c r="E125" s="292"/>
      <c r="F125" s="292"/>
      <c r="G125" s="292"/>
      <c r="H125" s="292"/>
      <c r="I125" s="292"/>
      <c r="J125" s="3" t="s">
        <v>171</v>
      </c>
    </row>
    <row r="126" spans="2:13" x14ac:dyDescent="0.3">
      <c r="B126" s="22" t="s">
        <v>134</v>
      </c>
      <c r="C126" s="291" t="s">
        <v>168</v>
      </c>
      <c r="D126" s="291"/>
      <c r="E126" s="291"/>
      <c r="F126" s="291"/>
      <c r="G126" s="291"/>
      <c r="H126" s="291"/>
      <c r="I126" s="291"/>
      <c r="J126" s="1">
        <f>J33</f>
        <v>2030.19</v>
      </c>
    </row>
    <row r="127" spans="2:13" x14ac:dyDescent="0.3">
      <c r="B127" s="22" t="s">
        <v>137</v>
      </c>
      <c r="C127" s="291" t="s">
        <v>185</v>
      </c>
      <c r="D127" s="291"/>
      <c r="E127" s="291"/>
      <c r="F127" s="291"/>
      <c r="G127" s="291"/>
      <c r="H127" s="291"/>
      <c r="I127" s="291"/>
      <c r="J127" s="1">
        <f>J65</f>
        <v>2041.5</v>
      </c>
    </row>
    <row r="128" spans="2:13" x14ac:dyDescent="0.3">
      <c r="B128" s="22" t="s">
        <v>148</v>
      </c>
      <c r="C128" s="291" t="s">
        <v>236</v>
      </c>
      <c r="D128" s="291"/>
      <c r="E128" s="291"/>
      <c r="F128" s="291"/>
      <c r="G128" s="291"/>
      <c r="H128" s="291"/>
      <c r="I128" s="291"/>
      <c r="J128" s="1">
        <f>J74</f>
        <v>144.31</v>
      </c>
    </row>
    <row r="129" spans="2:10" x14ac:dyDescent="0.3">
      <c r="B129" s="22" t="s">
        <v>151</v>
      </c>
      <c r="C129" s="291" t="s">
        <v>255</v>
      </c>
      <c r="D129" s="291"/>
      <c r="E129" s="291"/>
      <c r="F129" s="291"/>
      <c r="G129" s="291"/>
      <c r="H129" s="291"/>
      <c r="I129" s="291"/>
      <c r="J129" s="1">
        <f>J95</f>
        <v>47.2</v>
      </c>
    </row>
    <row r="130" spans="2:10" x14ac:dyDescent="0.3">
      <c r="B130" s="22" t="s">
        <v>180</v>
      </c>
      <c r="C130" s="291" t="s">
        <v>284</v>
      </c>
      <c r="D130" s="291"/>
      <c r="E130" s="291"/>
      <c r="F130" s="291"/>
      <c r="G130" s="291"/>
      <c r="H130" s="291"/>
      <c r="I130" s="291"/>
      <c r="J130" s="1">
        <f>J103</f>
        <v>185.61457777777775</v>
      </c>
    </row>
    <row r="131" spans="2:10" x14ac:dyDescent="0.3">
      <c r="B131" s="3"/>
      <c r="C131" s="292" t="s">
        <v>315</v>
      </c>
      <c r="D131" s="292"/>
      <c r="E131" s="292"/>
      <c r="F131" s="292"/>
      <c r="G131" s="292"/>
      <c r="H131" s="292"/>
      <c r="I131" s="292"/>
      <c r="J131" s="5">
        <f>SUM(J126:J130)</f>
        <v>4448.8145777777772</v>
      </c>
    </row>
    <row r="132" spans="2:10" x14ac:dyDescent="0.3">
      <c r="B132" s="22" t="s">
        <v>182</v>
      </c>
      <c r="C132" s="291" t="s">
        <v>289</v>
      </c>
      <c r="D132" s="291"/>
      <c r="E132" s="291"/>
      <c r="F132" s="291"/>
      <c r="G132" s="291"/>
      <c r="H132" s="291"/>
      <c r="I132" s="291"/>
      <c r="J132" s="1">
        <f>J113</f>
        <v>872.58</v>
      </c>
    </row>
    <row r="133" spans="2:10" ht="17.399999999999999" x14ac:dyDescent="0.3">
      <c r="B133" s="293" t="s">
        <v>316</v>
      </c>
      <c r="C133" s="293"/>
      <c r="D133" s="293"/>
      <c r="E133" s="293"/>
      <c r="F133" s="293"/>
      <c r="G133" s="293"/>
      <c r="H133" s="293"/>
      <c r="I133" s="293"/>
      <c r="J133" s="23">
        <f>TRUNC(J131+J132,2)</f>
        <v>5321.39</v>
      </c>
    </row>
    <row r="134" spans="2:10" x14ac:dyDescent="0.3">
      <c r="B134" s="24"/>
      <c r="C134" s="24"/>
      <c r="D134" s="24"/>
      <c r="E134" s="24"/>
      <c r="F134" s="24"/>
      <c r="G134" s="24"/>
      <c r="H134" s="24"/>
      <c r="I134" s="24"/>
      <c r="J134" s="25"/>
    </row>
    <row r="135" spans="2:10" x14ac:dyDescent="0.3">
      <c r="B135" s="24"/>
      <c r="C135" s="24"/>
      <c r="D135" s="24"/>
      <c r="E135" s="24"/>
      <c r="F135" s="24"/>
      <c r="G135" s="24"/>
      <c r="H135" s="24"/>
      <c r="I135" s="24"/>
      <c r="J135" s="24"/>
    </row>
    <row r="136" spans="2:10" x14ac:dyDescent="0.3">
      <c r="B136" s="30"/>
      <c r="C136" s="31"/>
      <c r="D136" s="24"/>
      <c r="E136" s="24"/>
      <c r="F136" s="24"/>
      <c r="G136" s="24"/>
      <c r="H136" s="24"/>
      <c r="I136" s="24"/>
      <c r="J136" s="24"/>
    </row>
    <row r="137" spans="2:10" x14ac:dyDescent="0.3">
      <c r="B137" s="26"/>
      <c r="C137" s="26"/>
      <c r="D137" s="27"/>
    </row>
    <row r="138" spans="2:10" x14ac:dyDescent="0.3">
      <c r="B138" s="28"/>
      <c r="C138" s="24"/>
      <c r="D138" s="24"/>
    </row>
    <row r="139" spans="2:10" x14ac:dyDescent="0.3">
      <c r="B139" s="28"/>
      <c r="C139" s="24"/>
      <c r="D139" s="24"/>
    </row>
  </sheetData>
  <mergeCells count="139">
    <mergeCell ref="B1:J1"/>
    <mergeCell ref="B2:J2"/>
    <mergeCell ref="B3:J3"/>
    <mergeCell ref="B4:J4"/>
    <mergeCell ref="B5:J5"/>
    <mergeCell ref="B6:J6"/>
    <mergeCell ref="C11:H11"/>
    <mergeCell ref="I11:J11"/>
    <mergeCell ref="C12:H12"/>
    <mergeCell ref="I12:J12"/>
    <mergeCell ref="B14:J14"/>
    <mergeCell ref="B15:C15"/>
    <mergeCell ref="D15:E15"/>
    <mergeCell ref="F15:J15"/>
    <mergeCell ref="B7:J7"/>
    <mergeCell ref="B8:J8"/>
    <mergeCell ref="C9:H9"/>
    <mergeCell ref="I9:J9"/>
    <mergeCell ref="C10:H10"/>
    <mergeCell ref="I10:J10"/>
    <mergeCell ref="C20:H20"/>
    <mergeCell ref="I20:J20"/>
    <mergeCell ref="C21:H21"/>
    <mergeCell ref="I21:J21"/>
    <mergeCell ref="C22:H22"/>
    <mergeCell ref="I22:J22"/>
    <mergeCell ref="B16:C16"/>
    <mergeCell ref="D16:E16"/>
    <mergeCell ref="F16:J16"/>
    <mergeCell ref="B18:J18"/>
    <mergeCell ref="C19:H19"/>
    <mergeCell ref="I19:J19"/>
    <mergeCell ref="C28:H28"/>
    <mergeCell ref="C29:H29"/>
    <mergeCell ref="C30:H30"/>
    <mergeCell ref="C31:H31"/>
    <mergeCell ref="C32:H32"/>
    <mergeCell ref="B33:I33"/>
    <mergeCell ref="C23:H23"/>
    <mergeCell ref="I23:J23"/>
    <mergeCell ref="B24:J24"/>
    <mergeCell ref="B25:J25"/>
    <mergeCell ref="C26:H26"/>
    <mergeCell ref="C27:H27"/>
    <mergeCell ref="B41:H41"/>
    <mergeCell ref="C42:H42"/>
    <mergeCell ref="C43:H43"/>
    <mergeCell ref="C44:H44"/>
    <mergeCell ref="C45:H45"/>
    <mergeCell ref="C46:H46"/>
    <mergeCell ref="B35:J35"/>
    <mergeCell ref="B36:H36"/>
    <mergeCell ref="C37:H37"/>
    <mergeCell ref="C38:H38"/>
    <mergeCell ref="B39:H39"/>
    <mergeCell ref="B40:J40"/>
    <mergeCell ref="C53:H53"/>
    <mergeCell ref="C54:H54"/>
    <mergeCell ref="C55:H55"/>
    <mergeCell ref="C56:H56"/>
    <mergeCell ref="C57:H57"/>
    <mergeCell ref="B58:I58"/>
    <mergeCell ref="C47:H47"/>
    <mergeCell ref="C48:H48"/>
    <mergeCell ref="C49:H49"/>
    <mergeCell ref="B50:H50"/>
    <mergeCell ref="B51:J51"/>
    <mergeCell ref="B52:H52"/>
    <mergeCell ref="B65:I65"/>
    <mergeCell ref="B66:J66"/>
    <mergeCell ref="B67:J67"/>
    <mergeCell ref="C68:H68"/>
    <mergeCell ref="C69:H69"/>
    <mergeCell ref="C70:H70"/>
    <mergeCell ref="B59:J59"/>
    <mergeCell ref="B60:J60"/>
    <mergeCell ref="B61:I61"/>
    <mergeCell ref="C62:I62"/>
    <mergeCell ref="C63:I63"/>
    <mergeCell ref="C64:I64"/>
    <mergeCell ref="B77:J77"/>
    <mergeCell ref="B78:H78"/>
    <mergeCell ref="C79:H79"/>
    <mergeCell ref="C80:H80"/>
    <mergeCell ref="C81:H81"/>
    <mergeCell ref="C82:H82"/>
    <mergeCell ref="C71:H71"/>
    <mergeCell ref="C72:H72"/>
    <mergeCell ref="C73:H73"/>
    <mergeCell ref="B74:H74"/>
    <mergeCell ref="C75:J75"/>
    <mergeCell ref="B76:J76"/>
    <mergeCell ref="B89:H89"/>
    <mergeCell ref="B90:J90"/>
    <mergeCell ref="B91:J91"/>
    <mergeCell ref="B92:I92"/>
    <mergeCell ref="C93:I93"/>
    <mergeCell ref="C94:I94"/>
    <mergeCell ref="C83:H83"/>
    <mergeCell ref="C84:H84"/>
    <mergeCell ref="B85:H85"/>
    <mergeCell ref="B86:J86"/>
    <mergeCell ref="B87:H87"/>
    <mergeCell ref="C88:H88"/>
    <mergeCell ref="C101:H101"/>
    <mergeCell ref="C102:H102"/>
    <mergeCell ref="B103:H103"/>
    <mergeCell ref="B104:J104"/>
    <mergeCell ref="B105:J105"/>
    <mergeCell ref="C106:H106"/>
    <mergeCell ref="B95:I95"/>
    <mergeCell ref="B96:J96"/>
    <mergeCell ref="B97:J97"/>
    <mergeCell ref="C98:H98"/>
    <mergeCell ref="C99:H99"/>
    <mergeCell ref="C100:H100"/>
    <mergeCell ref="B113:H113"/>
    <mergeCell ref="C114:J114"/>
    <mergeCell ref="C115:H115"/>
    <mergeCell ref="C116:H116"/>
    <mergeCell ref="C118:H118"/>
    <mergeCell ref="C120:H120"/>
    <mergeCell ref="C107:H107"/>
    <mergeCell ref="C108:H108"/>
    <mergeCell ref="C109:H109"/>
    <mergeCell ref="C110:H110"/>
    <mergeCell ref="C111:H111"/>
    <mergeCell ref="C112:H112"/>
    <mergeCell ref="C129:I129"/>
    <mergeCell ref="C130:I130"/>
    <mergeCell ref="C131:I131"/>
    <mergeCell ref="C132:I132"/>
    <mergeCell ref="B133:I133"/>
    <mergeCell ref="C122:H122"/>
    <mergeCell ref="B124:J124"/>
    <mergeCell ref="B125:I125"/>
    <mergeCell ref="C126:I126"/>
    <mergeCell ref="C127:I127"/>
    <mergeCell ref="C128:I128"/>
  </mergeCells>
  <pageMargins left="0.51181102362204722" right="0.51181102362204722" top="0.78740157480314965" bottom="0.78740157480314965" header="0.31496062992125984" footer="0.31496062992125984"/>
  <pageSetup paperSize="9" scale="67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3B2F5-602B-4F91-A8DB-BF1A322092D4}">
  <sheetPr>
    <pageSetUpPr fitToPage="1"/>
  </sheetPr>
  <dimension ref="B1:M139"/>
  <sheetViews>
    <sheetView showGridLines="0" zoomScale="80" zoomScaleNormal="80" workbookViewId="0">
      <selection activeCell="J133" sqref="J133"/>
    </sheetView>
  </sheetViews>
  <sheetFormatPr defaultColWidth="8.88671875" defaultRowHeight="14.4" x14ac:dyDescent="0.3"/>
  <cols>
    <col min="1" max="1" width="3.44140625" customWidth="1"/>
    <col min="2" max="2" width="10.44140625" customWidth="1"/>
    <col min="3" max="3" width="49.5546875" bestFit="1" customWidth="1"/>
    <col min="8" max="8" width="9" bestFit="1" customWidth="1"/>
    <col min="9" max="9" width="9.44140625" bestFit="1" customWidth="1"/>
    <col min="10" max="10" width="23.5546875" customWidth="1"/>
    <col min="11" max="11" width="11.88671875" bestFit="1" customWidth="1"/>
    <col min="12" max="12" width="25.88671875" style="34" customWidth="1"/>
    <col min="13" max="13" width="63.44140625" style="34" customWidth="1"/>
  </cols>
  <sheetData>
    <row r="1" spans="2:10" x14ac:dyDescent="0.3">
      <c r="B1" s="326" t="s">
        <v>1058</v>
      </c>
      <c r="C1" s="326"/>
      <c r="D1" s="326"/>
      <c r="E1" s="326"/>
      <c r="F1" s="326"/>
      <c r="G1" s="326"/>
      <c r="H1" s="326"/>
      <c r="I1" s="326"/>
      <c r="J1" s="326"/>
    </row>
    <row r="2" spans="2:10" x14ac:dyDescent="0.3">
      <c r="B2" s="327" t="s">
        <v>140</v>
      </c>
      <c r="C2" s="327"/>
      <c r="D2" s="327"/>
      <c r="E2" s="327"/>
      <c r="F2" s="327"/>
      <c r="G2" s="327"/>
      <c r="H2" s="327"/>
      <c r="I2" s="327"/>
      <c r="J2" s="327"/>
    </row>
    <row r="3" spans="2:10" x14ac:dyDescent="0.3">
      <c r="B3" s="327" t="s">
        <v>141</v>
      </c>
      <c r="C3" s="327"/>
      <c r="D3" s="327"/>
      <c r="E3" s="327"/>
      <c r="F3" s="327"/>
      <c r="G3" s="327"/>
      <c r="H3" s="327"/>
      <c r="I3" s="327"/>
      <c r="J3" s="327"/>
    </row>
    <row r="4" spans="2:10" x14ac:dyDescent="0.3">
      <c r="B4" s="328" t="s">
        <v>142</v>
      </c>
      <c r="C4" s="328"/>
      <c r="D4" s="328"/>
      <c r="E4" s="328"/>
      <c r="F4" s="328"/>
      <c r="G4" s="328"/>
      <c r="H4" s="328"/>
      <c r="I4" s="328"/>
      <c r="J4" s="328"/>
    </row>
    <row r="5" spans="2:10" x14ac:dyDescent="0.3">
      <c r="B5" s="323"/>
      <c r="C5" s="323"/>
      <c r="D5" s="323"/>
      <c r="E5" s="323"/>
      <c r="F5" s="323"/>
      <c r="G5" s="323"/>
      <c r="H5" s="323"/>
      <c r="I5" s="323"/>
      <c r="J5" s="323"/>
    </row>
    <row r="6" spans="2:10" x14ac:dyDescent="0.3">
      <c r="B6" s="329" t="s">
        <v>320</v>
      </c>
      <c r="C6" s="329"/>
      <c r="D6" s="329"/>
      <c r="E6" s="329"/>
      <c r="F6" s="329"/>
      <c r="G6" s="329"/>
      <c r="H6" s="329"/>
      <c r="I6" s="329"/>
      <c r="J6" s="329"/>
    </row>
    <row r="7" spans="2:10" x14ac:dyDescent="0.3">
      <c r="B7" s="325"/>
      <c r="C7" s="325"/>
      <c r="D7" s="325"/>
      <c r="E7" s="325"/>
      <c r="F7" s="325"/>
      <c r="G7" s="325"/>
      <c r="H7" s="325"/>
      <c r="I7" s="325"/>
      <c r="J7" s="325"/>
    </row>
    <row r="8" spans="2:10" x14ac:dyDescent="0.3">
      <c r="B8" s="294" t="s">
        <v>144</v>
      </c>
      <c r="C8" s="294"/>
      <c r="D8" s="294"/>
      <c r="E8" s="294"/>
      <c r="F8" s="294"/>
      <c r="G8" s="294"/>
      <c r="H8" s="294"/>
      <c r="I8" s="294"/>
      <c r="J8" s="294"/>
    </row>
    <row r="9" spans="2:10" x14ac:dyDescent="0.3">
      <c r="B9" s="22" t="s">
        <v>134</v>
      </c>
      <c r="C9" s="291" t="s">
        <v>145</v>
      </c>
      <c r="D9" s="291"/>
      <c r="E9" s="291"/>
      <c r="F9" s="291"/>
      <c r="G9" s="291"/>
      <c r="H9" s="291"/>
      <c r="I9" s="321"/>
      <c r="J9" s="322"/>
    </row>
    <row r="10" spans="2:10" x14ac:dyDescent="0.3">
      <c r="B10" s="22" t="s">
        <v>137</v>
      </c>
      <c r="C10" s="291" t="s">
        <v>146</v>
      </c>
      <c r="D10" s="291"/>
      <c r="E10" s="291"/>
      <c r="F10" s="291"/>
      <c r="G10" s="291"/>
      <c r="H10" s="291"/>
      <c r="I10" s="322" t="s">
        <v>147</v>
      </c>
      <c r="J10" s="322"/>
    </row>
    <row r="11" spans="2:10" ht="44.4" customHeight="1" x14ac:dyDescent="0.3">
      <c r="B11" s="22" t="s">
        <v>148</v>
      </c>
      <c r="C11" s="291" t="s">
        <v>149</v>
      </c>
      <c r="D11" s="291"/>
      <c r="E11" s="291"/>
      <c r="F11" s="291"/>
      <c r="G11" s="291"/>
      <c r="H11" s="291"/>
      <c r="I11" s="330" t="s">
        <v>150</v>
      </c>
      <c r="J11" s="322"/>
    </row>
    <row r="12" spans="2:10" x14ac:dyDescent="0.3">
      <c r="B12" s="22" t="s">
        <v>151</v>
      </c>
      <c r="C12" s="291" t="s">
        <v>152</v>
      </c>
      <c r="D12" s="291"/>
      <c r="E12" s="291"/>
      <c r="F12" s="291"/>
      <c r="G12" s="291"/>
      <c r="H12" s="291"/>
      <c r="I12" s="322">
        <v>20</v>
      </c>
      <c r="J12" s="322"/>
    </row>
    <row r="13" spans="2:10" x14ac:dyDescent="0.3">
      <c r="B13" s="102"/>
      <c r="C13" s="97"/>
      <c r="D13" s="97"/>
      <c r="E13" s="97"/>
      <c r="F13" s="97"/>
      <c r="G13" s="97"/>
      <c r="H13" s="97"/>
      <c r="I13" s="102"/>
      <c r="J13" s="102"/>
    </row>
    <row r="14" spans="2:10" x14ac:dyDescent="0.3">
      <c r="B14" s="294" t="s">
        <v>153</v>
      </c>
      <c r="C14" s="294"/>
      <c r="D14" s="294"/>
      <c r="E14" s="294"/>
      <c r="F14" s="294"/>
      <c r="G14" s="294"/>
      <c r="H14" s="294"/>
      <c r="I14" s="294"/>
      <c r="J14" s="294"/>
    </row>
    <row r="15" spans="2:10" x14ac:dyDescent="0.3">
      <c r="B15" s="322" t="s">
        <v>154</v>
      </c>
      <c r="C15" s="322"/>
      <c r="D15" s="322" t="s">
        <v>155</v>
      </c>
      <c r="E15" s="322"/>
      <c r="F15" s="322" t="s">
        <v>156</v>
      </c>
      <c r="G15" s="322"/>
      <c r="H15" s="322"/>
      <c r="I15" s="322"/>
      <c r="J15" s="322"/>
    </row>
    <row r="16" spans="2:10" x14ac:dyDescent="0.3">
      <c r="B16" s="322" t="s">
        <v>322</v>
      </c>
      <c r="C16" s="322"/>
      <c r="D16" s="322" t="s">
        <v>158</v>
      </c>
      <c r="E16" s="322"/>
      <c r="F16" s="322">
        <v>1</v>
      </c>
      <c r="G16" s="322"/>
      <c r="H16" s="322"/>
      <c r="I16" s="322"/>
      <c r="J16" s="322"/>
    </row>
    <row r="17" spans="2:13" x14ac:dyDescent="0.3">
      <c r="B17" s="102"/>
      <c r="C17" s="97"/>
      <c r="D17" s="97"/>
      <c r="E17" s="97"/>
      <c r="F17" s="97"/>
      <c r="G17" s="97"/>
      <c r="H17" s="97"/>
      <c r="I17" s="102"/>
      <c r="J17" s="102"/>
    </row>
    <row r="18" spans="2:13" x14ac:dyDescent="0.3">
      <c r="B18" s="294" t="s">
        <v>159</v>
      </c>
      <c r="C18" s="294"/>
      <c r="D18" s="294"/>
      <c r="E18" s="294"/>
      <c r="F18" s="294"/>
      <c r="G18" s="294"/>
      <c r="H18" s="294"/>
      <c r="I18" s="294"/>
      <c r="J18" s="294"/>
    </row>
    <row r="19" spans="2:13" x14ac:dyDescent="0.3">
      <c r="B19" s="22">
        <v>1</v>
      </c>
      <c r="C19" s="291" t="s">
        <v>160</v>
      </c>
      <c r="D19" s="291"/>
      <c r="E19" s="291"/>
      <c r="F19" s="291"/>
      <c r="G19" s="291"/>
      <c r="H19" s="291"/>
      <c r="I19" s="322" t="s">
        <v>161</v>
      </c>
      <c r="J19" s="322"/>
    </row>
    <row r="20" spans="2:13" x14ac:dyDescent="0.3">
      <c r="B20" s="22">
        <v>2</v>
      </c>
      <c r="C20" s="291" t="s">
        <v>162</v>
      </c>
      <c r="D20" s="291"/>
      <c r="E20" s="291"/>
      <c r="F20" s="291"/>
      <c r="G20" s="291"/>
      <c r="H20" s="291"/>
      <c r="I20" s="322" t="s">
        <v>321</v>
      </c>
      <c r="J20" s="322"/>
    </row>
    <row r="21" spans="2:13" x14ac:dyDescent="0.3">
      <c r="B21" s="22">
        <v>3</v>
      </c>
      <c r="C21" s="291" t="s">
        <v>164</v>
      </c>
      <c r="D21" s="291"/>
      <c r="E21" s="291"/>
      <c r="F21" s="291"/>
      <c r="G21" s="291"/>
      <c r="H21" s="291"/>
      <c r="I21" s="324">
        <v>2030.19</v>
      </c>
      <c r="J21" s="322"/>
    </row>
    <row r="22" spans="2:13" x14ac:dyDescent="0.3">
      <c r="B22" s="22">
        <v>4</v>
      </c>
      <c r="C22" s="291" t="s">
        <v>165</v>
      </c>
      <c r="D22" s="291"/>
      <c r="E22" s="291"/>
      <c r="F22" s="291"/>
      <c r="G22" s="291"/>
      <c r="H22" s="291"/>
      <c r="I22" s="292" t="s">
        <v>322</v>
      </c>
      <c r="J22" s="292"/>
    </row>
    <row r="23" spans="2:13" x14ac:dyDescent="0.3">
      <c r="B23" s="22">
        <v>5</v>
      </c>
      <c r="C23" s="291" t="s">
        <v>166</v>
      </c>
      <c r="D23" s="291"/>
      <c r="E23" s="291"/>
      <c r="F23" s="291"/>
      <c r="G23" s="291"/>
      <c r="H23" s="291"/>
      <c r="I23" s="321" t="s">
        <v>167</v>
      </c>
      <c r="J23" s="322"/>
    </row>
    <row r="24" spans="2:13" x14ac:dyDescent="0.3">
      <c r="B24" s="323"/>
      <c r="C24" s="323"/>
      <c r="D24" s="323"/>
      <c r="E24" s="323"/>
      <c r="F24" s="323"/>
      <c r="G24" s="323"/>
      <c r="H24" s="323"/>
      <c r="I24" s="323"/>
      <c r="J24" s="323"/>
    </row>
    <row r="25" spans="2:13" x14ac:dyDescent="0.3">
      <c r="B25" s="303" t="s">
        <v>168</v>
      </c>
      <c r="C25" s="303"/>
      <c r="D25" s="303"/>
      <c r="E25" s="303"/>
      <c r="F25" s="303"/>
      <c r="G25" s="303"/>
      <c r="H25" s="303"/>
      <c r="I25" s="303"/>
      <c r="J25" s="303"/>
    </row>
    <row r="26" spans="2:13" x14ac:dyDescent="0.3">
      <c r="B26" s="3">
        <v>1</v>
      </c>
      <c r="C26" s="292" t="s">
        <v>169</v>
      </c>
      <c r="D26" s="292"/>
      <c r="E26" s="292"/>
      <c r="F26" s="292"/>
      <c r="G26" s="292"/>
      <c r="H26" s="292"/>
      <c r="I26" s="3" t="s">
        <v>170</v>
      </c>
      <c r="J26" s="3" t="s">
        <v>171</v>
      </c>
      <c r="L26" s="237" t="s">
        <v>172</v>
      </c>
      <c r="M26" s="237" t="s">
        <v>173</v>
      </c>
    </row>
    <row r="27" spans="2:13" x14ac:dyDescent="0.3">
      <c r="B27" s="3" t="s">
        <v>134</v>
      </c>
      <c r="C27" s="291" t="s">
        <v>174</v>
      </c>
      <c r="D27" s="291"/>
      <c r="E27" s="291"/>
      <c r="F27" s="291"/>
      <c r="G27" s="291"/>
      <c r="H27" s="291"/>
      <c r="I27" s="99"/>
      <c r="J27" s="1">
        <v>2030.19</v>
      </c>
      <c r="L27" s="35"/>
      <c r="M27" s="36" t="s">
        <v>175</v>
      </c>
    </row>
    <row r="28" spans="2:13" x14ac:dyDescent="0.3">
      <c r="B28" s="3" t="s">
        <v>137</v>
      </c>
      <c r="C28" s="291" t="s">
        <v>176</v>
      </c>
      <c r="D28" s="291"/>
      <c r="E28" s="291"/>
      <c r="F28" s="291"/>
      <c r="G28" s="291"/>
      <c r="H28" s="291"/>
      <c r="I28" s="2"/>
      <c r="J28" s="1">
        <f>TRUNC($J$27*I28,2)</f>
        <v>0</v>
      </c>
      <c r="L28" s="35"/>
      <c r="M28" s="36"/>
    </row>
    <row r="29" spans="2:13" x14ac:dyDescent="0.3">
      <c r="B29" s="3" t="s">
        <v>148</v>
      </c>
      <c r="C29" s="291" t="s">
        <v>178</v>
      </c>
      <c r="D29" s="291"/>
      <c r="E29" s="291"/>
      <c r="F29" s="291"/>
      <c r="G29" s="291"/>
      <c r="H29" s="291"/>
      <c r="I29" s="2"/>
      <c r="J29" s="1">
        <f t="shared" ref="J29:J32" si="0">TRUNC($J$27*I29,2)</f>
        <v>0</v>
      </c>
    </row>
    <row r="30" spans="2:13" x14ac:dyDescent="0.3">
      <c r="B30" s="3" t="s">
        <v>151</v>
      </c>
      <c r="C30" s="291" t="s">
        <v>179</v>
      </c>
      <c r="D30" s="291"/>
      <c r="E30" s="291"/>
      <c r="F30" s="291"/>
      <c r="G30" s="291"/>
      <c r="H30" s="291"/>
      <c r="I30" s="2"/>
      <c r="J30" s="1">
        <f t="shared" si="0"/>
        <v>0</v>
      </c>
      <c r="K30" s="34"/>
    </row>
    <row r="31" spans="2:13" x14ac:dyDescent="0.3">
      <c r="B31" s="3" t="s">
        <v>180</v>
      </c>
      <c r="C31" s="291" t="s">
        <v>181</v>
      </c>
      <c r="D31" s="291"/>
      <c r="E31" s="291"/>
      <c r="F31" s="291"/>
      <c r="G31" s="291"/>
      <c r="H31" s="291"/>
      <c r="I31" s="4"/>
      <c r="J31" s="1">
        <f t="shared" si="0"/>
        <v>0</v>
      </c>
    </row>
    <row r="32" spans="2:13" x14ac:dyDescent="0.3">
      <c r="B32" s="3" t="s">
        <v>182</v>
      </c>
      <c r="C32" s="291" t="s">
        <v>183</v>
      </c>
      <c r="D32" s="291"/>
      <c r="E32" s="291"/>
      <c r="F32" s="291"/>
      <c r="G32" s="291"/>
      <c r="H32" s="291"/>
      <c r="I32" s="2"/>
      <c r="J32" s="1">
        <f t="shared" si="0"/>
        <v>0</v>
      </c>
    </row>
    <row r="33" spans="2:13" x14ac:dyDescent="0.3">
      <c r="B33" s="292" t="s">
        <v>184</v>
      </c>
      <c r="C33" s="292"/>
      <c r="D33" s="292"/>
      <c r="E33" s="292"/>
      <c r="F33" s="292"/>
      <c r="G33" s="292"/>
      <c r="H33" s="292"/>
      <c r="I33" s="292"/>
      <c r="J33" s="5">
        <f>SUM(J27:J32)</f>
        <v>2030.19</v>
      </c>
    </row>
    <row r="34" spans="2:13" x14ac:dyDescent="0.3">
      <c r="B34" s="6"/>
      <c r="C34" s="6"/>
      <c r="D34" s="6"/>
      <c r="E34" s="6"/>
      <c r="F34" s="6"/>
      <c r="G34" s="6"/>
      <c r="H34" s="6"/>
      <c r="I34" s="6"/>
      <c r="J34" s="7"/>
    </row>
    <row r="35" spans="2:13" x14ac:dyDescent="0.3">
      <c r="B35" s="303" t="s">
        <v>185</v>
      </c>
      <c r="C35" s="303"/>
      <c r="D35" s="303"/>
      <c r="E35" s="303"/>
      <c r="F35" s="303"/>
      <c r="G35" s="303"/>
      <c r="H35" s="303"/>
      <c r="I35" s="303"/>
      <c r="J35" s="303"/>
    </row>
    <row r="36" spans="2:13" x14ac:dyDescent="0.3">
      <c r="B36" s="318" t="s">
        <v>186</v>
      </c>
      <c r="C36" s="318"/>
      <c r="D36" s="318"/>
      <c r="E36" s="318"/>
      <c r="F36" s="318"/>
      <c r="G36" s="318"/>
      <c r="H36" s="318"/>
      <c r="I36" s="101" t="s">
        <v>170</v>
      </c>
      <c r="J36" s="101" t="s">
        <v>171</v>
      </c>
      <c r="L36" s="237" t="s">
        <v>172</v>
      </c>
      <c r="M36" s="237" t="s">
        <v>173</v>
      </c>
    </row>
    <row r="37" spans="2:13" ht="27.6" x14ac:dyDescent="0.3">
      <c r="B37" s="3" t="s">
        <v>134</v>
      </c>
      <c r="C37" s="291" t="s">
        <v>187</v>
      </c>
      <c r="D37" s="291"/>
      <c r="E37" s="291"/>
      <c r="F37" s="291"/>
      <c r="G37" s="291"/>
      <c r="H37" s="291"/>
      <c r="I37" s="8">
        <v>8.3299999999999999E-2</v>
      </c>
      <c r="J37" s="1">
        <f>TRUNC($J$33*I37,2)</f>
        <v>169.11</v>
      </c>
      <c r="K37" s="32"/>
      <c r="L37" s="35"/>
      <c r="M37" s="37" t="s">
        <v>188</v>
      </c>
    </row>
    <row r="38" spans="2:13" ht="27.6" x14ac:dyDescent="0.3">
      <c r="B38" s="3" t="s">
        <v>137</v>
      </c>
      <c r="C38" s="291" t="s">
        <v>189</v>
      </c>
      <c r="D38" s="291"/>
      <c r="E38" s="291"/>
      <c r="F38" s="291"/>
      <c r="G38" s="291"/>
      <c r="H38" s="291"/>
      <c r="I38" s="9">
        <v>0.121</v>
      </c>
      <c r="J38" s="1">
        <f>TRUNC($J$33*I38,2)</f>
        <v>245.65</v>
      </c>
      <c r="K38" s="32"/>
      <c r="L38" s="38" t="s">
        <v>190</v>
      </c>
      <c r="M38" s="37" t="s">
        <v>191</v>
      </c>
    </row>
    <row r="39" spans="2:13" x14ac:dyDescent="0.3">
      <c r="B39" s="292" t="s">
        <v>192</v>
      </c>
      <c r="C39" s="292"/>
      <c r="D39" s="292"/>
      <c r="E39" s="292"/>
      <c r="F39" s="292"/>
      <c r="G39" s="292"/>
      <c r="H39" s="292"/>
      <c r="I39" s="10">
        <f>SUM(I37:I38)</f>
        <v>0.20429999999999998</v>
      </c>
      <c r="J39" s="5">
        <f>SUM(J37:J38)</f>
        <v>414.76</v>
      </c>
      <c r="K39" s="33"/>
    </row>
    <row r="40" spans="2:13" x14ac:dyDescent="0.3">
      <c r="B40" s="319"/>
      <c r="C40" s="320"/>
      <c r="D40" s="320"/>
      <c r="E40" s="320"/>
      <c r="F40" s="320"/>
      <c r="G40" s="320"/>
      <c r="H40" s="320"/>
      <c r="I40" s="320"/>
      <c r="J40" s="320"/>
    </row>
    <row r="41" spans="2:13" x14ac:dyDescent="0.3">
      <c r="B41" s="318" t="s">
        <v>193</v>
      </c>
      <c r="C41" s="318"/>
      <c r="D41" s="318"/>
      <c r="E41" s="318"/>
      <c r="F41" s="318"/>
      <c r="G41" s="318"/>
      <c r="H41" s="318"/>
      <c r="I41" s="101" t="s">
        <v>170</v>
      </c>
      <c r="J41" s="101" t="s">
        <v>171</v>
      </c>
      <c r="L41" s="237" t="s">
        <v>172</v>
      </c>
      <c r="M41" s="237" t="s">
        <v>173</v>
      </c>
    </row>
    <row r="42" spans="2:13" x14ac:dyDescent="0.3">
      <c r="B42" s="3" t="s">
        <v>134</v>
      </c>
      <c r="C42" s="291" t="s">
        <v>194</v>
      </c>
      <c r="D42" s="291"/>
      <c r="E42" s="291"/>
      <c r="F42" s="291"/>
      <c r="G42" s="291"/>
      <c r="H42" s="291"/>
      <c r="I42" s="8">
        <v>0.2</v>
      </c>
      <c r="J42" s="1">
        <f>TRUNC(($J$33+$J$39)*$I$42,2)</f>
        <v>488.99</v>
      </c>
      <c r="L42" s="35"/>
      <c r="M42" s="39" t="s">
        <v>195</v>
      </c>
    </row>
    <row r="43" spans="2:13" x14ac:dyDescent="0.3">
      <c r="B43" s="3" t="s">
        <v>137</v>
      </c>
      <c r="C43" s="291" t="s">
        <v>196</v>
      </c>
      <c r="D43" s="291"/>
      <c r="E43" s="291"/>
      <c r="F43" s="291"/>
      <c r="G43" s="291"/>
      <c r="H43" s="291"/>
      <c r="I43" s="8">
        <v>2.5000000000000001E-2</v>
      </c>
      <c r="J43" s="1">
        <f>TRUNC(($J$33+$J$39)*$I$43,2)</f>
        <v>61.12</v>
      </c>
      <c r="L43" s="35"/>
      <c r="M43" s="39" t="s">
        <v>197</v>
      </c>
    </row>
    <row r="44" spans="2:13" x14ac:dyDescent="0.3">
      <c r="B44" s="3" t="s">
        <v>148</v>
      </c>
      <c r="C44" s="291" t="s">
        <v>198</v>
      </c>
      <c r="D44" s="291"/>
      <c r="E44" s="291"/>
      <c r="F44" s="291"/>
      <c r="G44" s="291"/>
      <c r="H44" s="291"/>
      <c r="I44" s="8">
        <v>0.03</v>
      </c>
      <c r="J44" s="1">
        <f>TRUNC(($J$33+$J$39)*$I$44,2)</f>
        <v>73.34</v>
      </c>
      <c r="L44" s="38" t="s">
        <v>199</v>
      </c>
      <c r="M44" s="39" t="s">
        <v>200</v>
      </c>
    </row>
    <row r="45" spans="2:13" x14ac:dyDescent="0.3">
      <c r="B45" s="3" t="s">
        <v>151</v>
      </c>
      <c r="C45" s="291" t="s">
        <v>201</v>
      </c>
      <c r="D45" s="291"/>
      <c r="E45" s="291"/>
      <c r="F45" s="291"/>
      <c r="G45" s="291"/>
      <c r="H45" s="291"/>
      <c r="I45" s="8">
        <v>1.4999999999999999E-2</v>
      </c>
      <c r="J45" s="1">
        <f>TRUNC(($J$33+$J$39)*$I$45,2)</f>
        <v>36.67</v>
      </c>
      <c r="L45" s="35"/>
      <c r="M45" s="39" t="s">
        <v>202</v>
      </c>
    </row>
    <row r="46" spans="2:13" x14ac:dyDescent="0.3">
      <c r="B46" s="3" t="s">
        <v>180</v>
      </c>
      <c r="C46" s="291" t="s">
        <v>203</v>
      </c>
      <c r="D46" s="291"/>
      <c r="E46" s="291"/>
      <c r="F46" s="291"/>
      <c r="G46" s="291"/>
      <c r="H46" s="291"/>
      <c r="I46" s="8">
        <v>0.01</v>
      </c>
      <c r="J46" s="1">
        <f>TRUNC(($J$33+$J$39)*$I$46,2)</f>
        <v>24.44</v>
      </c>
      <c r="L46" s="35"/>
      <c r="M46" s="39" t="s">
        <v>204</v>
      </c>
    </row>
    <row r="47" spans="2:13" x14ac:dyDescent="0.3">
      <c r="B47" s="3" t="s">
        <v>182</v>
      </c>
      <c r="C47" s="291" t="s">
        <v>205</v>
      </c>
      <c r="D47" s="291"/>
      <c r="E47" s="291"/>
      <c r="F47" s="291"/>
      <c r="G47" s="291"/>
      <c r="H47" s="291"/>
      <c r="I47" s="8">
        <v>6.0000000000000001E-3</v>
      </c>
      <c r="J47" s="1">
        <f>TRUNC(($J$33+$J$39)*$I$47,2)</f>
        <v>14.66</v>
      </c>
      <c r="L47" s="35"/>
      <c r="M47" s="40" t="s">
        <v>206</v>
      </c>
    </row>
    <row r="48" spans="2:13" x14ac:dyDescent="0.3">
      <c r="B48" s="3" t="s">
        <v>207</v>
      </c>
      <c r="C48" s="291" t="s">
        <v>208</v>
      </c>
      <c r="D48" s="291"/>
      <c r="E48" s="291"/>
      <c r="F48" s="291"/>
      <c r="G48" s="291"/>
      <c r="H48" s="291"/>
      <c r="I48" s="8">
        <v>2E-3</v>
      </c>
      <c r="J48" s="1">
        <f>TRUNC(($J$33+$J$39)*$I$48,2)</f>
        <v>4.88</v>
      </c>
      <c r="L48" s="35"/>
      <c r="M48" s="39" t="s">
        <v>204</v>
      </c>
    </row>
    <row r="49" spans="2:13" x14ac:dyDescent="0.3">
      <c r="B49" s="3" t="s">
        <v>209</v>
      </c>
      <c r="C49" s="291" t="s">
        <v>210</v>
      </c>
      <c r="D49" s="291"/>
      <c r="E49" s="291"/>
      <c r="F49" s="291"/>
      <c r="G49" s="291"/>
      <c r="H49" s="291"/>
      <c r="I49" s="8">
        <v>0.08</v>
      </c>
      <c r="J49" s="1">
        <f>TRUNC(($J$33+$J$39)*$I$49,2)</f>
        <v>195.59</v>
      </c>
      <c r="L49" s="35"/>
      <c r="M49" s="39" t="s">
        <v>211</v>
      </c>
    </row>
    <row r="50" spans="2:13" x14ac:dyDescent="0.3">
      <c r="B50" s="292" t="s">
        <v>212</v>
      </c>
      <c r="C50" s="292"/>
      <c r="D50" s="292"/>
      <c r="E50" s="292"/>
      <c r="F50" s="292"/>
      <c r="G50" s="292"/>
      <c r="H50" s="292"/>
      <c r="I50" s="10">
        <f>SUM(I42:I49)</f>
        <v>0.36800000000000005</v>
      </c>
      <c r="J50" s="5">
        <f>SUM(J42:J49)</f>
        <v>899.69</v>
      </c>
    </row>
    <row r="51" spans="2:13" x14ac:dyDescent="0.3">
      <c r="B51" s="313"/>
      <c r="C51" s="313"/>
      <c r="D51" s="313"/>
      <c r="E51" s="313"/>
      <c r="F51" s="313"/>
      <c r="G51" s="313"/>
      <c r="H51" s="313"/>
      <c r="I51" s="313"/>
      <c r="J51" s="314"/>
    </row>
    <row r="52" spans="2:13" x14ac:dyDescent="0.3">
      <c r="B52" s="318" t="s">
        <v>213</v>
      </c>
      <c r="C52" s="318"/>
      <c r="D52" s="318"/>
      <c r="E52" s="318"/>
      <c r="F52" s="318"/>
      <c r="G52" s="318"/>
      <c r="H52" s="318"/>
      <c r="I52" s="29"/>
      <c r="J52" s="101" t="s">
        <v>171</v>
      </c>
      <c r="L52" s="237" t="s">
        <v>172</v>
      </c>
      <c r="M52" s="237" t="s">
        <v>173</v>
      </c>
    </row>
    <row r="53" spans="2:13" x14ac:dyDescent="0.3">
      <c r="B53" s="3" t="s">
        <v>134</v>
      </c>
      <c r="C53" s="300" t="s">
        <v>214</v>
      </c>
      <c r="D53" s="300"/>
      <c r="E53" s="300"/>
      <c r="F53" s="300"/>
      <c r="G53" s="300"/>
      <c r="H53" s="300"/>
      <c r="I53" s="22" t="s">
        <v>24</v>
      </c>
      <c r="J53" s="11">
        <f>TRUNC((5.2*2*22)-(6%*J27),2)</f>
        <v>106.98</v>
      </c>
      <c r="L53" s="238" t="s">
        <v>215</v>
      </c>
      <c r="M53" s="238" t="s">
        <v>216</v>
      </c>
    </row>
    <row r="54" spans="2:13" x14ac:dyDescent="0.3">
      <c r="B54" s="3" t="s">
        <v>137</v>
      </c>
      <c r="C54" s="300" t="s">
        <v>217</v>
      </c>
      <c r="D54" s="300"/>
      <c r="E54" s="300"/>
      <c r="F54" s="300"/>
      <c r="G54" s="300"/>
      <c r="H54" s="300"/>
      <c r="I54" s="22" t="s">
        <v>24</v>
      </c>
      <c r="J54" s="141">
        <f>TRUNC(((24.5)*22*0.95),2)</f>
        <v>512.04999999999995</v>
      </c>
      <c r="L54" s="36" t="s">
        <v>218</v>
      </c>
      <c r="M54" s="36" t="s">
        <v>219</v>
      </c>
    </row>
    <row r="55" spans="2:13" x14ac:dyDescent="0.3">
      <c r="B55" s="3" t="s">
        <v>148</v>
      </c>
      <c r="C55" s="315" t="s">
        <v>220</v>
      </c>
      <c r="D55" s="316"/>
      <c r="E55" s="316"/>
      <c r="F55" s="316"/>
      <c r="G55" s="316"/>
      <c r="H55" s="317"/>
      <c r="I55" s="22" t="s">
        <v>24</v>
      </c>
      <c r="J55" s="141">
        <f>TRUNC(1%*J33,2)</f>
        <v>20.3</v>
      </c>
      <c r="L55" s="41"/>
      <c r="M55" s="36" t="s">
        <v>221</v>
      </c>
    </row>
    <row r="56" spans="2:13" x14ac:dyDescent="0.3">
      <c r="B56" s="3" t="s">
        <v>151</v>
      </c>
      <c r="C56" s="315" t="s">
        <v>222</v>
      </c>
      <c r="D56" s="316"/>
      <c r="E56" s="316"/>
      <c r="F56" s="316"/>
      <c r="G56" s="316"/>
      <c r="H56" s="317"/>
      <c r="I56" s="22" t="s">
        <v>24</v>
      </c>
      <c r="J56" s="141">
        <v>13.47</v>
      </c>
      <c r="L56" s="35"/>
      <c r="M56" s="36" t="s">
        <v>223</v>
      </c>
    </row>
    <row r="57" spans="2:13" x14ac:dyDescent="0.3">
      <c r="B57" s="3" t="s">
        <v>180</v>
      </c>
      <c r="C57" s="300" t="s">
        <v>224</v>
      </c>
      <c r="D57" s="300"/>
      <c r="E57" s="300"/>
      <c r="F57" s="300"/>
      <c r="G57" s="300"/>
      <c r="H57" s="300"/>
      <c r="I57" s="22" t="s">
        <v>24</v>
      </c>
      <c r="J57" s="11">
        <v>74.25</v>
      </c>
      <c r="L57" s="36"/>
      <c r="M57" s="36" t="s">
        <v>225</v>
      </c>
    </row>
    <row r="58" spans="2:13" x14ac:dyDescent="0.3">
      <c r="B58" s="292" t="s">
        <v>226</v>
      </c>
      <c r="C58" s="292"/>
      <c r="D58" s="292"/>
      <c r="E58" s="292"/>
      <c r="F58" s="292"/>
      <c r="G58" s="292"/>
      <c r="H58" s="292"/>
      <c r="I58" s="292"/>
      <c r="J58" s="5">
        <f>SUM(J53:J57)</f>
        <v>727.05</v>
      </c>
    </row>
    <row r="59" spans="2:13" x14ac:dyDescent="0.3">
      <c r="B59" s="313"/>
      <c r="C59" s="313"/>
      <c r="D59" s="313"/>
      <c r="E59" s="313"/>
      <c r="F59" s="313"/>
      <c r="G59" s="313"/>
      <c r="H59" s="313"/>
      <c r="I59" s="313"/>
      <c r="J59" s="314"/>
    </row>
    <row r="60" spans="2:13" x14ac:dyDescent="0.3">
      <c r="B60" s="294" t="s">
        <v>227</v>
      </c>
      <c r="C60" s="294"/>
      <c r="D60" s="294"/>
      <c r="E60" s="294"/>
      <c r="F60" s="294"/>
      <c r="G60" s="294"/>
      <c r="H60" s="294"/>
      <c r="I60" s="294"/>
      <c r="J60" s="294"/>
    </row>
    <row r="61" spans="2:13" x14ac:dyDescent="0.3">
      <c r="B61" s="292" t="s">
        <v>228</v>
      </c>
      <c r="C61" s="292"/>
      <c r="D61" s="292"/>
      <c r="E61" s="292"/>
      <c r="F61" s="292"/>
      <c r="G61" s="292"/>
      <c r="H61" s="292"/>
      <c r="I61" s="292"/>
      <c r="J61" s="3" t="s">
        <v>171</v>
      </c>
    </row>
    <row r="62" spans="2:13" x14ac:dyDescent="0.3">
      <c r="B62" s="3" t="s">
        <v>229</v>
      </c>
      <c r="C62" s="291" t="s">
        <v>230</v>
      </c>
      <c r="D62" s="291"/>
      <c r="E62" s="291"/>
      <c r="F62" s="291"/>
      <c r="G62" s="291"/>
      <c r="H62" s="291"/>
      <c r="I62" s="291"/>
      <c r="J62" s="1">
        <f>J39</f>
        <v>414.76</v>
      </c>
    </row>
    <row r="63" spans="2:13" x14ac:dyDescent="0.3">
      <c r="B63" s="3" t="s">
        <v>231</v>
      </c>
      <c r="C63" s="291" t="s">
        <v>232</v>
      </c>
      <c r="D63" s="291"/>
      <c r="E63" s="291"/>
      <c r="F63" s="291"/>
      <c r="G63" s="291"/>
      <c r="H63" s="291"/>
      <c r="I63" s="291"/>
      <c r="J63" s="1">
        <f>J50</f>
        <v>899.69</v>
      </c>
    </row>
    <row r="64" spans="2:13" x14ac:dyDescent="0.3">
      <c r="B64" s="3" t="s">
        <v>233</v>
      </c>
      <c r="C64" s="291" t="s">
        <v>234</v>
      </c>
      <c r="D64" s="291"/>
      <c r="E64" s="291"/>
      <c r="F64" s="291"/>
      <c r="G64" s="291"/>
      <c r="H64" s="291"/>
      <c r="I64" s="291"/>
      <c r="J64" s="1">
        <f>J58</f>
        <v>727.05</v>
      </c>
    </row>
    <row r="65" spans="2:13" x14ac:dyDescent="0.3">
      <c r="B65" s="292" t="s">
        <v>235</v>
      </c>
      <c r="C65" s="292"/>
      <c r="D65" s="292"/>
      <c r="E65" s="292"/>
      <c r="F65" s="292"/>
      <c r="G65" s="292"/>
      <c r="H65" s="292"/>
      <c r="I65" s="292"/>
      <c r="J65" s="5">
        <f>SUM(J62:J64)</f>
        <v>2041.5</v>
      </c>
    </row>
    <row r="66" spans="2:13" x14ac:dyDescent="0.3">
      <c r="B66" s="301"/>
      <c r="C66" s="302"/>
      <c r="D66" s="302"/>
      <c r="E66" s="302"/>
      <c r="F66" s="302"/>
      <c r="G66" s="302"/>
      <c r="H66" s="302"/>
      <c r="I66" s="302"/>
      <c r="J66" s="302"/>
    </row>
    <row r="67" spans="2:13" x14ac:dyDescent="0.3">
      <c r="B67" s="303" t="s">
        <v>236</v>
      </c>
      <c r="C67" s="303"/>
      <c r="D67" s="303"/>
      <c r="E67" s="303"/>
      <c r="F67" s="303"/>
      <c r="G67" s="303"/>
      <c r="H67" s="303"/>
      <c r="I67" s="303"/>
      <c r="J67" s="303"/>
    </row>
    <row r="68" spans="2:13" x14ac:dyDescent="0.3">
      <c r="B68" s="3">
        <v>3</v>
      </c>
      <c r="C68" s="292" t="s">
        <v>237</v>
      </c>
      <c r="D68" s="292"/>
      <c r="E68" s="292"/>
      <c r="F68" s="292"/>
      <c r="G68" s="292"/>
      <c r="H68" s="292"/>
      <c r="I68" s="3" t="s">
        <v>170</v>
      </c>
      <c r="J68" s="3" t="s">
        <v>171</v>
      </c>
      <c r="L68" s="237" t="s">
        <v>172</v>
      </c>
      <c r="M68" s="237" t="s">
        <v>173</v>
      </c>
    </row>
    <row r="69" spans="2:13" ht="27.6" x14ac:dyDescent="0.3">
      <c r="B69" s="3" t="s">
        <v>134</v>
      </c>
      <c r="C69" s="291" t="s">
        <v>238</v>
      </c>
      <c r="D69" s="291"/>
      <c r="E69" s="291"/>
      <c r="F69" s="291"/>
      <c r="G69" s="291"/>
      <c r="H69" s="291"/>
      <c r="I69" s="8">
        <f>(1/12)*5%</f>
        <v>4.1666666666666666E-3</v>
      </c>
      <c r="J69" s="1">
        <f>TRUNC(I69*$J$33,2)</f>
        <v>8.4499999999999993</v>
      </c>
      <c r="L69" s="42" t="s">
        <v>239</v>
      </c>
      <c r="M69" s="42" t="s">
        <v>240</v>
      </c>
    </row>
    <row r="70" spans="2:13" x14ac:dyDescent="0.3">
      <c r="B70" s="3" t="s">
        <v>137</v>
      </c>
      <c r="C70" s="291" t="s">
        <v>241</v>
      </c>
      <c r="D70" s="291"/>
      <c r="E70" s="291"/>
      <c r="F70" s="291"/>
      <c r="G70" s="291"/>
      <c r="H70" s="291"/>
      <c r="I70" s="8">
        <f>I49*I69</f>
        <v>3.3333333333333332E-4</v>
      </c>
      <c r="J70" s="1">
        <f>TRUNC(I70*$J$33,2)</f>
        <v>0.67</v>
      </c>
      <c r="L70" s="42" t="s">
        <v>242</v>
      </c>
      <c r="M70" s="42" t="s">
        <v>243</v>
      </c>
    </row>
    <row r="71" spans="2:13" x14ac:dyDescent="0.3">
      <c r="B71" s="3" t="s">
        <v>148</v>
      </c>
      <c r="C71" s="291" t="s">
        <v>244</v>
      </c>
      <c r="D71" s="291"/>
      <c r="E71" s="291"/>
      <c r="F71" s="291"/>
      <c r="G71" s="291"/>
      <c r="H71" s="291"/>
      <c r="I71" s="8">
        <f>((7/30)/12)</f>
        <v>1.9444444444444445E-2</v>
      </c>
      <c r="J71" s="1">
        <f t="shared" ref="J71:J72" si="1">TRUNC(I71*$J$33,2)</f>
        <v>39.47</v>
      </c>
      <c r="L71" s="42" t="s">
        <v>245</v>
      </c>
      <c r="M71" s="42" t="s">
        <v>246</v>
      </c>
    </row>
    <row r="72" spans="2:13" ht="27.6" x14ac:dyDescent="0.3">
      <c r="B72" s="3" t="s">
        <v>151</v>
      </c>
      <c r="C72" s="291" t="s">
        <v>247</v>
      </c>
      <c r="D72" s="291"/>
      <c r="E72" s="291"/>
      <c r="F72" s="291"/>
      <c r="G72" s="291"/>
      <c r="H72" s="291"/>
      <c r="I72" s="9">
        <f>I50*I71</f>
        <v>7.1555555555555565E-3</v>
      </c>
      <c r="J72" s="1">
        <f t="shared" si="1"/>
        <v>14.52</v>
      </c>
      <c r="L72" s="42" t="s">
        <v>248</v>
      </c>
    </row>
    <row r="73" spans="2:13" ht="27.6" x14ac:dyDescent="0.3">
      <c r="B73" s="3" t="s">
        <v>180</v>
      </c>
      <c r="C73" s="308" t="s">
        <v>249</v>
      </c>
      <c r="D73" s="308"/>
      <c r="E73" s="308"/>
      <c r="F73" s="308"/>
      <c r="G73" s="308"/>
      <c r="H73" s="308"/>
      <c r="I73" s="8">
        <v>0.04</v>
      </c>
      <c r="J73" s="1">
        <f>TRUNC(I73*$J$33,2)</f>
        <v>81.2</v>
      </c>
      <c r="L73" s="45" t="s">
        <v>250</v>
      </c>
      <c r="M73" s="46" t="s">
        <v>251</v>
      </c>
    </row>
    <row r="74" spans="2:13" x14ac:dyDescent="0.3">
      <c r="B74" s="292" t="s">
        <v>252</v>
      </c>
      <c r="C74" s="292"/>
      <c r="D74" s="292"/>
      <c r="E74" s="292"/>
      <c r="F74" s="292"/>
      <c r="G74" s="292"/>
      <c r="H74" s="292"/>
      <c r="I74" s="10">
        <f>SUM(I69:I73)</f>
        <v>7.1099999999999997E-2</v>
      </c>
      <c r="J74" s="5">
        <f>SUM(J69:J73)</f>
        <v>144.31</v>
      </c>
    </row>
    <row r="75" spans="2:13" ht="40.35" customHeight="1" x14ac:dyDescent="0.3">
      <c r="B75" s="103" t="s">
        <v>253</v>
      </c>
      <c r="C75" s="311" t="s">
        <v>254</v>
      </c>
      <c r="D75" s="311"/>
      <c r="E75" s="311"/>
      <c r="F75" s="311"/>
      <c r="G75" s="311"/>
      <c r="H75" s="311"/>
      <c r="I75" s="311"/>
      <c r="J75" s="312"/>
    </row>
    <row r="76" spans="2:13" x14ac:dyDescent="0.3">
      <c r="B76" s="309"/>
      <c r="C76" s="310"/>
      <c r="D76" s="310"/>
      <c r="E76" s="310"/>
      <c r="F76" s="310"/>
      <c r="G76" s="310"/>
      <c r="H76" s="310"/>
      <c r="I76" s="310"/>
      <c r="J76" s="310"/>
    </row>
    <row r="77" spans="2:13" x14ac:dyDescent="0.3">
      <c r="B77" s="303" t="s">
        <v>255</v>
      </c>
      <c r="C77" s="303"/>
      <c r="D77" s="303"/>
      <c r="E77" s="303"/>
      <c r="F77" s="303"/>
      <c r="G77" s="303"/>
      <c r="H77" s="303"/>
      <c r="I77" s="303"/>
      <c r="J77" s="303"/>
    </row>
    <row r="78" spans="2:13" x14ac:dyDescent="0.3">
      <c r="B78" s="292" t="s">
        <v>256</v>
      </c>
      <c r="C78" s="292"/>
      <c r="D78" s="292"/>
      <c r="E78" s="292"/>
      <c r="F78" s="292"/>
      <c r="G78" s="292"/>
      <c r="H78" s="292"/>
      <c r="I78" s="3" t="s">
        <v>170</v>
      </c>
      <c r="J78" s="3" t="s">
        <v>171</v>
      </c>
      <c r="L78" s="237" t="s">
        <v>172</v>
      </c>
      <c r="M78" s="237" t="s">
        <v>173</v>
      </c>
    </row>
    <row r="79" spans="2:13" ht="27.6" x14ac:dyDescent="0.3">
      <c r="B79" s="3" t="s">
        <v>134</v>
      </c>
      <c r="C79" s="291" t="s">
        <v>257</v>
      </c>
      <c r="D79" s="291"/>
      <c r="E79" s="291"/>
      <c r="F79" s="291"/>
      <c r="G79" s="291"/>
      <c r="H79" s="291"/>
      <c r="I79" s="8">
        <f>(1/12/12)+(1/12/12)+(1/12/12/3)</f>
        <v>1.6203703703703703E-2</v>
      </c>
      <c r="J79" s="1">
        <f>TRUNC(($J$33)*I79,2)</f>
        <v>32.89</v>
      </c>
      <c r="L79" s="42" t="s">
        <v>258</v>
      </c>
      <c r="M79" s="42" t="s">
        <v>259</v>
      </c>
    </row>
    <row r="80" spans="2:13" x14ac:dyDescent="0.3">
      <c r="B80" s="3" t="s">
        <v>137</v>
      </c>
      <c r="C80" s="291" t="s">
        <v>260</v>
      </c>
      <c r="D80" s="291"/>
      <c r="E80" s="291"/>
      <c r="F80" s="291"/>
      <c r="G80" s="291"/>
      <c r="H80" s="291"/>
      <c r="I80" s="8">
        <f>((1/30))/12</f>
        <v>2.7777777777777779E-3</v>
      </c>
      <c r="J80" s="1">
        <f t="shared" ref="J80:J84" si="2">TRUNC(($J$33)*I80,2)</f>
        <v>5.63</v>
      </c>
      <c r="L80" s="42" t="s">
        <v>261</v>
      </c>
      <c r="M80" s="42" t="s">
        <v>262</v>
      </c>
    </row>
    <row r="81" spans="2:13" ht="27.6" x14ac:dyDescent="0.3">
      <c r="B81" s="3" t="s">
        <v>148</v>
      </c>
      <c r="C81" s="291" t="s">
        <v>263</v>
      </c>
      <c r="D81" s="291"/>
      <c r="E81" s="291"/>
      <c r="F81" s="291"/>
      <c r="G81" s="291"/>
      <c r="H81" s="291"/>
      <c r="I81" s="8">
        <f>((5/30)/12)*1.5%</f>
        <v>2.0833333333333332E-4</v>
      </c>
      <c r="J81" s="1">
        <f t="shared" si="2"/>
        <v>0.42</v>
      </c>
      <c r="L81" s="42" t="s">
        <v>264</v>
      </c>
      <c r="M81" s="37" t="s">
        <v>265</v>
      </c>
    </row>
    <row r="82" spans="2:13" ht="27.6" x14ac:dyDescent="0.3">
      <c r="B82" s="3" t="s">
        <v>151</v>
      </c>
      <c r="C82" s="291" t="s">
        <v>266</v>
      </c>
      <c r="D82" s="291"/>
      <c r="E82" s="291"/>
      <c r="F82" s="291"/>
      <c r="G82" s="291"/>
      <c r="H82" s="291"/>
      <c r="I82" s="8">
        <f>((15/30)/12)*8%</f>
        <v>3.3333333333333331E-3</v>
      </c>
      <c r="J82" s="1">
        <f t="shared" si="2"/>
        <v>6.76</v>
      </c>
      <c r="L82" s="42" t="s">
        <v>267</v>
      </c>
      <c r="M82" s="37" t="s">
        <v>268</v>
      </c>
    </row>
    <row r="83" spans="2:13" ht="27.6" x14ac:dyDescent="0.3">
      <c r="B83" s="3" t="s">
        <v>180</v>
      </c>
      <c r="C83" s="291" t="s">
        <v>269</v>
      </c>
      <c r="D83" s="291"/>
      <c r="E83" s="291"/>
      <c r="F83" s="291"/>
      <c r="G83" s="291"/>
      <c r="H83" s="291"/>
      <c r="I83" s="8">
        <f>(((4*8.33%)+(4*2.78%))/12)*2%</f>
        <v>7.4066666666666671E-4</v>
      </c>
      <c r="J83" s="1">
        <f t="shared" si="2"/>
        <v>1.5</v>
      </c>
      <c r="L83" s="42" t="s">
        <v>270</v>
      </c>
      <c r="M83" s="37" t="s">
        <v>271</v>
      </c>
    </row>
    <row r="84" spans="2:13" x14ac:dyDescent="0.3">
      <c r="B84" s="3" t="s">
        <v>182</v>
      </c>
      <c r="C84" s="291" t="s">
        <v>272</v>
      </c>
      <c r="D84" s="291"/>
      <c r="E84" s="291"/>
      <c r="F84" s="291"/>
      <c r="G84" s="291"/>
      <c r="H84" s="291"/>
      <c r="I84" s="8">
        <v>0</v>
      </c>
      <c r="J84" s="1">
        <f t="shared" si="2"/>
        <v>0</v>
      </c>
    </row>
    <row r="85" spans="2:13" x14ac:dyDescent="0.3">
      <c r="B85" s="292" t="s">
        <v>273</v>
      </c>
      <c r="C85" s="292"/>
      <c r="D85" s="292"/>
      <c r="E85" s="292"/>
      <c r="F85" s="292"/>
      <c r="G85" s="292"/>
      <c r="H85" s="292"/>
      <c r="I85" s="10">
        <f>SUM(I79:I84)</f>
        <v>2.3263814814814817E-2</v>
      </c>
      <c r="J85" s="5">
        <f>SUM(J79:J84)</f>
        <v>47.2</v>
      </c>
    </row>
    <row r="86" spans="2:13" x14ac:dyDescent="0.3">
      <c r="B86" s="306"/>
      <c r="C86" s="307"/>
      <c r="D86" s="307"/>
      <c r="E86" s="307"/>
      <c r="F86" s="307"/>
      <c r="G86" s="307"/>
      <c r="H86" s="307"/>
      <c r="I86" s="307"/>
      <c r="J86" s="307"/>
    </row>
    <row r="87" spans="2:13" x14ac:dyDescent="0.3">
      <c r="B87" s="292" t="s">
        <v>274</v>
      </c>
      <c r="C87" s="292"/>
      <c r="D87" s="292"/>
      <c r="E87" s="292"/>
      <c r="F87" s="292"/>
      <c r="G87" s="292"/>
      <c r="H87" s="292"/>
      <c r="I87" s="3" t="s">
        <v>170</v>
      </c>
      <c r="J87" s="3" t="s">
        <v>171</v>
      </c>
    </row>
    <row r="88" spans="2:13" x14ac:dyDescent="0.3">
      <c r="B88" s="3" t="s">
        <v>134</v>
      </c>
      <c r="C88" s="308" t="s">
        <v>275</v>
      </c>
      <c r="D88" s="291"/>
      <c r="E88" s="291"/>
      <c r="F88" s="291"/>
      <c r="G88" s="291"/>
      <c r="H88" s="291"/>
      <c r="I88" s="8">
        <v>0</v>
      </c>
      <c r="J88" s="1">
        <v>0</v>
      </c>
    </row>
    <row r="89" spans="2:13" x14ac:dyDescent="0.3">
      <c r="B89" s="292" t="s">
        <v>276</v>
      </c>
      <c r="C89" s="292"/>
      <c r="D89" s="292"/>
      <c r="E89" s="292"/>
      <c r="F89" s="292"/>
      <c r="G89" s="292"/>
      <c r="H89" s="292"/>
      <c r="I89" s="10">
        <v>0</v>
      </c>
      <c r="J89" s="5">
        <v>0</v>
      </c>
    </row>
    <row r="90" spans="2:13" x14ac:dyDescent="0.3">
      <c r="B90" s="304"/>
      <c r="C90" s="305"/>
      <c r="D90" s="305"/>
      <c r="E90" s="305"/>
      <c r="F90" s="305"/>
      <c r="G90" s="305"/>
      <c r="H90" s="305"/>
      <c r="I90" s="305"/>
      <c r="J90" s="305"/>
    </row>
    <row r="91" spans="2:13" x14ac:dyDescent="0.3">
      <c r="B91" s="294" t="s">
        <v>277</v>
      </c>
      <c r="C91" s="294"/>
      <c r="D91" s="294"/>
      <c r="E91" s="294"/>
      <c r="F91" s="294"/>
      <c r="G91" s="294"/>
      <c r="H91" s="294"/>
      <c r="I91" s="294"/>
      <c r="J91" s="294"/>
    </row>
    <row r="92" spans="2:13" x14ac:dyDescent="0.3">
      <c r="B92" s="292" t="s">
        <v>278</v>
      </c>
      <c r="C92" s="292"/>
      <c r="D92" s="292"/>
      <c r="E92" s="292"/>
      <c r="F92" s="292"/>
      <c r="G92" s="292"/>
      <c r="H92" s="292"/>
      <c r="I92" s="292"/>
      <c r="J92" s="3" t="s">
        <v>171</v>
      </c>
    </row>
    <row r="93" spans="2:13" x14ac:dyDescent="0.3">
      <c r="B93" s="3" t="s">
        <v>279</v>
      </c>
      <c r="C93" s="291" t="s">
        <v>280</v>
      </c>
      <c r="D93" s="291"/>
      <c r="E93" s="291"/>
      <c r="F93" s="291"/>
      <c r="G93" s="291"/>
      <c r="H93" s="291"/>
      <c r="I93" s="291"/>
      <c r="J93" s="1">
        <f>J85</f>
        <v>47.2</v>
      </c>
    </row>
    <row r="94" spans="2:13" x14ac:dyDescent="0.3">
      <c r="B94" s="3" t="s">
        <v>281</v>
      </c>
      <c r="C94" s="291" t="s">
        <v>282</v>
      </c>
      <c r="D94" s="291"/>
      <c r="E94" s="291"/>
      <c r="F94" s="291"/>
      <c r="G94" s="291"/>
      <c r="H94" s="291"/>
      <c r="I94" s="291"/>
      <c r="J94" s="1">
        <f>J89</f>
        <v>0</v>
      </c>
    </row>
    <row r="95" spans="2:13" x14ac:dyDescent="0.3">
      <c r="B95" s="292" t="s">
        <v>283</v>
      </c>
      <c r="C95" s="292"/>
      <c r="D95" s="292"/>
      <c r="E95" s="292"/>
      <c r="F95" s="292"/>
      <c r="G95" s="292"/>
      <c r="H95" s="292"/>
      <c r="I95" s="292"/>
      <c r="J95" s="5">
        <f>SUM(J93:J94)</f>
        <v>47.2</v>
      </c>
    </row>
    <row r="96" spans="2:13" x14ac:dyDescent="0.3">
      <c r="B96" s="301"/>
      <c r="C96" s="302"/>
      <c r="D96" s="302"/>
      <c r="E96" s="302"/>
      <c r="F96" s="302"/>
      <c r="G96" s="302"/>
      <c r="H96" s="302"/>
      <c r="I96" s="302"/>
      <c r="J96" s="302"/>
    </row>
    <row r="97" spans="2:13" x14ac:dyDescent="0.3">
      <c r="B97" s="303" t="s">
        <v>284</v>
      </c>
      <c r="C97" s="303"/>
      <c r="D97" s="303"/>
      <c r="E97" s="303"/>
      <c r="F97" s="303"/>
      <c r="G97" s="303"/>
      <c r="H97" s="303"/>
      <c r="I97" s="303"/>
      <c r="J97" s="303"/>
    </row>
    <row r="98" spans="2:13" x14ac:dyDescent="0.3">
      <c r="B98" s="3">
        <v>5</v>
      </c>
      <c r="C98" s="292" t="s">
        <v>285</v>
      </c>
      <c r="D98" s="292"/>
      <c r="E98" s="292"/>
      <c r="F98" s="292"/>
      <c r="G98" s="292"/>
      <c r="H98" s="292"/>
      <c r="I98" s="3"/>
      <c r="J98" s="3" t="s">
        <v>171</v>
      </c>
      <c r="L98"/>
      <c r="M98"/>
    </row>
    <row r="99" spans="2:13" x14ac:dyDescent="0.3">
      <c r="B99" s="3" t="s">
        <v>134</v>
      </c>
      <c r="C99" s="300" t="s">
        <v>286</v>
      </c>
      <c r="D99" s="300"/>
      <c r="E99" s="300"/>
      <c r="F99" s="300"/>
      <c r="G99" s="300"/>
      <c r="H99" s="300"/>
      <c r="I99" s="8" t="s">
        <v>24</v>
      </c>
      <c r="J99" s="143">
        <f>Uniformes!E12</f>
        <v>91.481111111111105</v>
      </c>
      <c r="L99"/>
      <c r="M99"/>
    </row>
    <row r="100" spans="2:13" x14ac:dyDescent="0.3">
      <c r="B100" s="3" t="s">
        <v>137</v>
      </c>
      <c r="C100" s="300" t="s">
        <v>287</v>
      </c>
      <c r="D100" s="300"/>
      <c r="E100" s="300"/>
      <c r="F100" s="300"/>
      <c r="G100" s="300"/>
      <c r="H100" s="300"/>
      <c r="I100" s="8" t="s">
        <v>24</v>
      </c>
      <c r="J100" s="245">
        <f>'Equip. Ferram.'!E99</f>
        <v>94.133466666666664</v>
      </c>
      <c r="L100"/>
      <c r="M100"/>
    </row>
    <row r="101" spans="2:13" x14ac:dyDescent="0.3">
      <c r="B101" s="100" t="s">
        <v>148</v>
      </c>
      <c r="C101" s="300" t="s">
        <v>183</v>
      </c>
      <c r="D101" s="300"/>
      <c r="E101" s="300"/>
      <c r="F101" s="300"/>
      <c r="G101" s="300"/>
      <c r="H101" s="300"/>
      <c r="I101" s="22"/>
      <c r="J101" s="1"/>
    </row>
    <row r="102" spans="2:13" x14ac:dyDescent="0.3">
      <c r="B102" s="100" t="s">
        <v>151</v>
      </c>
      <c r="C102" s="300" t="s">
        <v>183</v>
      </c>
      <c r="D102" s="300"/>
      <c r="E102" s="300"/>
      <c r="F102" s="300"/>
      <c r="G102" s="300"/>
      <c r="H102" s="300"/>
      <c r="I102" s="22" t="s">
        <v>24</v>
      </c>
      <c r="J102" s="1">
        <v>0</v>
      </c>
    </row>
    <row r="103" spans="2:13" x14ac:dyDescent="0.3">
      <c r="B103" s="292" t="s">
        <v>288</v>
      </c>
      <c r="C103" s="292"/>
      <c r="D103" s="292"/>
      <c r="E103" s="292"/>
      <c r="F103" s="292"/>
      <c r="G103" s="292"/>
      <c r="H103" s="292"/>
      <c r="I103" s="10" t="s">
        <v>24</v>
      </c>
      <c r="J103" s="5">
        <f>SUM(J99:J102)</f>
        <v>185.61457777777775</v>
      </c>
    </row>
    <row r="104" spans="2:13" x14ac:dyDescent="0.3">
      <c r="B104" s="301"/>
      <c r="C104" s="302"/>
      <c r="D104" s="302"/>
      <c r="E104" s="302"/>
      <c r="F104" s="302"/>
      <c r="G104" s="302"/>
      <c r="H104" s="302"/>
      <c r="I104" s="302"/>
      <c r="J104" s="302"/>
    </row>
    <row r="105" spans="2:13" x14ac:dyDescent="0.3">
      <c r="B105" s="303" t="s">
        <v>289</v>
      </c>
      <c r="C105" s="303"/>
      <c r="D105" s="303"/>
      <c r="E105" s="303"/>
      <c r="F105" s="303"/>
      <c r="G105" s="303"/>
      <c r="H105" s="303"/>
      <c r="I105" s="303"/>
      <c r="J105" s="303"/>
    </row>
    <row r="106" spans="2:13" x14ac:dyDescent="0.3">
      <c r="B106" s="3">
        <v>6</v>
      </c>
      <c r="C106" s="292" t="s">
        <v>290</v>
      </c>
      <c r="D106" s="292"/>
      <c r="E106" s="292"/>
      <c r="F106" s="292"/>
      <c r="G106" s="292"/>
      <c r="H106" s="292"/>
      <c r="I106" s="3" t="s">
        <v>170</v>
      </c>
      <c r="J106" s="3" t="s">
        <v>171</v>
      </c>
      <c r="L106" s="237" t="s">
        <v>172</v>
      </c>
      <c r="M106" s="237" t="s">
        <v>173</v>
      </c>
    </row>
    <row r="107" spans="2:13" x14ac:dyDescent="0.3">
      <c r="B107" s="3" t="s">
        <v>134</v>
      </c>
      <c r="C107" s="291" t="s">
        <v>291</v>
      </c>
      <c r="D107" s="291"/>
      <c r="E107" s="291"/>
      <c r="F107" s="291"/>
      <c r="G107" s="291"/>
      <c r="H107" s="291"/>
      <c r="I107" s="12">
        <v>5.2699999999999997E-2</v>
      </c>
      <c r="J107" s="1">
        <f>TRUNC(((J131)*I107),2)</f>
        <v>234.45</v>
      </c>
      <c r="L107" s="41"/>
      <c r="M107" s="41" t="s">
        <v>292</v>
      </c>
    </row>
    <row r="108" spans="2:13" x14ac:dyDescent="0.3">
      <c r="B108" s="3" t="s">
        <v>137</v>
      </c>
      <c r="C108" s="291" t="s">
        <v>293</v>
      </c>
      <c r="D108" s="291"/>
      <c r="E108" s="291"/>
      <c r="F108" s="291"/>
      <c r="G108" s="291"/>
      <c r="H108" s="291"/>
      <c r="I108" s="12">
        <v>6.0699999999999997E-2</v>
      </c>
      <c r="J108" s="1">
        <f>TRUNC(((J131+J107)*I108),2)</f>
        <v>284.27</v>
      </c>
      <c r="L108" s="41"/>
      <c r="M108" s="41" t="s">
        <v>294</v>
      </c>
    </row>
    <row r="109" spans="2:13" x14ac:dyDescent="0.3">
      <c r="B109" s="3" t="s">
        <v>148</v>
      </c>
      <c r="C109" s="299" t="s">
        <v>295</v>
      </c>
      <c r="D109" s="299"/>
      <c r="E109" s="299"/>
      <c r="F109" s="299"/>
      <c r="G109" s="299"/>
      <c r="H109" s="299"/>
      <c r="I109" s="2"/>
      <c r="J109" s="13"/>
      <c r="L109" s="43"/>
      <c r="M109" s="43"/>
    </row>
    <row r="110" spans="2:13" x14ac:dyDescent="0.3">
      <c r="B110" s="3" t="s">
        <v>296</v>
      </c>
      <c r="C110" s="291" t="s">
        <v>297</v>
      </c>
      <c r="D110" s="291"/>
      <c r="E110" s="291"/>
      <c r="F110" s="291"/>
      <c r="G110" s="291"/>
      <c r="H110" s="291"/>
      <c r="I110" s="14">
        <v>6.4999999999999997E-3</v>
      </c>
      <c r="J110" s="1">
        <f>TRUNC(I110*((J131+J107+J108)/(1-I115)),2)</f>
        <v>34.58</v>
      </c>
      <c r="L110" s="41"/>
      <c r="M110" s="41" t="s">
        <v>298</v>
      </c>
    </row>
    <row r="111" spans="2:13" x14ac:dyDescent="0.3">
      <c r="B111" s="3" t="s">
        <v>299</v>
      </c>
      <c r="C111" s="291" t="s">
        <v>300</v>
      </c>
      <c r="D111" s="291"/>
      <c r="E111" s="291"/>
      <c r="F111" s="291"/>
      <c r="G111" s="291"/>
      <c r="H111" s="291"/>
      <c r="I111" s="14">
        <v>0.03</v>
      </c>
      <c r="J111" s="1">
        <f>TRUNC(I111*(J131+J107+J108)/(1-I115),2)</f>
        <v>159.63999999999999</v>
      </c>
      <c r="L111" s="41"/>
      <c r="M111" s="41" t="s">
        <v>301</v>
      </c>
    </row>
    <row r="112" spans="2:13" x14ac:dyDescent="0.3">
      <c r="B112" s="3" t="s">
        <v>302</v>
      </c>
      <c r="C112" s="291" t="s">
        <v>303</v>
      </c>
      <c r="D112" s="291"/>
      <c r="E112" s="291"/>
      <c r="F112" s="291"/>
      <c r="G112" s="291"/>
      <c r="H112" s="291"/>
      <c r="I112" s="14">
        <v>0.03</v>
      </c>
      <c r="J112" s="1">
        <f>TRUNC(I112*(J131+J107+J108)/(1-I115),2)</f>
        <v>159.63999999999999</v>
      </c>
      <c r="L112" s="44"/>
      <c r="M112" s="44" t="s">
        <v>304</v>
      </c>
    </row>
    <row r="113" spans="2:13" x14ac:dyDescent="0.3">
      <c r="B113" s="292" t="s">
        <v>305</v>
      </c>
      <c r="C113" s="292"/>
      <c r="D113" s="292"/>
      <c r="E113" s="292"/>
      <c r="F113" s="292"/>
      <c r="G113" s="292"/>
      <c r="H113" s="292"/>
      <c r="I113" s="14">
        <f>SUM(I107:I112)</f>
        <v>0.1799</v>
      </c>
      <c r="J113" s="5">
        <f>SUM(J107:J112)</f>
        <v>872.58</v>
      </c>
    </row>
    <row r="114" spans="2:13" x14ac:dyDescent="0.3">
      <c r="B114" s="102"/>
      <c r="C114" s="295"/>
      <c r="D114" s="295"/>
      <c r="E114" s="295"/>
      <c r="F114" s="295"/>
      <c r="G114" s="295"/>
      <c r="H114" s="295"/>
      <c r="I114" s="295"/>
      <c r="J114" s="295"/>
      <c r="L114" s="43"/>
      <c r="M114" s="43"/>
    </row>
    <row r="115" spans="2:13" x14ac:dyDescent="0.3">
      <c r="B115" s="239" t="s">
        <v>306</v>
      </c>
      <c r="C115" s="296" t="s">
        <v>307</v>
      </c>
      <c r="D115" s="296"/>
      <c r="E115" s="296"/>
      <c r="F115" s="296"/>
      <c r="G115" s="296"/>
      <c r="H115" s="296"/>
      <c r="I115" s="240">
        <f>I110+I111+I112</f>
        <v>6.6500000000000004E-2</v>
      </c>
      <c r="J115" s="241"/>
    </row>
    <row r="116" spans="2:13" x14ac:dyDescent="0.3">
      <c r="B116" s="15"/>
      <c r="C116" s="297">
        <v>100</v>
      </c>
      <c r="D116" s="297"/>
      <c r="E116" s="297"/>
      <c r="F116" s="297"/>
      <c r="G116" s="297"/>
      <c r="H116" s="297"/>
      <c r="I116" s="16"/>
      <c r="J116" s="17"/>
    </row>
    <row r="117" spans="2:13" x14ac:dyDescent="0.3">
      <c r="B117" s="18"/>
      <c r="C117" s="98"/>
      <c r="D117" s="98"/>
      <c r="E117" s="98"/>
      <c r="F117" s="98"/>
      <c r="G117" s="98"/>
      <c r="H117" s="98"/>
      <c r="I117" s="16"/>
      <c r="J117" s="17"/>
    </row>
    <row r="118" spans="2:13" x14ac:dyDescent="0.3">
      <c r="B118" s="15" t="s">
        <v>308</v>
      </c>
      <c r="C118" s="297" t="s">
        <v>309</v>
      </c>
      <c r="D118" s="297"/>
      <c r="E118" s="297"/>
      <c r="F118" s="297"/>
      <c r="G118" s="297"/>
      <c r="H118" s="297"/>
      <c r="I118" s="16"/>
      <c r="J118" s="17">
        <f>J33+J65+J74+J95+J103+J107+J108</f>
        <v>4967.5345777777766</v>
      </c>
    </row>
    <row r="119" spans="2:13" x14ac:dyDescent="0.3">
      <c r="B119" s="15"/>
      <c r="C119" s="98"/>
      <c r="D119" s="98"/>
      <c r="E119" s="98"/>
      <c r="F119" s="98"/>
      <c r="G119" s="98"/>
      <c r="H119" s="98"/>
      <c r="I119" s="16"/>
      <c r="J119" s="17"/>
    </row>
    <row r="120" spans="2:13" x14ac:dyDescent="0.3">
      <c r="B120" s="15" t="s">
        <v>310</v>
      </c>
      <c r="C120" s="297" t="s">
        <v>311</v>
      </c>
      <c r="D120" s="297"/>
      <c r="E120" s="297"/>
      <c r="F120" s="297"/>
      <c r="G120" s="297"/>
      <c r="H120" s="297"/>
      <c r="I120" s="16"/>
      <c r="J120" s="17">
        <f>TRUNC(J118/(1-I115),2)</f>
        <v>5321.4</v>
      </c>
    </row>
    <row r="121" spans="2:13" x14ac:dyDescent="0.3">
      <c r="B121" s="15"/>
      <c r="C121" s="98"/>
      <c r="D121" s="98"/>
      <c r="E121" s="98"/>
      <c r="F121" s="98"/>
      <c r="G121" s="98"/>
      <c r="H121" s="98"/>
      <c r="I121" s="16"/>
      <c r="J121" s="17"/>
    </row>
    <row r="122" spans="2:13" x14ac:dyDescent="0.3">
      <c r="B122" s="19"/>
      <c r="C122" s="298" t="s">
        <v>312</v>
      </c>
      <c r="D122" s="298"/>
      <c r="E122" s="298"/>
      <c r="F122" s="298"/>
      <c r="G122" s="298"/>
      <c r="H122" s="298"/>
      <c r="I122" s="20"/>
      <c r="J122" s="21">
        <f>J120-J118</f>
        <v>353.86542222222306</v>
      </c>
    </row>
    <row r="123" spans="2:13" x14ac:dyDescent="0.3">
      <c r="B123" s="102"/>
      <c r="C123" s="102"/>
      <c r="D123" s="102"/>
      <c r="E123" s="102"/>
      <c r="F123" s="102"/>
      <c r="G123" s="102"/>
      <c r="H123" s="102"/>
      <c r="I123" s="102"/>
      <c r="J123" s="7"/>
    </row>
    <row r="124" spans="2:13" x14ac:dyDescent="0.3">
      <c r="B124" s="294" t="s">
        <v>313</v>
      </c>
      <c r="C124" s="294"/>
      <c r="D124" s="294"/>
      <c r="E124" s="294"/>
      <c r="F124" s="294"/>
      <c r="G124" s="294"/>
      <c r="H124" s="294"/>
      <c r="I124" s="294"/>
      <c r="J124" s="294"/>
    </row>
    <row r="125" spans="2:13" x14ac:dyDescent="0.3">
      <c r="B125" s="292" t="s">
        <v>314</v>
      </c>
      <c r="C125" s="292"/>
      <c r="D125" s="292"/>
      <c r="E125" s="292"/>
      <c r="F125" s="292"/>
      <c r="G125" s="292"/>
      <c r="H125" s="292"/>
      <c r="I125" s="292"/>
      <c r="J125" s="3" t="s">
        <v>171</v>
      </c>
    </row>
    <row r="126" spans="2:13" x14ac:dyDescent="0.3">
      <c r="B126" s="22" t="s">
        <v>134</v>
      </c>
      <c r="C126" s="291" t="s">
        <v>168</v>
      </c>
      <c r="D126" s="291"/>
      <c r="E126" s="291"/>
      <c r="F126" s="291"/>
      <c r="G126" s="291"/>
      <c r="H126" s="291"/>
      <c r="I126" s="291"/>
      <c r="J126" s="1">
        <f>J33</f>
        <v>2030.19</v>
      </c>
    </row>
    <row r="127" spans="2:13" x14ac:dyDescent="0.3">
      <c r="B127" s="22" t="s">
        <v>137</v>
      </c>
      <c r="C127" s="291" t="s">
        <v>185</v>
      </c>
      <c r="D127" s="291"/>
      <c r="E127" s="291"/>
      <c r="F127" s="291"/>
      <c r="G127" s="291"/>
      <c r="H127" s="291"/>
      <c r="I127" s="291"/>
      <c r="J127" s="1">
        <f>J65</f>
        <v>2041.5</v>
      </c>
    </row>
    <row r="128" spans="2:13" x14ac:dyDescent="0.3">
      <c r="B128" s="22" t="s">
        <v>148</v>
      </c>
      <c r="C128" s="291" t="s">
        <v>236</v>
      </c>
      <c r="D128" s="291"/>
      <c r="E128" s="291"/>
      <c r="F128" s="291"/>
      <c r="G128" s="291"/>
      <c r="H128" s="291"/>
      <c r="I128" s="291"/>
      <c r="J128" s="1">
        <f>J74</f>
        <v>144.31</v>
      </c>
    </row>
    <row r="129" spans="2:10" x14ac:dyDescent="0.3">
      <c r="B129" s="22" t="s">
        <v>151</v>
      </c>
      <c r="C129" s="291" t="s">
        <v>255</v>
      </c>
      <c r="D129" s="291"/>
      <c r="E129" s="291"/>
      <c r="F129" s="291"/>
      <c r="G129" s="291"/>
      <c r="H129" s="291"/>
      <c r="I129" s="291"/>
      <c r="J129" s="1">
        <f>J95</f>
        <v>47.2</v>
      </c>
    </row>
    <row r="130" spans="2:10" x14ac:dyDescent="0.3">
      <c r="B130" s="22" t="s">
        <v>180</v>
      </c>
      <c r="C130" s="291" t="s">
        <v>284</v>
      </c>
      <c r="D130" s="291"/>
      <c r="E130" s="291"/>
      <c r="F130" s="291"/>
      <c r="G130" s="291"/>
      <c r="H130" s="291"/>
      <c r="I130" s="291"/>
      <c r="J130" s="1">
        <f>J103</f>
        <v>185.61457777777775</v>
      </c>
    </row>
    <row r="131" spans="2:10" x14ac:dyDescent="0.3">
      <c r="B131" s="3"/>
      <c r="C131" s="292" t="s">
        <v>315</v>
      </c>
      <c r="D131" s="292"/>
      <c r="E131" s="292"/>
      <c r="F131" s="292"/>
      <c r="G131" s="292"/>
      <c r="H131" s="292"/>
      <c r="I131" s="292"/>
      <c r="J131" s="5">
        <f>SUM(J126:J130)</f>
        <v>4448.8145777777772</v>
      </c>
    </row>
    <row r="132" spans="2:10" x14ac:dyDescent="0.3">
      <c r="B132" s="22" t="s">
        <v>182</v>
      </c>
      <c r="C132" s="291" t="s">
        <v>289</v>
      </c>
      <c r="D132" s="291"/>
      <c r="E132" s="291"/>
      <c r="F132" s="291"/>
      <c r="G132" s="291"/>
      <c r="H132" s="291"/>
      <c r="I132" s="291"/>
      <c r="J132" s="1">
        <f>J113</f>
        <v>872.58</v>
      </c>
    </row>
    <row r="133" spans="2:10" ht="17.399999999999999" x14ac:dyDescent="0.3">
      <c r="B133" s="293" t="s">
        <v>316</v>
      </c>
      <c r="C133" s="293"/>
      <c r="D133" s="293"/>
      <c r="E133" s="293"/>
      <c r="F133" s="293"/>
      <c r="G133" s="293"/>
      <c r="H133" s="293"/>
      <c r="I133" s="293"/>
      <c r="J133" s="23">
        <f>TRUNC(J131+J132,2)</f>
        <v>5321.39</v>
      </c>
    </row>
    <row r="134" spans="2:10" x14ac:dyDescent="0.3">
      <c r="B134" s="24"/>
      <c r="C134" s="24"/>
      <c r="D134" s="24"/>
      <c r="E134" s="24"/>
      <c r="F134" s="24"/>
      <c r="G134" s="24"/>
      <c r="H134" s="24"/>
      <c r="I134" s="24"/>
      <c r="J134" s="25"/>
    </row>
    <row r="135" spans="2:10" x14ac:dyDescent="0.3">
      <c r="B135" s="24"/>
      <c r="C135" s="24"/>
      <c r="D135" s="24"/>
      <c r="E135" s="24"/>
      <c r="F135" s="24"/>
      <c r="G135" s="24"/>
      <c r="H135" s="24"/>
      <c r="I135" s="24"/>
      <c r="J135" s="24"/>
    </row>
    <row r="136" spans="2:10" x14ac:dyDescent="0.3">
      <c r="B136" s="30"/>
      <c r="C136" s="31"/>
      <c r="D136" s="24"/>
      <c r="E136" s="24"/>
      <c r="F136" s="24"/>
      <c r="G136" s="24"/>
      <c r="H136" s="24"/>
      <c r="I136" s="24"/>
      <c r="J136" s="24"/>
    </row>
    <row r="137" spans="2:10" x14ac:dyDescent="0.3">
      <c r="B137" s="26"/>
      <c r="C137" s="26"/>
      <c r="D137" s="27"/>
    </row>
    <row r="138" spans="2:10" x14ac:dyDescent="0.3">
      <c r="B138" s="28"/>
      <c r="C138" s="24"/>
      <c r="D138" s="24"/>
    </row>
    <row r="139" spans="2:10" x14ac:dyDescent="0.3">
      <c r="B139" s="28"/>
      <c r="C139" s="24"/>
      <c r="D139" s="24"/>
    </row>
  </sheetData>
  <mergeCells count="139">
    <mergeCell ref="B1:J1"/>
    <mergeCell ref="B2:J2"/>
    <mergeCell ref="B3:J3"/>
    <mergeCell ref="B4:J4"/>
    <mergeCell ref="B5:J5"/>
    <mergeCell ref="B6:J6"/>
    <mergeCell ref="C11:H11"/>
    <mergeCell ref="I11:J11"/>
    <mergeCell ref="C12:H12"/>
    <mergeCell ref="I12:J12"/>
    <mergeCell ref="B14:J14"/>
    <mergeCell ref="B15:C15"/>
    <mergeCell ref="D15:E15"/>
    <mergeCell ref="F15:J15"/>
    <mergeCell ref="B7:J7"/>
    <mergeCell ref="B8:J8"/>
    <mergeCell ref="C9:H9"/>
    <mergeCell ref="I9:J9"/>
    <mergeCell ref="C10:H10"/>
    <mergeCell ref="I10:J10"/>
    <mergeCell ref="C20:H20"/>
    <mergeCell ref="I20:J20"/>
    <mergeCell ref="C21:H21"/>
    <mergeCell ref="I21:J21"/>
    <mergeCell ref="C22:H22"/>
    <mergeCell ref="I22:J22"/>
    <mergeCell ref="B16:C16"/>
    <mergeCell ref="D16:E16"/>
    <mergeCell ref="F16:J16"/>
    <mergeCell ref="B18:J18"/>
    <mergeCell ref="C19:H19"/>
    <mergeCell ref="I19:J19"/>
    <mergeCell ref="C28:H28"/>
    <mergeCell ref="C29:H29"/>
    <mergeCell ref="C30:H30"/>
    <mergeCell ref="C31:H31"/>
    <mergeCell ref="C32:H32"/>
    <mergeCell ref="B33:I33"/>
    <mergeCell ref="C23:H23"/>
    <mergeCell ref="I23:J23"/>
    <mergeCell ref="B24:J24"/>
    <mergeCell ref="B25:J25"/>
    <mergeCell ref="C26:H26"/>
    <mergeCell ref="C27:H27"/>
    <mergeCell ref="B41:H41"/>
    <mergeCell ref="C42:H42"/>
    <mergeCell ref="C43:H43"/>
    <mergeCell ref="C44:H44"/>
    <mergeCell ref="C45:H45"/>
    <mergeCell ref="C46:H46"/>
    <mergeCell ref="B35:J35"/>
    <mergeCell ref="B36:H36"/>
    <mergeCell ref="C37:H37"/>
    <mergeCell ref="C38:H38"/>
    <mergeCell ref="B39:H39"/>
    <mergeCell ref="B40:J40"/>
    <mergeCell ref="C53:H53"/>
    <mergeCell ref="C54:H54"/>
    <mergeCell ref="C55:H55"/>
    <mergeCell ref="C56:H56"/>
    <mergeCell ref="C57:H57"/>
    <mergeCell ref="B58:I58"/>
    <mergeCell ref="C47:H47"/>
    <mergeCell ref="C48:H48"/>
    <mergeCell ref="C49:H49"/>
    <mergeCell ref="B50:H50"/>
    <mergeCell ref="B51:J51"/>
    <mergeCell ref="B52:H52"/>
    <mergeCell ref="B65:I65"/>
    <mergeCell ref="B66:J66"/>
    <mergeCell ref="B67:J67"/>
    <mergeCell ref="C68:H68"/>
    <mergeCell ref="C69:H69"/>
    <mergeCell ref="C70:H70"/>
    <mergeCell ref="B59:J59"/>
    <mergeCell ref="B60:J60"/>
    <mergeCell ref="B61:I61"/>
    <mergeCell ref="C62:I62"/>
    <mergeCell ref="C63:I63"/>
    <mergeCell ref="C64:I64"/>
    <mergeCell ref="B77:J77"/>
    <mergeCell ref="B78:H78"/>
    <mergeCell ref="C79:H79"/>
    <mergeCell ref="C80:H80"/>
    <mergeCell ref="C81:H81"/>
    <mergeCell ref="C82:H82"/>
    <mergeCell ref="C71:H71"/>
    <mergeCell ref="C72:H72"/>
    <mergeCell ref="C73:H73"/>
    <mergeCell ref="B74:H74"/>
    <mergeCell ref="C75:J75"/>
    <mergeCell ref="B76:J76"/>
    <mergeCell ref="B89:H89"/>
    <mergeCell ref="B90:J90"/>
    <mergeCell ref="B91:J91"/>
    <mergeCell ref="B92:I92"/>
    <mergeCell ref="C93:I93"/>
    <mergeCell ref="C94:I94"/>
    <mergeCell ref="C83:H83"/>
    <mergeCell ref="C84:H84"/>
    <mergeCell ref="B85:H85"/>
    <mergeCell ref="B86:J86"/>
    <mergeCell ref="B87:H87"/>
    <mergeCell ref="C88:H88"/>
    <mergeCell ref="C101:H101"/>
    <mergeCell ref="C102:H102"/>
    <mergeCell ref="B103:H103"/>
    <mergeCell ref="B104:J104"/>
    <mergeCell ref="B105:J105"/>
    <mergeCell ref="C106:H106"/>
    <mergeCell ref="B95:I95"/>
    <mergeCell ref="B96:J96"/>
    <mergeCell ref="B97:J97"/>
    <mergeCell ref="C98:H98"/>
    <mergeCell ref="C99:H99"/>
    <mergeCell ref="C100:H100"/>
    <mergeCell ref="B113:H113"/>
    <mergeCell ref="C114:J114"/>
    <mergeCell ref="C115:H115"/>
    <mergeCell ref="C116:H116"/>
    <mergeCell ref="C118:H118"/>
    <mergeCell ref="C120:H120"/>
    <mergeCell ref="C107:H107"/>
    <mergeCell ref="C108:H108"/>
    <mergeCell ref="C109:H109"/>
    <mergeCell ref="C110:H110"/>
    <mergeCell ref="C111:H111"/>
    <mergeCell ref="C112:H112"/>
    <mergeCell ref="C129:I129"/>
    <mergeCell ref="C130:I130"/>
    <mergeCell ref="C131:I131"/>
    <mergeCell ref="C132:I132"/>
    <mergeCell ref="B133:I133"/>
    <mergeCell ref="C122:H122"/>
    <mergeCell ref="B124:J124"/>
    <mergeCell ref="B125:I125"/>
    <mergeCell ref="C126:I126"/>
    <mergeCell ref="C127:I127"/>
    <mergeCell ref="C128:I128"/>
  </mergeCells>
  <pageMargins left="0.51181102362204722" right="0.51181102362204722" top="0.78740157480314965" bottom="0.78740157480314965" header="0.31496062992125984" footer="0.31496062992125984"/>
  <pageSetup paperSize="9" scale="67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6A773-5932-4BB0-8DDF-B2703DFF3912}">
  <sheetPr>
    <pageSetUpPr fitToPage="1"/>
  </sheetPr>
  <dimension ref="B1:M58"/>
  <sheetViews>
    <sheetView showGridLines="0" zoomScale="80" zoomScaleNormal="80" workbookViewId="0">
      <selection activeCell="L22" sqref="L22"/>
    </sheetView>
  </sheetViews>
  <sheetFormatPr defaultColWidth="8.88671875" defaultRowHeight="14.4" x14ac:dyDescent="0.3"/>
  <cols>
    <col min="1" max="1" width="3.44140625" customWidth="1"/>
    <col min="2" max="2" width="10.44140625" customWidth="1"/>
    <col min="3" max="3" width="49.5546875" bestFit="1" customWidth="1"/>
    <col min="8" max="8" width="9" bestFit="1" customWidth="1"/>
    <col min="9" max="9" width="9.44140625" bestFit="1" customWidth="1"/>
    <col min="10" max="10" width="23.5546875" customWidth="1"/>
    <col min="11" max="11" width="11.88671875" bestFit="1" customWidth="1"/>
    <col min="12" max="12" width="25.88671875" style="34" customWidth="1"/>
    <col min="13" max="13" width="63.44140625" style="34" customWidth="1"/>
  </cols>
  <sheetData>
    <row r="1" spans="2:10" x14ac:dyDescent="0.3">
      <c r="B1" s="326" t="s">
        <v>1058</v>
      </c>
      <c r="C1" s="326"/>
      <c r="D1" s="326"/>
      <c r="E1" s="326"/>
      <c r="F1" s="326"/>
      <c r="G1" s="326"/>
      <c r="H1" s="326"/>
      <c r="I1" s="326"/>
      <c r="J1" s="326"/>
    </row>
    <row r="2" spans="2:10" x14ac:dyDescent="0.3">
      <c r="B2" s="327" t="s">
        <v>140</v>
      </c>
      <c r="C2" s="327"/>
      <c r="D2" s="327"/>
      <c r="E2" s="327"/>
      <c r="F2" s="327"/>
      <c r="G2" s="327"/>
      <c r="H2" s="327"/>
      <c r="I2" s="327"/>
      <c r="J2" s="327"/>
    </row>
    <row r="3" spans="2:10" x14ac:dyDescent="0.3">
      <c r="B3" s="327" t="s">
        <v>141</v>
      </c>
      <c r="C3" s="327"/>
      <c r="D3" s="327"/>
      <c r="E3" s="327"/>
      <c r="F3" s="327"/>
      <c r="G3" s="327"/>
      <c r="H3" s="327"/>
      <c r="I3" s="327"/>
      <c r="J3" s="327"/>
    </row>
    <row r="4" spans="2:10" x14ac:dyDescent="0.3">
      <c r="B4" s="328" t="s">
        <v>142</v>
      </c>
      <c r="C4" s="328"/>
      <c r="D4" s="328"/>
      <c r="E4" s="328"/>
      <c r="F4" s="328"/>
      <c r="G4" s="328"/>
      <c r="H4" s="328"/>
      <c r="I4" s="328"/>
      <c r="J4" s="328"/>
    </row>
    <row r="5" spans="2:10" x14ac:dyDescent="0.3">
      <c r="B5" s="323"/>
      <c r="C5" s="323"/>
      <c r="D5" s="323"/>
      <c r="E5" s="323"/>
      <c r="F5" s="323"/>
      <c r="G5" s="323"/>
      <c r="H5" s="323"/>
      <c r="I5" s="323"/>
      <c r="J5" s="323"/>
    </row>
    <row r="6" spans="2:10" x14ac:dyDescent="0.3">
      <c r="B6" s="329" t="s">
        <v>1064</v>
      </c>
      <c r="C6" s="329"/>
      <c r="D6" s="329"/>
      <c r="E6" s="329"/>
      <c r="F6" s="329"/>
      <c r="G6" s="329"/>
      <c r="H6" s="329"/>
      <c r="I6" s="329"/>
      <c r="J6" s="329"/>
    </row>
    <row r="7" spans="2:10" x14ac:dyDescent="0.3">
      <c r="B7" s="325"/>
      <c r="C7" s="325"/>
      <c r="D7" s="325"/>
      <c r="E7" s="325"/>
      <c r="F7" s="325"/>
      <c r="G7" s="325"/>
      <c r="H7" s="325"/>
      <c r="I7" s="325"/>
      <c r="J7" s="325"/>
    </row>
    <row r="8" spans="2:10" x14ac:dyDescent="0.3">
      <c r="B8" s="294" t="s">
        <v>144</v>
      </c>
      <c r="C8" s="294"/>
      <c r="D8" s="294"/>
      <c r="E8" s="294"/>
      <c r="F8" s="294"/>
      <c r="G8" s="294"/>
      <c r="H8" s="294"/>
      <c r="I8" s="294"/>
      <c r="J8" s="294"/>
    </row>
    <row r="9" spans="2:10" x14ac:dyDescent="0.3">
      <c r="B9" s="22" t="s">
        <v>134</v>
      </c>
      <c r="C9" s="291" t="s">
        <v>145</v>
      </c>
      <c r="D9" s="291"/>
      <c r="E9" s="291"/>
      <c r="F9" s="291"/>
      <c r="G9" s="291"/>
      <c r="H9" s="291"/>
      <c r="I9" s="321"/>
      <c r="J9" s="322"/>
    </row>
    <row r="10" spans="2:10" x14ac:dyDescent="0.3">
      <c r="B10" s="22" t="s">
        <v>137</v>
      </c>
      <c r="C10" s="291" t="s">
        <v>146</v>
      </c>
      <c r="D10" s="291"/>
      <c r="E10" s="291"/>
      <c r="F10" s="291"/>
      <c r="G10" s="291"/>
      <c r="H10" s="291"/>
      <c r="I10" s="322" t="s">
        <v>147</v>
      </c>
      <c r="J10" s="322"/>
    </row>
    <row r="11" spans="2:10" ht="44.4" customHeight="1" x14ac:dyDescent="0.3">
      <c r="B11" s="22" t="s">
        <v>148</v>
      </c>
      <c r="C11" s="291" t="s">
        <v>149</v>
      </c>
      <c r="D11" s="291"/>
      <c r="E11" s="291"/>
      <c r="F11" s="291"/>
      <c r="G11" s="291"/>
      <c r="H11" s="291"/>
      <c r="I11" s="330" t="s">
        <v>323</v>
      </c>
      <c r="J11" s="322"/>
    </row>
    <row r="12" spans="2:10" x14ac:dyDescent="0.3">
      <c r="B12" s="22" t="s">
        <v>151</v>
      </c>
      <c r="C12" s="291" t="s">
        <v>152</v>
      </c>
      <c r="D12" s="291"/>
      <c r="E12" s="291"/>
      <c r="F12" s="291"/>
      <c r="G12" s="291"/>
      <c r="H12" s="291"/>
      <c r="I12" s="322">
        <v>20</v>
      </c>
      <c r="J12" s="322"/>
    </row>
    <row r="13" spans="2:10" x14ac:dyDescent="0.3">
      <c r="B13" s="102"/>
      <c r="C13" s="97"/>
      <c r="D13" s="97"/>
      <c r="E13" s="97"/>
      <c r="F13" s="97"/>
      <c r="G13" s="97"/>
      <c r="H13" s="97"/>
      <c r="I13" s="102"/>
      <c r="J13" s="102"/>
    </row>
    <row r="14" spans="2:10" x14ac:dyDescent="0.3">
      <c r="B14" s="294" t="s">
        <v>153</v>
      </c>
      <c r="C14" s="294"/>
      <c r="D14" s="294"/>
      <c r="E14" s="294"/>
      <c r="F14" s="294"/>
      <c r="G14" s="294"/>
      <c r="H14" s="294"/>
      <c r="I14" s="294"/>
      <c r="J14" s="294"/>
    </row>
    <row r="15" spans="2:10" x14ac:dyDescent="0.3">
      <c r="B15" s="322" t="s">
        <v>154</v>
      </c>
      <c r="C15" s="322"/>
      <c r="D15" s="322" t="s">
        <v>155</v>
      </c>
      <c r="E15" s="322"/>
      <c r="F15" s="322" t="s">
        <v>156</v>
      </c>
      <c r="G15" s="322"/>
      <c r="H15" s="322"/>
      <c r="I15" s="322"/>
      <c r="J15" s="322"/>
    </row>
    <row r="16" spans="2:10" x14ac:dyDescent="0.3">
      <c r="B16" s="322" t="s">
        <v>324</v>
      </c>
      <c r="C16" s="322"/>
      <c r="D16" s="322" t="s">
        <v>325</v>
      </c>
      <c r="E16" s="322"/>
      <c r="F16" s="322">
        <v>1</v>
      </c>
      <c r="G16" s="322"/>
      <c r="H16" s="322"/>
      <c r="I16" s="322"/>
      <c r="J16" s="322"/>
    </row>
    <row r="17" spans="2:13" x14ac:dyDescent="0.3">
      <c r="B17" s="102"/>
      <c r="C17" s="97"/>
      <c r="D17" s="97"/>
      <c r="E17" s="97"/>
      <c r="F17" s="97"/>
      <c r="G17" s="97"/>
      <c r="H17" s="97"/>
      <c r="I17" s="102"/>
      <c r="J17" s="102"/>
    </row>
    <row r="18" spans="2:13" x14ac:dyDescent="0.3">
      <c r="B18" s="294" t="s">
        <v>159</v>
      </c>
      <c r="C18" s="294"/>
      <c r="D18" s="294"/>
      <c r="E18" s="294"/>
      <c r="F18" s="294"/>
      <c r="G18" s="294"/>
      <c r="H18" s="294"/>
      <c r="I18" s="294"/>
      <c r="J18" s="294"/>
    </row>
    <row r="19" spans="2:13" x14ac:dyDescent="0.3">
      <c r="B19" s="22">
        <v>1</v>
      </c>
      <c r="C19" s="291" t="s">
        <v>160</v>
      </c>
      <c r="D19" s="291"/>
      <c r="E19" s="291"/>
      <c r="F19" s="291"/>
      <c r="G19" s="291"/>
      <c r="H19" s="291"/>
      <c r="I19" s="322" t="s">
        <v>161</v>
      </c>
      <c r="J19" s="322"/>
    </row>
    <row r="20" spans="2:13" x14ac:dyDescent="0.3">
      <c r="B20" s="22">
        <v>2</v>
      </c>
      <c r="C20" s="291" t="s">
        <v>162</v>
      </c>
      <c r="D20" s="291"/>
      <c r="E20" s="291"/>
      <c r="F20" s="291"/>
      <c r="G20" s="291"/>
      <c r="H20" s="291"/>
      <c r="I20" s="322" t="s">
        <v>326</v>
      </c>
      <c r="J20" s="322"/>
    </row>
    <row r="21" spans="2:13" x14ac:dyDescent="0.3">
      <c r="B21" s="22">
        <v>3</v>
      </c>
      <c r="C21" s="291" t="s">
        <v>164</v>
      </c>
      <c r="D21" s="291"/>
      <c r="E21" s="291"/>
      <c r="F21" s="291"/>
      <c r="G21" s="291"/>
      <c r="H21" s="291"/>
      <c r="I21" s="324">
        <v>94.8</v>
      </c>
      <c r="J21" s="322"/>
    </row>
    <row r="22" spans="2:13" x14ac:dyDescent="0.3">
      <c r="B22" s="22">
        <v>4</v>
      </c>
      <c r="C22" s="291" t="s">
        <v>165</v>
      </c>
      <c r="D22" s="291"/>
      <c r="E22" s="291"/>
      <c r="F22" s="291"/>
      <c r="G22" s="291"/>
      <c r="H22" s="291"/>
      <c r="I22" s="292" t="s">
        <v>327</v>
      </c>
      <c r="J22" s="292"/>
    </row>
    <row r="23" spans="2:13" x14ac:dyDescent="0.3">
      <c r="B23" s="22">
        <v>5</v>
      </c>
      <c r="C23" s="291" t="s">
        <v>166</v>
      </c>
      <c r="D23" s="291"/>
      <c r="E23" s="291"/>
      <c r="F23" s="291"/>
      <c r="G23" s="291"/>
      <c r="H23" s="291"/>
      <c r="I23" s="321"/>
      <c r="J23" s="322"/>
    </row>
    <row r="24" spans="2:13" x14ac:dyDescent="0.3">
      <c r="B24" s="22">
        <v>6</v>
      </c>
      <c r="C24" s="291" t="s">
        <v>1063</v>
      </c>
      <c r="D24" s="291"/>
      <c r="E24" s="291"/>
      <c r="F24" s="291"/>
      <c r="G24" s="291"/>
      <c r="H24" s="291"/>
      <c r="I24" s="331">
        <f>TRUNC(8*I21,2)</f>
        <v>758.4</v>
      </c>
      <c r="J24" s="331"/>
    </row>
    <row r="25" spans="2:13" x14ac:dyDescent="0.3">
      <c r="B25" s="102"/>
      <c r="C25" s="97"/>
      <c r="D25" s="97"/>
      <c r="E25" s="97"/>
      <c r="F25" s="97"/>
      <c r="G25" s="97"/>
      <c r="H25" s="97"/>
      <c r="I25" s="105"/>
      <c r="J25" s="102"/>
    </row>
    <row r="26" spans="2:13" x14ac:dyDescent="0.3">
      <c r="B26" s="332" t="s">
        <v>328</v>
      </c>
      <c r="C26" s="333"/>
      <c r="D26" s="333"/>
      <c r="E26" s="333"/>
      <c r="F26" s="333"/>
      <c r="G26" s="333"/>
      <c r="H26" s="333"/>
      <c r="I26" s="333"/>
      <c r="J26" s="334"/>
    </row>
    <row r="27" spans="2:13" x14ac:dyDescent="0.3">
      <c r="B27" s="335"/>
      <c r="C27" s="325"/>
      <c r="D27" s="325"/>
      <c r="E27" s="325"/>
      <c r="F27" s="325"/>
      <c r="G27" s="325"/>
      <c r="H27" s="325"/>
      <c r="I27" s="325"/>
      <c r="J27" s="336"/>
    </row>
    <row r="28" spans="2:13" x14ac:dyDescent="0.3">
      <c r="B28" s="319"/>
      <c r="C28" s="320"/>
      <c r="D28" s="320"/>
      <c r="E28" s="320"/>
      <c r="F28" s="320"/>
      <c r="G28" s="320"/>
      <c r="H28" s="320"/>
      <c r="I28" s="320"/>
      <c r="J28" s="320"/>
    </row>
    <row r="29" spans="2:13" x14ac:dyDescent="0.3">
      <c r="B29" s="303" t="s">
        <v>289</v>
      </c>
      <c r="C29" s="303"/>
      <c r="D29" s="303"/>
      <c r="E29" s="303"/>
      <c r="F29" s="303"/>
      <c r="G29" s="303"/>
      <c r="H29" s="303"/>
      <c r="I29" s="303"/>
      <c r="J29" s="303"/>
    </row>
    <row r="30" spans="2:13" x14ac:dyDescent="0.3">
      <c r="B30" s="3">
        <v>6</v>
      </c>
      <c r="C30" s="292" t="s">
        <v>290</v>
      </c>
      <c r="D30" s="292"/>
      <c r="E30" s="292"/>
      <c r="F30" s="292"/>
      <c r="G30" s="292"/>
      <c r="H30" s="292"/>
      <c r="I30" s="3" t="s">
        <v>170</v>
      </c>
      <c r="J30" s="3" t="s">
        <v>171</v>
      </c>
      <c r="L30" s="237" t="s">
        <v>172</v>
      </c>
      <c r="M30" s="237" t="s">
        <v>173</v>
      </c>
    </row>
    <row r="31" spans="2:13" x14ac:dyDescent="0.3">
      <c r="B31" s="3" t="s">
        <v>134</v>
      </c>
      <c r="C31" s="291" t="s">
        <v>291</v>
      </c>
      <c r="D31" s="291"/>
      <c r="E31" s="291"/>
      <c r="F31" s="291"/>
      <c r="G31" s="291"/>
      <c r="H31" s="291"/>
      <c r="I31" s="12">
        <v>5.2699999999999997E-2</v>
      </c>
      <c r="J31" s="1">
        <f>TRUNC((I24*I31),2)</f>
        <v>39.96</v>
      </c>
      <c r="L31" s="41"/>
      <c r="M31" s="41" t="s">
        <v>292</v>
      </c>
    </row>
    <row r="32" spans="2:13" x14ac:dyDescent="0.3">
      <c r="B32" s="3" t="s">
        <v>137</v>
      </c>
      <c r="C32" s="291" t="s">
        <v>293</v>
      </c>
      <c r="D32" s="291"/>
      <c r="E32" s="291"/>
      <c r="F32" s="291"/>
      <c r="G32" s="291"/>
      <c r="H32" s="291"/>
      <c r="I32" s="12">
        <v>6.0699999999999997E-2</v>
      </c>
      <c r="J32" s="1">
        <f>TRUNC(((I24+J31)*I32),2)</f>
        <v>48.46</v>
      </c>
      <c r="L32" s="41"/>
      <c r="M32" s="41" t="s">
        <v>294</v>
      </c>
    </row>
    <row r="33" spans="2:13" x14ac:dyDescent="0.3">
      <c r="B33" s="3" t="s">
        <v>148</v>
      </c>
      <c r="C33" s="299" t="s">
        <v>295</v>
      </c>
      <c r="D33" s="299"/>
      <c r="E33" s="299"/>
      <c r="F33" s="299"/>
      <c r="G33" s="299"/>
      <c r="H33" s="299"/>
      <c r="I33" s="2"/>
      <c r="J33" s="13"/>
      <c r="L33" s="43"/>
      <c r="M33" s="43"/>
    </row>
    <row r="34" spans="2:13" x14ac:dyDescent="0.3">
      <c r="B34" s="3" t="s">
        <v>296</v>
      </c>
      <c r="C34" s="291" t="s">
        <v>297</v>
      </c>
      <c r="D34" s="291"/>
      <c r="E34" s="291"/>
      <c r="F34" s="291"/>
      <c r="G34" s="291"/>
      <c r="H34" s="291"/>
      <c r="I34" s="14">
        <v>6.4999999999999997E-3</v>
      </c>
      <c r="J34" s="1">
        <f>TRUNC(I34*((I24+J31+J32)/(1-I39)),2)</f>
        <v>5.89</v>
      </c>
      <c r="L34" s="41"/>
      <c r="M34" s="41" t="s">
        <v>298</v>
      </c>
    </row>
    <row r="35" spans="2:13" x14ac:dyDescent="0.3">
      <c r="B35" s="3" t="s">
        <v>299</v>
      </c>
      <c r="C35" s="291" t="s">
        <v>300</v>
      </c>
      <c r="D35" s="291"/>
      <c r="E35" s="291"/>
      <c r="F35" s="291"/>
      <c r="G35" s="291"/>
      <c r="H35" s="291"/>
      <c r="I35" s="14">
        <v>0.03</v>
      </c>
      <c r="J35" s="1">
        <f>TRUNC(I35*(I24+J31+J32)/(1-I39),2)</f>
        <v>27.21</v>
      </c>
      <c r="L35" s="41"/>
      <c r="M35" s="41" t="s">
        <v>301</v>
      </c>
    </row>
    <row r="36" spans="2:13" x14ac:dyDescent="0.3">
      <c r="B36" s="3" t="s">
        <v>302</v>
      </c>
      <c r="C36" s="291" t="s">
        <v>303</v>
      </c>
      <c r="D36" s="291"/>
      <c r="E36" s="291"/>
      <c r="F36" s="291"/>
      <c r="G36" s="291"/>
      <c r="H36" s="291"/>
      <c r="I36" s="14">
        <v>0.03</v>
      </c>
      <c r="J36" s="1">
        <f>TRUNC(I36*(I24+J31+J32)/(1-I39),2)</f>
        <v>27.21</v>
      </c>
      <c r="L36" s="44"/>
      <c r="M36" s="44" t="s">
        <v>304</v>
      </c>
    </row>
    <row r="37" spans="2:13" x14ac:dyDescent="0.3">
      <c r="B37" s="292" t="s">
        <v>305</v>
      </c>
      <c r="C37" s="292"/>
      <c r="D37" s="292"/>
      <c r="E37" s="292"/>
      <c r="F37" s="292"/>
      <c r="G37" s="292"/>
      <c r="H37" s="292"/>
      <c r="I37" s="14">
        <f>SUM(I31:I36)</f>
        <v>0.1799</v>
      </c>
      <c r="J37" s="5">
        <f>SUM(J31:J36)</f>
        <v>148.73000000000002</v>
      </c>
    </row>
    <row r="38" spans="2:13" x14ac:dyDescent="0.3">
      <c r="B38" s="102"/>
      <c r="C38" s="295"/>
      <c r="D38" s="295"/>
      <c r="E38" s="295"/>
      <c r="F38" s="295"/>
      <c r="G38" s="295"/>
      <c r="H38" s="295"/>
      <c r="I38" s="295"/>
      <c r="J38" s="295"/>
      <c r="L38" s="43"/>
      <c r="M38" s="43"/>
    </row>
    <row r="39" spans="2:13" x14ac:dyDescent="0.3">
      <c r="B39" s="239" t="s">
        <v>306</v>
      </c>
      <c r="C39" s="296" t="s">
        <v>307</v>
      </c>
      <c r="D39" s="296"/>
      <c r="E39" s="296"/>
      <c r="F39" s="296"/>
      <c r="G39" s="296"/>
      <c r="H39" s="296"/>
      <c r="I39" s="240">
        <f>I34+I35+I36</f>
        <v>6.6500000000000004E-2</v>
      </c>
      <c r="J39" s="241"/>
    </row>
    <row r="40" spans="2:13" x14ac:dyDescent="0.3">
      <c r="B40" s="15"/>
      <c r="C40" s="297">
        <v>100</v>
      </c>
      <c r="D40" s="297"/>
      <c r="E40" s="297"/>
      <c r="F40" s="297"/>
      <c r="G40" s="297"/>
      <c r="H40" s="297"/>
      <c r="I40" s="16"/>
      <c r="J40" s="17"/>
    </row>
    <row r="41" spans="2:13" x14ac:dyDescent="0.3">
      <c r="B41" s="18"/>
      <c r="C41" s="98"/>
      <c r="D41" s="98"/>
      <c r="E41" s="98"/>
      <c r="F41" s="98"/>
      <c r="G41" s="98"/>
      <c r="H41" s="98"/>
      <c r="I41" s="16"/>
      <c r="J41" s="17"/>
    </row>
    <row r="42" spans="2:13" x14ac:dyDescent="0.3">
      <c r="B42" s="15" t="s">
        <v>308</v>
      </c>
      <c r="C42" s="297" t="s">
        <v>309</v>
      </c>
      <c r="D42" s="297"/>
      <c r="E42" s="297"/>
      <c r="F42" s="297"/>
      <c r="G42" s="297"/>
      <c r="H42" s="297"/>
      <c r="I42" s="16"/>
      <c r="J42" s="17">
        <f>I24+J31+J32</f>
        <v>846.82</v>
      </c>
    </row>
    <row r="43" spans="2:13" x14ac:dyDescent="0.3">
      <c r="B43" s="15"/>
      <c r="C43" s="98"/>
      <c r="D43" s="98"/>
      <c r="E43" s="98"/>
      <c r="F43" s="98"/>
      <c r="G43" s="98"/>
      <c r="H43" s="98"/>
      <c r="I43" s="16"/>
      <c r="J43" s="17"/>
    </row>
    <row r="44" spans="2:13" x14ac:dyDescent="0.3">
      <c r="B44" s="15" t="s">
        <v>310</v>
      </c>
      <c r="C44" s="297" t="s">
        <v>311</v>
      </c>
      <c r="D44" s="297"/>
      <c r="E44" s="297"/>
      <c r="F44" s="297"/>
      <c r="G44" s="297"/>
      <c r="H44" s="297"/>
      <c r="I44" s="16"/>
      <c r="J44" s="17">
        <f>TRUNC(J42/(1-I39),2)</f>
        <v>907.14</v>
      </c>
    </row>
    <row r="45" spans="2:13" x14ac:dyDescent="0.3">
      <c r="B45" s="15"/>
      <c r="C45" s="98"/>
      <c r="D45" s="98"/>
      <c r="E45" s="98"/>
      <c r="F45" s="98"/>
      <c r="G45" s="98"/>
      <c r="H45" s="98"/>
      <c r="I45" s="16"/>
      <c r="J45" s="17"/>
    </row>
    <row r="46" spans="2:13" x14ac:dyDescent="0.3">
      <c r="B46" s="19"/>
      <c r="C46" s="298" t="s">
        <v>312</v>
      </c>
      <c r="D46" s="298"/>
      <c r="E46" s="298"/>
      <c r="F46" s="298"/>
      <c r="G46" s="298"/>
      <c r="H46" s="298"/>
      <c r="I46" s="20"/>
      <c r="J46" s="21">
        <f>J44-J42</f>
        <v>60.319999999999936</v>
      </c>
    </row>
    <row r="47" spans="2:13" x14ac:dyDescent="0.3">
      <c r="B47" s="102"/>
      <c r="C47" s="102"/>
      <c r="D47" s="102"/>
      <c r="E47" s="102"/>
      <c r="F47" s="102"/>
      <c r="G47" s="102"/>
      <c r="H47" s="102"/>
      <c r="I47" s="102"/>
      <c r="J47" s="7"/>
    </row>
    <row r="48" spans="2:13" x14ac:dyDescent="0.3">
      <c r="B48" s="294" t="s">
        <v>313</v>
      </c>
      <c r="C48" s="294"/>
      <c r="D48" s="294"/>
      <c r="E48" s="294"/>
      <c r="F48" s="294"/>
      <c r="G48" s="294"/>
      <c r="H48" s="294"/>
      <c r="I48" s="294"/>
      <c r="J48" s="294"/>
    </row>
    <row r="49" spans="2:10" x14ac:dyDescent="0.3">
      <c r="B49" s="292" t="s">
        <v>314</v>
      </c>
      <c r="C49" s="292"/>
      <c r="D49" s="292"/>
      <c r="E49" s="292"/>
      <c r="F49" s="292"/>
      <c r="G49" s="292"/>
      <c r="H49" s="292"/>
      <c r="I49" s="292"/>
      <c r="J49" s="3" t="s">
        <v>171</v>
      </c>
    </row>
    <row r="50" spans="2:10" x14ac:dyDescent="0.3">
      <c r="B50" s="22" t="s">
        <v>134</v>
      </c>
      <c r="C50" s="291" t="s">
        <v>168</v>
      </c>
      <c r="D50" s="291"/>
      <c r="E50" s="291"/>
      <c r="F50" s="291"/>
      <c r="G50" s="291"/>
      <c r="H50" s="291"/>
      <c r="I50" s="291"/>
      <c r="J50" s="1">
        <f>I24</f>
        <v>758.4</v>
      </c>
    </row>
    <row r="51" spans="2:10" x14ac:dyDescent="0.3">
      <c r="B51" s="22" t="s">
        <v>182</v>
      </c>
      <c r="C51" s="291" t="s">
        <v>289</v>
      </c>
      <c r="D51" s="291"/>
      <c r="E51" s="291"/>
      <c r="F51" s="291"/>
      <c r="G51" s="291"/>
      <c r="H51" s="291"/>
      <c r="I51" s="291"/>
      <c r="J51" s="1">
        <f>J37</f>
        <v>148.73000000000002</v>
      </c>
    </row>
    <row r="52" spans="2:10" ht="17.399999999999999" x14ac:dyDescent="0.3">
      <c r="B52" s="293" t="s">
        <v>316</v>
      </c>
      <c r="C52" s="293"/>
      <c r="D52" s="293"/>
      <c r="E52" s="293"/>
      <c r="F52" s="293"/>
      <c r="G52" s="293"/>
      <c r="H52" s="293"/>
      <c r="I52" s="293"/>
      <c r="J52" s="23">
        <f>TRUNC(J50+J51,2)</f>
        <v>907.13</v>
      </c>
    </row>
    <row r="53" spans="2:10" x14ac:dyDescent="0.3">
      <c r="B53" s="24"/>
      <c r="C53" s="24"/>
      <c r="D53" s="24"/>
      <c r="E53" s="24"/>
      <c r="F53" s="24"/>
      <c r="G53" s="24"/>
      <c r="H53" s="24"/>
      <c r="I53" s="24"/>
      <c r="J53" s="25"/>
    </row>
    <row r="54" spans="2:10" x14ac:dyDescent="0.3">
      <c r="B54" s="24"/>
      <c r="C54" s="24"/>
      <c r="D54" s="24"/>
      <c r="E54" s="24"/>
      <c r="F54" s="24"/>
      <c r="G54" s="24"/>
      <c r="H54" s="24"/>
      <c r="I54" s="24"/>
      <c r="J54" s="24"/>
    </row>
    <row r="55" spans="2:10" x14ac:dyDescent="0.3">
      <c r="B55" s="30"/>
      <c r="C55" s="31"/>
      <c r="D55" s="24"/>
      <c r="E55" s="24"/>
      <c r="F55" s="24"/>
      <c r="G55" s="24"/>
      <c r="H55" s="24"/>
      <c r="I55" s="24"/>
      <c r="J55" s="24"/>
    </row>
    <row r="56" spans="2:10" x14ac:dyDescent="0.3">
      <c r="B56" s="26"/>
      <c r="C56" s="26"/>
      <c r="D56" s="27"/>
    </row>
    <row r="57" spans="2:10" x14ac:dyDescent="0.3">
      <c r="B57" s="28"/>
      <c r="C57" s="24"/>
      <c r="D57" s="24"/>
    </row>
    <row r="58" spans="2:10" x14ac:dyDescent="0.3">
      <c r="B58" s="28"/>
      <c r="C58" s="24"/>
      <c r="D58" s="24"/>
    </row>
  </sheetData>
  <mergeCells count="58">
    <mergeCell ref="C23:H23"/>
    <mergeCell ref="I23:J23"/>
    <mergeCell ref="C51:I51"/>
    <mergeCell ref="B52:I52"/>
    <mergeCell ref="B26:J27"/>
    <mergeCell ref="C46:H46"/>
    <mergeCell ref="B48:J48"/>
    <mergeCell ref="B49:I49"/>
    <mergeCell ref="C50:I50"/>
    <mergeCell ref="B37:H37"/>
    <mergeCell ref="C38:J38"/>
    <mergeCell ref="C39:H39"/>
    <mergeCell ref="C40:H40"/>
    <mergeCell ref="C42:H42"/>
    <mergeCell ref="C44:H44"/>
    <mergeCell ref="C31:H31"/>
    <mergeCell ref="C32:H32"/>
    <mergeCell ref="C33:H33"/>
    <mergeCell ref="C34:H34"/>
    <mergeCell ref="C35:H35"/>
    <mergeCell ref="C36:H36"/>
    <mergeCell ref="B28:J28"/>
    <mergeCell ref="B29:J29"/>
    <mergeCell ref="C30:H30"/>
    <mergeCell ref="C24:H24"/>
    <mergeCell ref="I24:J24"/>
    <mergeCell ref="C20:H20"/>
    <mergeCell ref="I20:J20"/>
    <mergeCell ref="C21:H21"/>
    <mergeCell ref="I21:J21"/>
    <mergeCell ref="C22:H22"/>
    <mergeCell ref="I22:J22"/>
    <mergeCell ref="B16:C16"/>
    <mergeCell ref="D16:E16"/>
    <mergeCell ref="F16:J16"/>
    <mergeCell ref="B18:J18"/>
    <mergeCell ref="C19:H19"/>
    <mergeCell ref="I19:J19"/>
    <mergeCell ref="B15:C15"/>
    <mergeCell ref="D15:E15"/>
    <mergeCell ref="F15:J15"/>
    <mergeCell ref="B7:J7"/>
    <mergeCell ref="B8:J8"/>
    <mergeCell ref="C9:H9"/>
    <mergeCell ref="I9:J9"/>
    <mergeCell ref="C10:H10"/>
    <mergeCell ref="I10:J10"/>
    <mergeCell ref="C11:H11"/>
    <mergeCell ref="I11:J11"/>
    <mergeCell ref="C12:H12"/>
    <mergeCell ref="I12:J12"/>
    <mergeCell ref="B14:J14"/>
    <mergeCell ref="B6:J6"/>
    <mergeCell ref="B1:J1"/>
    <mergeCell ref="B2:J2"/>
    <mergeCell ref="B3:J3"/>
    <mergeCell ref="B4:J4"/>
    <mergeCell ref="B5:J5"/>
  </mergeCells>
  <pageMargins left="0.51181102362204722" right="0.51181102362204722" top="0.78740157480314965" bottom="0.78740157480314965" header="0.31496062992125984" footer="0.31496062992125984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B3079-035D-4692-B519-DD5B0AAE912C}">
  <sheetPr>
    <pageSetUpPr fitToPage="1"/>
  </sheetPr>
  <dimension ref="B1:M58"/>
  <sheetViews>
    <sheetView showGridLines="0" zoomScale="80" zoomScaleNormal="80" workbookViewId="0">
      <selection activeCell="L20" sqref="L20"/>
    </sheetView>
  </sheetViews>
  <sheetFormatPr defaultColWidth="8.88671875" defaultRowHeight="14.4" x14ac:dyDescent="0.3"/>
  <cols>
    <col min="1" max="1" width="3.44140625" customWidth="1"/>
    <col min="2" max="2" width="10.44140625" customWidth="1"/>
    <col min="3" max="3" width="49.5546875" bestFit="1" customWidth="1"/>
    <col min="8" max="8" width="9" bestFit="1" customWidth="1"/>
    <col min="9" max="9" width="9.44140625" bestFit="1" customWidth="1"/>
    <col min="10" max="10" width="23.5546875" customWidth="1"/>
    <col min="11" max="11" width="11.88671875" bestFit="1" customWidth="1"/>
    <col min="12" max="12" width="25.88671875" style="34" customWidth="1"/>
    <col min="13" max="13" width="63.44140625" style="34" customWidth="1"/>
  </cols>
  <sheetData>
    <row r="1" spans="2:10" x14ac:dyDescent="0.3">
      <c r="B1" s="326" t="s">
        <v>1058</v>
      </c>
      <c r="C1" s="326"/>
      <c r="D1" s="326"/>
      <c r="E1" s="326"/>
      <c r="F1" s="326"/>
      <c r="G1" s="326"/>
      <c r="H1" s="326"/>
      <c r="I1" s="326"/>
      <c r="J1" s="326"/>
    </row>
    <row r="2" spans="2:10" x14ac:dyDescent="0.3">
      <c r="B2" s="327" t="s">
        <v>140</v>
      </c>
      <c r="C2" s="327"/>
      <c r="D2" s="327"/>
      <c r="E2" s="327"/>
      <c r="F2" s="327"/>
      <c r="G2" s="327"/>
      <c r="H2" s="327"/>
      <c r="I2" s="327"/>
      <c r="J2" s="327"/>
    </row>
    <row r="3" spans="2:10" x14ac:dyDescent="0.3">
      <c r="B3" s="327" t="s">
        <v>141</v>
      </c>
      <c r="C3" s="327"/>
      <c r="D3" s="327"/>
      <c r="E3" s="327"/>
      <c r="F3" s="327"/>
      <c r="G3" s="327"/>
      <c r="H3" s="327"/>
      <c r="I3" s="327"/>
      <c r="J3" s="327"/>
    </row>
    <row r="4" spans="2:10" x14ac:dyDescent="0.3">
      <c r="B4" s="328" t="s">
        <v>142</v>
      </c>
      <c r="C4" s="328"/>
      <c r="D4" s="328"/>
      <c r="E4" s="328"/>
      <c r="F4" s="328"/>
      <c r="G4" s="328"/>
      <c r="H4" s="328"/>
      <c r="I4" s="328"/>
      <c r="J4" s="328"/>
    </row>
    <row r="5" spans="2:10" x14ac:dyDescent="0.3">
      <c r="B5" s="323"/>
      <c r="C5" s="323"/>
      <c r="D5" s="323"/>
      <c r="E5" s="323"/>
      <c r="F5" s="323"/>
      <c r="G5" s="323"/>
      <c r="H5" s="323"/>
      <c r="I5" s="323"/>
      <c r="J5" s="323"/>
    </row>
    <row r="6" spans="2:10" x14ac:dyDescent="0.3">
      <c r="B6" s="329" t="s">
        <v>1065</v>
      </c>
      <c r="C6" s="329"/>
      <c r="D6" s="329"/>
      <c r="E6" s="329"/>
      <c r="F6" s="329"/>
      <c r="G6" s="329"/>
      <c r="H6" s="329"/>
      <c r="I6" s="329"/>
      <c r="J6" s="329"/>
    </row>
    <row r="7" spans="2:10" x14ac:dyDescent="0.3">
      <c r="B7" s="325"/>
      <c r="C7" s="325"/>
      <c r="D7" s="325"/>
      <c r="E7" s="325"/>
      <c r="F7" s="325"/>
      <c r="G7" s="325"/>
      <c r="H7" s="325"/>
      <c r="I7" s="325"/>
      <c r="J7" s="325"/>
    </row>
    <row r="8" spans="2:10" x14ac:dyDescent="0.3">
      <c r="B8" s="294" t="s">
        <v>144</v>
      </c>
      <c r="C8" s="294"/>
      <c r="D8" s="294"/>
      <c r="E8" s="294"/>
      <c r="F8" s="294"/>
      <c r="G8" s="294"/>
      <c r="H8" s="294"/>
      <c r="I8" s="294"/>
      <c r="J8" s="294"/>
    </row>
    <row r="9" spans="2:10" x14ac:dyDescent="0.3">
      <c r="B9" s="22" t="s">
        <v>134</v>
      </c>
      <c r="C9" s="291" t="s">
        <v>145</v>
      </c>
      <c r="D9" s="291"/>
      <c r="E9" s="291"/>
      <c r="F9" s="291"/>
      <c r="G9" s="291"/>
      <c r="H9" s="291"/>
      <c r="I9" s="321"/>
      <c r="J9" s="322"/>
    </row>
    <row r="10" spans="2:10" x14ac:dyDescent="0.3">
      <c r="B10" s="22" t="s">
        <v>137</v>
      </c>
      <c r="C10" s="291" t="s">
        <v>146</v>
      </c>
      <c r="D10" s="291"/>
      <c r="E10" s="291"/>
      <c r="F10" s="291"/>
      <c r="G10" s="291"/>
      <c r="H10" s="291"/>
      <c r="I10" s="322" t="s">
        <v>147</v>
      </c>
      <c r="J10" s="322"/>
    </row>
    <row r="11" spans="2:10" ht="44.4" customHeight="1" x14ac:dyDescent="0.3">
      <c r="B11" s="22" t="s">
        <v>148</v>
      </c>
      <c r="C11" s="291" t="s">
        <v>149</v>
      </c>
      <c r="D11" s="291"/>
      <c r="E11" s="291"/>
      <c r="F11" s="291"/>
      <c r="G11" s="291"/>
      <c r="H11" s="291"/>
      <c r="I11" s="330" t="s">
        <v>323</v>
      </c>
      <c r="J11" s="322"/>
    </row>
    <row r="12" spans="2:10" x14ac:dyDescent="0.3">
      <c r="B12" s="22" t="s">
        <v>151</v>
      </c>
      <c r="C12" s="291" t="s">
        <v>152</v>
      </c>
      <c r="D12" s="291"/>
      <c r="E12" s="291"/>
      <c r="F12" s="291"/>
      <c r="G12" s="291"/>
      <c r="H12" s="291"/>
      <c r="I12" s="322">
        <v>20</v>
      </c>
      <c r="J12" s="322"/>
    </row>
    <row r="13" spans="2:10" x14ac:dyDescent="0.3">
      <c r="B13" s="102"/>
      <c r="C13" s="97"/>
      <c r="D13" s="97"/>
      <c r="E13" s="97"/>
      <c r="F13" s="97"/>
      <c r="G13" s="97"/>
      <c r="H13" s="97"/>
      <c r="I13" s="102"/>
      <c r="J13" s="102"/>
    </row>
    <row r="14" spans="2:10" x14ac:dyDescent="0.3">
      <c r="B14" s="294" t="s">
        <v>153</v>
      </c>
      <c r="C14" s="294"/>
      <c r="D14" s="294"/>
      <c r="E14" s="294"/>
      <c r="F14" s="294"/>
      <c r="G14" s="294"/>
      <c r="H14" s="294"/>
      <c r="I14" s="294"/>
      <c r="J14" s="294"/>
    </row>
    <row r="15" spans="2:10" x14ac:dyDescent="0.3">
      <c r="B15" s="322" t="s">
        <v>154</v>
      </c>
      <c r="C15" s="322"/>
      <c r="D15" s="322" t="s">
        <v>155</v>
      </c>
      <c r="E15" s="322"/>
      <c r="F15" s="322" t="s">
        <v>156</v>
      </c>
      <c r="G15" s="322"/>
      <c r="H15" s="322"/>
      <c r="I15" s="322"/>
      <c r="J15" s="322"/>
    </row>
    <row r="16" spans="2:10" x14ac:dyDescent="0.3">
      <c r="B16" s="322" t="s">
        <v>330</v>
      </c>
      <c r="C16" s="322"/>
      <c r="D16" s="322" t="s">
        <v>325</v>
      </c>
      <c r="E16" s="322"/>
      <c r="F16" s="322">
        <v>1</v>
      </c>
      <c r="G16" s="322"/>
      <c r="H16" s="322"/>
      <c r="I16" s="322"/>
      <c r="J16" s="322"/>
    </row>
    <row r="17" spans="2:13" x14ac:dyDescent="0.3">
      <c r="B17" s="102"/>
      <c r="C17" s="97"/>
      <c r="D17" s="97"/>
      <c r="E17" s="97"/>
      <c r="F17" s="97"/>
      <c r="G17" s="97"/>
      <c r="H17" s="97"/>
      <c r="I17" s="102"/>
      <c r="J17" s="102"/>
    </row>
    <row r="18" spans="2:13" x14ac:dyDescent="0.3">
      <c r="B18" s="294" t="s">
        <v>159</v>
      </c>
      <c r="C18" s="294"/>
      <c r="D18" s="294"/>
      <c r="E18" s="294"/>
      <c r="F18" s="294"/>
      <c r="G18" s="294"/>
      <c r="H18" s="294"/>
      <c r="I18" s="294"/>
      <c r="J18" s="294"/>
    </row>
    <row r="19" spans="2:13" x14ac:dyDescent="0.3">
      <c r="B19" s="22">
        <v>1</v>
      </c>
      <c r="C19" s="291" t="s">
        <v>160</v>
      </c>
      <c r="D19" s="291"/>
      <c r="E19" s="291"/>
      <c r="F19" s="291"/>
      <c r="G19" s="291"/>
      <c r="H19" s="291"/>
      <c r="I19" s="322" t="s">
        <v>161</v>
      </c>
      <c r="J19" s="322"/>
    </row>
    <row r="20" spans="2:13" x14ac:dyDescent="0.3">
      <c r="B20" s="22">
        <v>2</v>
      </c>
      <c r="C20" s="291" t="s">
        <v>162</v>
      </c>
      <c r="D20" s="291"/>
      <c r="E20" s="291"/>
      <c r="F20" s="291"/>
      <c r="G20" s="291"/>
      <c r="H20" s="291"/>
      <c r="I20" s="322" t="s">
        <v>329</v>
      </c>
      <c r="J20" s="322"/>
    </row>
    <row r="21" spans="2:13" x14ac:dyDescent="0.3">
      <c r="B21" s="22">
        <v>3</v>
      </c>
      <c r="C21" s="291" t="s">
        <v>164</v>
      </c>
      <c r="D21" s="291"/>
      <c r="E21" s="291"/>
      <c r="F21" s="291"/>
      <c r="G21" s="291"/>
      <c r="H21" s="291"/>
      <c r="I21" s="324">
        <v>94.8</v>
      </c>
      <c r="J21" s="322"/>
    </row>
    <row r="22" spans="2:13" x14ac:dyDescent="0.3">
      <c r="B22" s="22">
        <v>4</v>
      </c>
      <c r="C22" s="291" t="s">
        <v>165</v>
      </c>
      <c r="D22" s="291"/>
      <c r="E22" s="291"/>
      <c r="F22" s="291"/>
      <c r="G22" s="291"/>
      <c r="H22" s="291"/>
      <c r="I22" s="292" t="s">
        <v>330</v>
      </c>
      <c r="J22" s="292"/>
    </row>
    <row r="23" spans="2:13" x14ac:dyDescent="0.3">
      <c r="B23" s="22">
        <v>5</v>
      </c>
      <c r="C23" s="291" t="s">
        <v>166</v>
      </c>
      <c r="D23" s="291"/>
      <c r="E23" s="291"/>
      <c r="F23" s="291"/>
      <c r="G23" s="291"/>
      <c r="H23" s="291"/>
      <c r="I23" s="321"/>
      <c r="J23" s="322"/>
    </row>
    <row r="24" spans="2:13" x14ac:dyDescent="0.3">
      <c r="B24" s="22">
        <v>6</v>
      </c>
      <c r="C24" s="291" t="s">
        <v>331</v>
      </c>
      <c r="D24" s="291"/>
      <c r="E24" s="291"/>
      <c r="F24" s="291"/>
      <c r="G24" s="291"/>
      <c r="H24" s="291"/>
      <c r="I24" s="331">
        <f>TRUNC(4*I21,2)</f>
        <v>379.2</v>
      </c>
      <c r="J24" s="331"/>
    </row>
    <row r="25" spans="2:13" x14ac:dyDescent="0.3">
      <c r="B25" s="102"/>
      <c r="C25" s="97"/>
      <c r="D25" s="97"/>
      <c r="E25" s="97"/>
      <c r="F25" s="97"/>
      <c r="G25" s="97"/>
      <c r="H25" s="97"/>
      <c r="I25" s="105"/>
      <c r="J25" s="102"/>
    </row>
    <row r="26" spans="2:13" x14ac:dyDescent="0.3">
      <c r="B26" s="332" t="s">
        <v>328</v>
      </c>
      <c r="C26" s="333"/>
      <c r="D26" s="333"/>
      <c r="E26" s="333"/>
      <c r="F26" s="333"/>
      <c r="G26" s="333"/>
      <c r="H26" s="333"/>
      <c r="I26" s="333"/>
      <c r="J26" s="334"/>
    </row>
    <row r="27" spans="2:13" x14ac:dyDescent="0.3">
      <c r="B27" s="335"/>
      <c r="C27" s="325"/>
      <c r="D27" s="325"/>
      <c r="E27" s="325"/>
      <c r="F27" s="325"/>
      <c r="G27" s="325"/>
      <c r="H27" s="325"/>
      <c r="I27" s="325"/>
      <c r="J27" s="336"/>
    </row>
    <row r="28" spans="2:13" x14ac:dyDescent="0.3">
      <c r="B28" s="319"/>
      <c r="C28" s="320"/>
      <c r="D28" s="320"/>
      <c r="E28" s="320"/>
      <c r="F28" s="320"/>
      <c r="G28" s="320"/>
      <c r="H28" s="320"/>
      <c r="I28" s="320"/>
      <c r="J28" s="320"/>
    </row>
    <row r="29" spans="2:13" x14ac:dyDescent="0.3">
      <c r="B29" s="303" t="s">
        <v>289</v>
      </c>
      <c r="C29" s="303"/>
      <c r="D29" s="303"/>
      <c r="E29" s="303"/>
      <c r="F29" s="303"/>
      <c r="G29" s="303"/>
      <c r="H29" s="303"/>
      <c r="I29" s="303"/>
      <c r="J29" s="303"/>
    </row>
    <row r="30" spans="2:13" x14ac:dyDescent="0.3">
      <c r="B30" s="3">
        <v>6</v>
      </c>
      <c r="C30" s="292" t="s">
        <v>290</v>
      </c>
      <c r="D30" s="292"/>
      <c r="E30" s="292"/>
      <c r="F30" s="292"/>
      <c r="G30" s="292"/>
      <c r="H30" s="292"/>
      <c r="I30" s="3" t="s">
        <v>170</v>
      </c>
      <c r="J30" s="3" t="s">
        <v>171</v>
      </c>
      <c r="L30" s="237" t="s">
        <v>172</v>
      </c>
      <c r="M30" s="237" t="s">
        <v>173</v>
      </c>
    </row>
    <row r="31" spans="2:13" x14ac:dyDescent="0.3">
      <c r="B31" s="3" t="s">
        <v>134</v>
      </c>
      <c r="C31" s="291" t="s">
        <v>291</v>
      </c>
      <c r="D31" s="291"/>
      <c r="E31" s="291"/>
      <c r="F31" s="291"/>
      <c r="G31" s="291"/>
      <c r="H31" s="291"/>
      <c r="I31" s="12">
        <v>5.2699999999999997E-2</v>
      </c>
      <c r="J31" s="1">
        <f>TRUNC((I24*I31),2)</f>
        <v>19.98</v>
      </c>
      <c r="L31" s="41"/>
      <c r="M31" s="41" t="s">
        <v>292</v>
      </c>
    </row>
    <row r="32" spans="2:13" x14ac:dyDescent="0.3">
      <c r="B32" s="3" t="s">
        <v>137</v>
      </c>
      <c r="C32" s="291" t="s">
        <v>293</v>
      </c>
      <c r="D32" s="291"/>
      <c r="E32" s="291"/>
      <c r="F32" s="291"/>
      <c r="G32" s="291"/>
      <c r="H32" s="291"/>
      <c r="I32" s="12">
        <v>6.0699999999999997E-2</v>
      </c>
      <c r="J32" s="1">
        <f>TRUNC(((I24+J31)*I32),2)</f>
        <v>24.23</v>
      </c>
      <c r="L32" s="41"/>
      <c r="M32" s="41" t="s">
        <v>294</v>
      </c>
    </row>
    <row r="33" spans="2:13" x14ac:dyDescent="0.3">
      <c r="B33" s="3" t="s">
        <v>148</v>
      </c>
      <c r="C33" s="299" t="s">
        <v>295</v>
      </c>
      <c r="D33" s="299"/>
      <c r="E33" s="299"/>
      <c r="F33" s="299"/>
      <c r="G33" s="299"/>
      <c r="H33" s="299"/>
      <c r="I33" s="2"/>
      <c r="J33" s="13"/>
      <c r="L33" s="43"/>
      <c r="M33" s="43"/>
    </row>
    <row r="34" spans="2:13" x14ac:dyDescent="0.3">
      <c r="B34" s="3" t="s">
        <v>296</v>
      </c>
      <c r="C34" s="291" t="s">
        <v>297</v>
      </c>
      <c r="D34" s="291"/>
      <c r="E34" s="291"/>
      <c r="F34" s="291"/>
      <c r="G34" s="291"/>
      <c r="H34" s="291"/>
      <c r="I34" s="14">
        <v>6.4999999999999997E-3</v>
      </c>
      <c r="J34" s="1">
        <f>TRUNC(I34*((I24+J31+J32)/(1-I39)),2)</f>
        <v>2.94</v>
      </c>
      <c r="L34" s="41"/>
      <c r="M34" s="41" t="s">
        <v>298</v>
      </c>
    </row>
    <row r="35" spans="2:13" x14ac:dyDescent="0.3">
      <c r="B35" s="3" t="s">
        <v>299</v>
      </c>
      <c r="C35" s="291" t="s">
        <v>300</v>
      </c>
      <c r="D35" s="291"/>
      <c r="E35" s="291"/>
      <c r="F35" s="291"/>
      <c r="G35" s="291"/>
      <c r="H35" s="291"/>
      <c r="I35" s="14">
        <v>0.03</v>
      </c>
      <c r="J35" s="1">
        <f>TRUNC(I35*(I24+J31+J32)/(1-I39),2)</f>
        <v>13.6</v>
      </c>
      <c r="L35" s="41"/>
      <c r="M35" s="41" t="s">
        <v>301</v>
      </c>
    </row>
    <row r="36" spans="2:13" x14ac:dyDescent="0.3">
      <c r="B36" s="3" t="s">
        <v>302</v>
      </c>
      <c r="C36" s="291" t="s">
        <v>303</v>
      </c>
      <c r="D36" s="291"/>
      <c r="E36" s="291"/>
      <c r="F36" s="291"/>
      <c r="G36" s="291"/>
      <c r="H36" s="291"/>
      <c r="I36" s="14">
        <v>0.03</v>
      </c>
      <c r="J36" s="1">
        <f>TRUNC(I36*(I24+J31+J32)/(1-I39),2)</f>
        <v>13.6</v>
      </c>
      <c r="L36" s="44"/>
      <c r="M36" s="44" t="s">
        <v>304</v>
      </c>
    </row>
    <row r="37" spans="2:13" x14ac:dyDescent="0.3">
      <c r="B37" s="292" t="s">
        <v>305</v>
      </c>
      <c r="C37" s="292"/>
      <c r="D37" s="292"/>
      <c r="E37" s="292"/>
      <c r="F37" s="292"/>
      <c r="G37" s="292"/>
      <c r="H37" s="292"/>
      <c r="I37" s="14">
        <f>SUM(I31:I36)</f>
        <v>0.1799</v>
      </c>
      <c r="J37" s="5">
        <f>SUM(J31:J36)</f>
        <v>74.349999999999994</v>
      </c>
    </row>
    <row r="38" spans="2:13" x14ac:dyDescent="0.3">
      <c r="B38" s="102"/>
      <c r="C38" s="295"/>
      <c r="D38" s="295"/>
      <c r="E38" s="295"/>
      <c r="F38" s="295"/>
      <c r="G38" s="295"/>
      <c r="H38" s="295"/>
      <c r="I38" s="295"/>
      <c r="J38" s="295"/>
      <c r="L38" s="43"/>
      <c r="M38" s="43"/>
    </row>
    <row r="39" spans="2:13" x14ac:dyDescent="0.3">
      <c r="B39" s="239" t="s">
        <v>306</v>
      </c>
      <c r="C39" s="296" t="s">
        <v>307</v>
      </c>
      <c r="D39" s="296"/>
      <c r="E39" s="296"/>
      <c r="F39" s="296"/>
      <c r="G39" s="296"/>
      <c r="H39" s="296"/>
      <c r="I39" s="240">
        <f>I34+I35+I36</f>
        <v>6.6500000000000004E-2</v>
      </c>
      <c r="J39" s="241"/>
    </row>
    <row r="40" spans="2:13" x14ac:dyDescent="0.3">
      <c r="B40" s="15"/>
      <c r="C40" s="297">
        <v>100</v>
      </c>
      <c r="D40" s="297"/>
      <c r="E40" s="297"/>
      <c r="F40" s="297"/>
      <c r="G40" s="297"/>
      <c r="H40" s="297"/>
      <c r="I40" s="16"/>
      <c r="J40" s="17"/>
    </row>
    <row r="41" spans="2:13" x14ac:dyDescent="0.3">
      <c r="B41" s="18"/>
      <c r="C41" s="98"/>
      <c r="D41" s="98"/>
      <c r="E41" s="98"/>
      <c r="F41" s="98"/>
      <c r="G41" s="98"/>
      <c r="H41" s="98"/>
      <c r="I41" s="16"/>
      <c r="J41" s="17"/>
    </row>
    <row r="42" spans="2:13" x14ac:dyDescent="0.3">
      <c r="B42" s="15" t="s">
        <v>308</v>
      </c>
      <c r="C42" s="297" t="s">
        <v>309</v>
      </c>
      <c r="D42" s="297"/>
      <c r="E42" s="297"/>
      <c r="F42" s="297"/>
      <c r="G42" s="297"/>
      <c r="H42" s="297"/>
      <c r="I42" s="16"/>
      <c r="J42" s="17">
        <f>I24+J31+J32</f>
        <v>423.41</v>
      </c>
    </row>
    <row r="43" spans="2:13" x14ac:dyDescent="0.3">
      <c r="B43" s="15"/>
      <c r="C43" s="98"/>
      <c r="D43" s="98"/>
      <c r="E43" s="98"/>
      <c r="F43" s="98"/>
      <c r="G43" s="98"/>
      <c r="H43" s="98"/>
      <c r="I43" s="16"/>
      <c r="J43" s="17"/>
    </row>
    <row r="44" spans="2:13" x14ac:dyDescent="0.3">
      <c r="B44" s="15" t="s">
        <v>310</v>
      </c>
      <c r="C44" s="297" t="s">
        <v>311</v>
      </c>
      <c r="D44" s="297"/>
      <c r="E44" s="297"/>
      <c r="F44" s="297"/>
      <c r="G44" s="297"/>
      <c r="H44" s="297"/>
      <c r="I44" s="16"/>
      <c r="J44" s="17">
        <f>TRUNC(J42/(1-I39),2)</f>
        <v>453.57</v>
      </c>
    </row>
    <row r="45" spans="2:13" x14ac:dyDescent="0.3">
      <c r="B45" s="15"/>
      <c r="C45" s="98"/>
      <c r="D45" s="98"/>
      <c r="E45" s="98"/>
      <c r="F45" s="98"/>
      <c r="G45" s="98"/>
      <c r="H45" s="98"/>
      <c r="I45" s="16"/>
      <c r="J45" s="17"/>
    </row>
    <row r="46" spans="2:13" x14ac:dyDescent="0.3">
      <c r="B46" s="19"/>
      <c r="C46" s="298" t="s">
        <v>312</v>
      </c>
      <c r="D46" s="298"/>
      <c r="E46" s="298"/>
      <c r="F46" s="298"/>
      <c r="G46" s="298"/>
      <c r="H46" s="298"/>
      <c r="I46" s="20"/>
      <c r="J46" s="21">
        <f>J44-J42</f>
        <v>30.159999999999968</v>
      </c>
    </row>
    <row r="47" spans="2:13" x14ac:dyDescent="0.3">
      <c r="B47" s="102"/>
      <c r="C47" s="102"/>
      <c r="D47" s="102"/>
      <c r="E47" s="102"/>
      <c r="F47" s="102"/>
      <c r="G47" s="102"/>
      <c r="H47" s="102"/>
      <c r="I47" s="102"/>
      <c r="J47" s="7"/>
    </row>
    <row r="48" spans="2:13" x14ac:dyDescent="0.3">
      <c r="B48" s="294" t="s">
        <v>313</v>
      </c>
      <c r="C48" s="294"/>
      <c r="D48" s="294"/>
      <c r="E48" s="294"/>
      <c r="F48" s="294"/>
      <c r="G48" s="294"/>
      <c r="H48" s="294"/>
      <c r="I48" s="294"/>
      <c r="J48" s="294"/>
    </row>
    <row r="49" spans="2:10" x14ac:dyDescent="0.3">
      <c r="B49" s="292" t="s">
        <v>314</v>
      </c>
      <c r="C49" s="292"/>
      <c r="D49" s="292"/>
      <c r="E49" s="292"/>
      <c r="F49" s="292"/>
      <c r="G49" s="292"/>
      <c r="H49" s="292"/>
      <c r="I49" s="292"/>
      <c r="J49" s="3" t="s">
        <v>171</v>
      </c>
    </row>
    <row r="50" spans="2:10" x14ac:dyDescent="0.3">
      <c r="B50" s="22" t="s">
        <v>134</v>
      </c>
      <c r="C50" s="291" t="s">
        <v>168</v>
      </c>
      <c r="D50" s="291"/>
      <c r="E50" s="291"/>
      <c r="F50" s="291"/>
      <c r="G50" s="291"/>
      <c r="H50" s="291"/>
      <c r="I50" s="291"/>
      <c r="J50" s="1">
        <f>I24</f>
        <v>379.2</v>
      </c>
    </row>
    <row r="51" spans="2:10" x14ac:dyDescent="0.3">
      <c r="B51" s="22" t="s">
        <v>182</v>
      </c>
      <c r="C51" s="291" t="s">
        <v>289</v>
      </c>
      <c r="D51" s="291"/>
      <c r="E51" s="291"/>
      <c r="F51" s="291"/>
      <c r="G51" s="291"/>
      <c r="H51" s="291"/>
      <c r="I51" s="291"/>
      <c r="J51" s="1">
        <f>J37</f>
        <v>74.349999999999994</v>
      </c>
    </row>
    <row r="52" spans="2:10" ht="17.399999999999999" x14ac:dyDescent="0.3">
      <c r="B52" s="293" t="s">
        <v>316</v>
      </c>
      <c r="C52" s="293"/>
      <c r="D52" s="293"/>
      <c r="E52" s="293"/>
      <c r="F52" s="293"/>
      <c r="G52" s="293"/>
      <c r="H52" s="293"/>
      <c r="I52" s="293"/>
      <c r="J52" s="23">
        <f>TRUNC(J50+J51,2)</f>
        <v>453.55</v>
      </c>
    </row>
    <row r="53" spans="2:10" x14ac:dyDescent="0.3">
      <c r="B53" s="24"/>
      <c r="C53" s="24"/>
      <c r="D53" s="24"/>
      <c r="E53" s="24"/>
      <c r="F53" s="24"/>
      <c r="G53" s="24"/>
      <c r="H53" s="24"/>
      <c r="I53" s="24"/>
      <c r="J53" s="25"/>
    </row>
    <row r="54" spans="2:10" x14ac:dyDescent="0.3">
      <c r="B54" s="24"/>
      <c r="C54" s="24"/>
      <c r="D54" s="24"/>
      <c r="E54" s="24"/>
      <c r="F54" s="24"/>
      <c r="G54" s="24"/>
      <c r="H54" s="24"/>
      <c r="I54" s="24"/>
      <c r="J54" s="24"/>
    </row>
    <row r="55" spans="2:10" x14ac:dyDescent="0.3">
      <c r="B55" s="30"/>
      <c r="C55" s="31"/>
      <c r="D55" s="24"/>
      <c r="E55" s="24"/>
      <c r="F55" s="24"/>
      <c r="G55" s="24"/>
      <c r="H55" s="24"/>
      <c r="I55" s="24"/>
      <c r="J55" s="24"/>
    </row>
    <row r="56" spans="2:10" x14ac:dyDescent="0.3">
      <c r="B56" s="26"/>
      <c r="C56" s="26"/>
      <c r="D56" s="27"/>
    </row>
    <row r="57" spans="2:10" x14ac:dyDescent="0.3">
      <c r="B57" s="28"/>
      <c r="C57" s="24"/>
      <c r="D57" s="24"/>
    </row>
    <row r="58" spans="2:10" x14ac:dyDescent="0.3">
      <c r="B58" s="28"/>
      <c r="C58" s="24"/>
      <c r="D58" s="24"/>
    </row>
  </sheetData>
  <mergeCells count="58">
    <mergeCell ref="B6:J6"/>
    <mergeCell ref="B1:J1"/>
    <mergeCell ref="B2:J2"/>
    <mergeCell ref="B3:J3"/>
    <mergeCell ref="B4:J4"/>
    <mergeCell ref="B5:J5"/>
    <mergeCell ref="B15:C15"/>
    <mergeCell ref="D15:E15"/>
    <mergeCell ref="F15:J15"/>
    <mergeCell ref="B7:J7"/>
    <mergeCell ref="B8:J8"/>
    <mergeCell ref="C9:H9"/>
    <mergeCell ref="I9:J9"/>
    <mergeCell ref="C10:H10"/>
    <mergeCell ref="I10:J10"/>
    <mergeCell ref="C11:H11"/>
    <mergeCell ref="I11:J11"/>
    <mergeCell ref="C12:H12"/>
    <mergeCell ref="I12:J12"/>
    <mergeCell ref="B14:J14"/>
    <mergeCell ref="B16:C16"/>
    <mergeCell ref="D16:E16"/>
    <mergeCell ref="F16:J16"/>
    <mergeCell ref="B18:J18"/>
    <mergeCell ref="C19:H19"/>
    <mergeCell ref="I19:J19"/>
    <mergeCell ref="B28:J28"/>
    <mergeCell ref="C20:H20"/>
    <mergeCell ref="I20:J20"/>
    <mergeCell ref="C21:H21"/>
    <mergeCell ref="I21:J21"/>
    <mergeCell ref="C22:H22"/>
    <mergeCell ref="I22:J22"/>
    <mergeCell ref="C23:H23"/>
    <mergeCell ref="I23:J23"/>
    <mergeCell ref="C24:H24"/>
    <mergeCell ref="I24:J24"/>
    <mergeCell ref="B26:J27"/>
    <mergeCell ref="C40:H40"/>
    <mergeCell ref="B29:J29"/>
    <mergeCell ref="C30:H30"/>
    <mergeCell ref="C31:H31"/>
    <mergeCell ref="C32:H32"/>
    <mergeCell ref="C33:H33"/>
    <mergeCell ref="C34:H34"/>
    <mergeCell ref="C35:H35"/>
    <mergeCell ref="C36:H36"/>
    <mergeCell ref="B37:H37"/>
    <mergeCell ref="C38:J38"/>
    <mergeCell ref="C39:H39"/>
    <mergeCell ref="C51:I51"/>
    <mergeCell ref="B52:I52"/>
    <mergeCell ref="C42:H42"/>
    <mergeCell ref="C44:H44"/>
    <mergeCell ref="C46:H46"/>
    <mergeCell ref="B48:J48"/>
    <mergeCell ref="B49:I49"/>
    <mergeCell ref="C50:I50"/>
  </mergeCells>
  <pageMargins left="0.51181102362204722" right="0.51181102362204722" top="0.78740157480314965" bottom="0.78740157480314965" header="0.31496062992125984" footer="0.31496062992125984"/>
  <pageSetup paperSize="9" scale="6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5CD55-0D27-41E8-AD5C-A9DD689BB84B}">
  <dimension ref="B1:R14"/>
  <sheetViews>
    <sheetView showGridLines="0" workbookViewId="0">
      <selection activeCell="N28" sqref="N28"/>
    </sheetView>
  </sheetViews>
  <sheetFormatPr defaultColWidth="8.88671875" defaultRowHeight="14.4" x14ac:dyDescent="0.3"/>
  <cols>
    <col min="1" max="1" width="8.88671875" style="83"/>
    <col min="2" max="2" width="12.88671875" style="83" customWidth="1"/>
    <col min="3" max="3" width="14.88671875" style="83" bestFit="1" customWidth="1"/>
    <col min="4" max="4" width="14.109375" style="83" customWidth="1"/>
    <col min="5" max="5" width="11.88671875" style="83" customWidth="1"/>
    <col min="6" max="11" width="12.88671875" style="83" hidden="1" customWidth="1"/>
    <col min="12" max="12" width="12.88671875" style="83" customWidth="1"/>
    <col min="13" max="13" width="12.88671875" style="83" bestFit="1" customWidth="1"/>
    <col min="14" max="14" width="13.88671875" style="83" bestFit="1" customWidth="1"/>
    <col min="15" max="15" width="8.88671875" style="83"/>
    <col min="16" max="16" width="11.44140625" style="83" bestFit="1" customWidth="1"/>
    <col min="17" max="16384" width="8.88671875" style="83"/>
  </cols>
  <sheetData>
    <row r="1" spans="2:18" ht="15" thickBot="1" x14ac:dyDescent="0.35"/>
    <row r="2" spans="2:18" ht="34.65" customHeight="1" thickTop="1" thickBot="1" x14ac:dyDescent="0.35">
      <c r="B2" s="341" t="s">
        <v>332</v>
      </c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</row>
    <row r="3" spans="2:18" ht="37.35" customHeight="1" x14ac:dyDescent="0.3">
      <c r="B3" s="338" t="s">
        <v>333</v>
      </c>
      <c r="C3" s="338" t="s">
        <v>334</v>
      </c>
      <c r="D3" s="338" t="s">
        <v>335</v>
      </c>
      <c r="E3" s="338" t="s">
        <v>336</v>
      </c>
      <c r="F3" s="338" t="s">
        <v>337</v>
      </c>
      <c r="G3" s="338"/>
      <c r="H3" s="338" t="s">
        <v>338</v>
      </c>
      <c r="I3" s="338"/>
      <c r="J3" s="338" t="s">
        <v>339</v>
      </c>
      <c r="K3" s="338"/>
      <c r="L3" s="340" t="s">
        <v>340</v>
      </c>
      <c r="M3" s="340"/>
      <c r="N3" s="340"/>
    </row>
    <row r="4" spans="2:18" ht="29.4" thickBot="1" x14ac:dyDescent="0.35">
      <c r="B4" s="339"/>
      <c r="C4" s="339"/>
      <c r="D4" s="339"/>
      <c r="E4" s="339"/>
      <c r="F4" s="110" t="s">
        <v>341</v>
      </c>
      <c r="G4" s="110" t="s">
        <v>342</v>
      </c>
      <c r="H4" s="110" t="s">
        <v>341</v>
      </c>
      <c r="I4" s="110" t="s">
        <v>343</v>
      </c>
      <c r="J4" s="110" t="s">
        <v>341</v>
      </c>
      <c r="K4" s="110" t="s">
        <v>343</v>
      </c>
      <c r="L4" s="111" t="s">
        <v>341</v>
      </c>
      <c r="M4" s="111" t="s">
        <v>343</v>
      </c>
      <c r="N4" s="111" t="s">
        <v>344</v>
      </c>
    </row>
    <row r="5" spans="2:18" x14ac:dyDescent="0.3">
      <c r="B5" s="83" t="s">
        <v>345</v>
      </c>
      <c r="C5" s="83" t="s">
        <v>346</v>
      </c>
      <c r="D5" s="107">
        <v>9000</v>
      </c>
      <c r="E5" s="83">
        <v>2</v>
      </c>
      <c r="F5" s="108">
        <v>100</v>
      </c>
      <c r="G5" s="108">
        <f>F5*E5</f>
        <v>200</v>
      </c>
      <c r="H5" s="108">
        <v>83.3</v>
      </c>
      <c r="I5" s="108">
        <f>H5*E5</f>
        <v>166.6</v>
      </c>
      <c r="J5" s="108">
        <v>90</v>
      </c>
      <c r="K5" s="108">
        <f>J5*E5</f>
        <v>180</v>
      </c>
      <c r="L5" s="109">
        <f>AVERAGE(F5,H5,J5)</f>
        <v>91.100000000000009</v>
      </c>
      <c r="M5" s="109">
        <f>E5*L5</f>
        <v>182.20000000000002</v>
      </c>
      <c r="N5" s="109">
        <f>M5*20</f>
        <v>3644.0000000000005</v>
      </c>
      <c r="O5" s="104"/>
      <c r="Q5" s="104"/>
      <c r="R5" s="104"/>
    </row>
    <row r="6" spans="2:18" x14ac:dyDescent="0.3">
      <c r="B6" s="83" t="s">
        <v>347</v>
      </c>
      <c r="C6" s="83" t="s">
        <v>348</v>
      </c>
      <c r="D6" s="107">
        <v>12000</v>
      </c>
      <c r="E6" s="83">
        <v>1</v>
      </c>
      <c r="F6" s="108">
        <v>100</v>
      </c>
      <c r="G6" s="108">
        <f t="shared" ref="G6:G12" si="0">F6*E6</f>
        <v>100</v>
      </c>
      <c r="H6" s="108">
        <v>83.3</v>
      </c>
      <c r="I6" s="108">
        <f t="shared" ref="I6:I12" si="1">H6*E6</f>
        <v>83.3</v>
      </c>
      <c r="J6" s="108">
        <v>90</v>
      </c>
      <c r="K6" s="108">
        <f t="shared" ref="K6:K12" si="2">J6*E6</f>
        <v>90</v>
      </c>
      <c r="L6" s="109">
        <f t="shared" ref="L6:L12" si="3">AVERAGE(F6,H6,J6)</f>
        <v>91.100000000000009</v>
      </c>
      <c r="M6" s="109">
        <f t="shared" ref="M6:M12" si="4">E6*L6</f>
        <v>91.100000000000009</v>
      </c>
      <c r="N6" s="109">
        <f t="shared" ref="N6:N12" si="5">M6*20</f>
        <v>1822.0000000000002</v>
      </c>
      <c r="O6" s="104"/>
      <c r="Q6" s="104"/>
      <c r="R6" s="104"/>
    </row>
    <row r="7" spans="2:18" x14ac:dyDescent="0.3">
      <c r="B7" s="83" t="s">
        <v>349</v>
      </c>
      <c r="C7" s="83" t="s">
        <v>350</v>
      </c>
      <c r="D7" s="107">
        <v>12000</v>
      </c>
      <c r="E7" s="83">
        <v>3</v>
      </c>
      <c r="F7" s="108">
        <v>100</v>
      </c>
      <c r="G7" s="108">
        <f t="shared" si="0"/>
        <v>300</v>
      </c>
      <c r="H7" s="108">
        <v>83.3</v>
      </c>
      <c r="I7" s="108">
        <f t="shared" si="1"/>
        <v>249.89999999999998</v>
      </c>
      <c r="J7" s="108">
        <v>90</v>
      </c>
      <c r="K7" s="108">
        <f t="shared" si="2"/>
        <v>270</v>
      </c>
      <c r="L7" s="109">
        <f t="shared" si="3"/>
        <v>91.100000000000009</v>
      </c>
      <c r="M7" s="109">
        <f t="shared" si="4"/>
        <v>273.3</v>
      </c>
      <c r="N7" s="109">
        <f t="shared" si="5"/>
        <v>5466</v>
      </c>
      <c r="O7" s="104"/>
      <c r="Q7" s="104"/>
      <c r="R7" s="104"/>
    </row>
    <row r="8" spans="2:18" x14ac:dyDescent="0.3">
      <c r="B8" s="83" t="s">
        <v>345</v>
      </c>
      <c r="C8" s="83" t="s">
        <v>351</v>
      </c>
      <c r="D8" s="107">
        <v>18000</v>
      </c>
      <c r="E8" s="83">
        <v>4</v>
      </c>
      <c r="F8" s="108">
        <v>150</v>
      </c>
      <c r="G8" s="108">
        <f t="shared" si="0"/>
        <v>600</v>
      </c>
      <c r="H8" s="108">
        <v>83.3</v>
      </c>
      <c r="I8" s="108">
        <f t="shared" si="1"/>
        <v>333.2</v>
      </c>
      <c r="J8" s="108">
        <v>90</v>
      </c>
      <c r="K8" s="108">
        <f t="shared" si="2"/>
        <v>360</v>
      </c>
      <c r="L8" s="109">
        <f t="shared" si="3"/>
        <v>107.76666666666667</v>
      </c>
      <c r="M8" s="109">
        <f t="shared" si="4"/>
        <v>431.06666666666666</v>
      </c>
      <c r="N8" s="109">
        <f t="shared" si="5"/>
        <v>8621.3333333333339</v>
      </c>
      <c r="O8" s="104"/>
      <c r="Q8" s="104"/>
      <c r="R8" s="104"/>
    </row>
    <row r="9" spans="2:18" x14ac:dyDescent="0.3">
      <c r="B9" s="83" t="s">
        <v>352</v>
      </c>
      <c r="C9" s="83" t="s">
        <v>353</v>
      </c>
      <c r="D9" s="107">
        <v>22000</v>
      </c>
      <c r="E9" s="83">
        <v>9</v>
      </c>
      <c r="F9" s="108">
        <v>150</v>
      </c>
      <c r="G9" s="108">
        <f t="shared" si="0"/>
        <v>1350</v>
      </c>
      <c r="H9" s="108">
        <v>83.3</v>
      </c>
      <c r="I9" s="108">
        <f t="shared" si="1"/>
        <v>749.69999999999993</v>
      </c>
      <c r="J9" s="108">
        <v>90</v>
      </c>
      <c r="K9" s="108">
        <f t="shared" si="2"/>
        <v>810</v>
      </c>
      <c r="L9" s="109">
        <f t="shared" si="3"/>
        <v>107.76666666666667</v>
      </c>
      <c r="M9" s="109">
        <f t="shared" si="4"/>
        <v>969.9</v>
      </c>
      <c r="N9" s="109">
        <f t="shared" si="5"/>
        <v>19398</v>
      </c>
      <c r="O9" s="104"/>
      <c r="Q9" s="104"/>
      <c r="R9" s="104"/>
    </row>
    <row r="10" spans="2:18" x14ac:dyDescent="0.3">
      <c r="B10" s="83" t="s">
        <v>347</v>
      </c>
      <c r="C10" s="83" t="s">
        <v>354</v>
      </c>
      <c r="D10" s="107">
        <v>27000</v>
      </c>
      <c r="E10" s="83">
        <v>9</v>
      </c>
      <c r="F10" s="108">
        <v>150</v>
      </c>
      <c r="G10" s="108">
        <f t="shared" si="0"/>
        <v>1350</v>
      </c>
      <c r="H10" s="108">
        <v>83.3</v>
      </c>
      <c r="I10" s="108">
        <f t="shared" si="1"/>
        <v>749.69999999999993</v>
      </c>
      <c r="J10" s="108">
        <v>90</v>
      </c>
      <c r="K10" s="108">
        <f t="shared" si="2"/>
        <v>810</v>
      </c>
      <c r="L10" s="109">
        <f t="shared" si="3"/>
        <v>107.76666666666667</v>
      </c>
      <c r="M10" s="109">
        <f t="shared" si="4"/>
        <v>969.9</v>
      </c>
      <c r="N10" s="109">
        <f t="shared" si="5"/>
        <v>19398</v>
      </c>
      <c r="O10" s="104"/>
      <c r="Q10" s="104"/>
      <c r="R10" s="104"/>
    </row>
    <row r="11" spans="2:18" x14ac:dyDescent="0.3">
      <c r="B11" s="83" t="s">
        <v>347</v>
      </c>
      <c r="C11" s="83" t="s">
        <v>355</v>
      </c>
      <c r="D11" s="107">
        <v>45000</v>
      </c>
      <c r="E11" s="83">
        <v>3</v>
      </c>
      <c r="F11" s="108">
        <v>200</v>
      </c>
      <c r="G11" s="108">
        <f t="shared" si="0"/>
        <v>600</v>
      </c>
      <c r="H11" s="108">
        <v>114.49</v>
      </c>
      <c r="I11" s="108">
        <f t="shared" si="1"/>
        <v>343.46999999999997</v>
      </c>
      <c r="J11" s="108">
        <v>90</v>
      </c>
      <c r="K11" s="108">
        <f t="shared" si="2"/>
        <v>270</v>
      </c>
      <c r="L11" s="109">
        <f t="shared" si="3"/>
        <v>134.83000000000001</v>
      </c>
      <c r="M11" s="109">
        <f t="shared" si="4"/>
        <v>404.49</v>
      </c>
      <c r="N11" s="109">
        <f t="shared" si="5"/>
        <v>8089.8</v>
      </c>
      <c r="O11" s="104"/>
      <c r="Q11" s="104"/>
      <c r="R11" s="104"/>
    </row>
    <row r="12" spans="2:18" ht="15" thickBot="1" x14ac:dyDescent="0.35">
      <c r="B12" s="83" t="s">
        <v>356</v>
      </c>
      <c r="C12" s="83" t="s">
        <v>357</v>
      </c>
      <c r="D12" s="107">
        <v>52000</v>
      </c>
      <c r="E12" s="83">
        <v>21</v>
      </c>
      <c r="F12" s="108">
        <v>250</v>
      </c>
      <c r="G12" s="108">
        <f t="shared" si="0"/>
        <v>5250</v>
      </c>
      <c r="H12" s="108">
        <v>114.49</v>
      </c>
      <c r="I12" s="108">
        <f t="shared" si="1"/>
        <v>2404.29</v>
      </c>
      <c r="J12" s="108">
        <v>90</v>
      </c>
      <c r="K12" s="108">
        <f t="shared" si="2"/>
        <v>1890</v>
      </c>
      <c r="L12" s="109">
        <f t="shared" si="3"/>
        <v>151.49666666666667</v>
      </c>
      <c r="M12" s="109">
        <f t="shared" si="4"/>
        <v>3181.4300000000003</v>
      </c>
      <c r="N12" s="109">
        <f t="shared" si="5"/>
        <v>63628.600000000006</v>
      </c>
      <c r="O12" s="104"/>
      <c r="Q12" s="104"/>
      <c r="R12" s="104"/>
    </row>
    <row r="13" spans="2:18" ht="15" thickBot="1" x14ac:dyDescent="0.35">
      <c r="B13" s="337" t="s">
        <v>358</v>
      </c>
      <c r="C13" s="337"/>
      <c r="D13" s="337"/>
      <c r="E13" s="115">
        <f>SUM(E5:E12)</f>
        <v>52</v>
      </c>
      <c r="F13" s="116"/>
      <c r="G13" s="116">
        <f t="shared" ref="G13" si="6">SUM(G5:G12)</f>
        <v>9750</v>
      </c>
      <c r="H13" s="116"/>
      <c r="I13" s="116">
        <f>SUM(I5:I12)</f>
        <v>5080.16</v>
      </c>
      <c r="J13" s="116"/>
      <c r="K13" s="116">
        <f t="shared" ref="K13" si="7">SUM(K5:K12)</f>
        <v>4680</v>
      </c>
      <c r="L13" s="117"/>
      <c r="M13" s="117">
        <f>SUM(M5:M12)</f>
        <v>6503.3866666666672</v>
      </c>
      <c r="N13" s="117">
        <f>SUM(N5:N12)</f>
        <v>130067.73333333334</v>
      </c>
    </row>
    <row r="14" spans="2:18" ht="15" thickTop="1" x14ac:dyDescent="0.3"/>
  </sheetData>
  <mergeCells count="10">
    <mergeCell ref="J3:K3"/>
    <mergeCell ref="L3:N3"/>
    <mergeCell ref="B2:N2"/>
    <mergeCell ref="H3:I3"/>
    <mergeCell ref="F3:G3"/>
    <mergeCell ref="B13:D13"/>
    <mergeCell ref="B3:B4"/>
    <mergeCell ref="C3:C4"/>
    <mergeCell ref="D3:D4"/>
    <mergeCell ref="E3:E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D75D6-2D67-4E53-AFD7-A6322E2580BF}">
  <sheetPr>
    <pageSetUpPr fitToPage="1"/>
  </sheetPr>
  <dimension ref="A1:E102"/>
  <sheetViews>
    <sheetView showGridLines="0" workbookViewId="0">
      <selection activeCell="G30" sqref="G30"/>
    </sheetView>
  </sheetViews>
  <sheetFormatPr defaultRowHeight="14.4" x14ac:dyDescent="0.3"/>
  <cols>
    <col min="2" max="2" width="67.44140625" customWidth="1"/>
    <col min="4" max="4" width="14.109375" customWidth="1"/>
    <col min="5" max="5" width="12.5546875" customWidth="1"/>
  </cols>
  <sheetData>
    <row r="1" spans="1:5" ht="33" customHeight="1" x14ac:dyDescent="0.3">
      <c r="A1" s="348" t="s">
        <v>1056</v>
      </c>
      <c r="B1" s="348"/>
      <c r="C1" s="348"/>
      <c r="D1" s="348"/>
      <c r="E1" s="348"/>
    </row>
    <row r="2" spans="1:5" ht="21" x14ac:dyDescent="0.3">
      <c r="A2" s="194"/>
      <c r="B2" s="194"/>
      <c r="C2" s="194"/>
      <c r="D2" s="194"/>
      <c r="E2" s="194"/>
    </row>
    <row r="3" spans="1:5" x14ac:dyDescent="0.3">
      <c r="A3" s="195" t="s">
        <v>359</v>
      </c>
      <c r="B3" s="196" t="s">
        <v>131</v>
      </c>
      <c r="C3" s="197" t="s">
        <v>360</v>
      </c>
      <c r="D3" s="195" t="s">
        <v>361</v>
      </c>
      <c r="E3" s="195" t="s">
        <v>362</v>
      </c>
    </row>
    <row r="4" spans="1:5" x14ac:dyDescent="0.3">
      <c r="A4" s="223">
        <v>1</v>
      </c>
      <c r="B4" s="224" t="s">
        <v>363</v>
      </c>
      <c r="C4" s="198">
        <v>1</v>
      </c>
      <c r="D4" s="208">
        <v>39.79</v>
      </c>
      <c r="E4" s="199">
        <f t="shared" ref="E4:E67" si="0">D4*C4</f>
        <v>39.79</v>
      </c>
    </row>
    <row r="5" spans="1:5" x14ac:dyDescent="0.3">
      <c r="A5" s="160">
        <v>2</v>
      </c>
      <c r="B5" s="225" t="s">
        <v>364</v>
      </c>
      <c r="C5" s="198">
        <v>1</v>
      </c>
      <c r="D5" s="208">
        <v>79</v>
      </c>
      <c r="E5" s="199">
        <f t="shared" si="0"/>
        <v>79</v>
      </c>
    </row>
    <row r="6" spans="1:5" x14ac:dyDescent="0.3">
      <c r="A6" s="223">
        <v>3</v>
      </c>
      <c r="B6" s="225" t="s">
        <v>365</v>
      </c>
      <c r="C6" s="198">
        <v>1</v>
      </c>
      <c r="D6" s="208">
        <v>21.95</v>
      </c>
      <c r="E6" s="199">
        <f t="shared" si="0"/>
        <v>21.95</v>
      </c>
    </row>
    <row r="7" spans="1:5" x14ac:dyDescent="0.3">
      <c r="A7" s="160">
        <v>4</v>
      </c>
      <c r="B7" s="225" t="s">
        <v>366</v>
      </c>
      <c r="C7" s="198">
        <v>1</v>
      </c>
      <c r="D7" s="208">
        <v>30.263333333333332</v>
      </c>
      <c r="E7" s="199">
        <f t="shared" si="0"/>
        <v>30.263333333333332</v>
      </c>
    </row>
    <row r="8" spans="1:5" x14ac:dyDescent="0.3">
      <c r="A8" s="223">
        <v>5</v>
      </c>
      <c r="B8" s="225" t="s">
        <v>367</v>
      </c>
      <c r="C8" s="198">
        <v>1</v>
      </c>
      <c r="D8" s="208">
        <v>31.683333333333326</v>
      </c>
      <c r="E8" s="199">
        <f t="shared" si="0"/>
        <v>31.683333333333326</v>
      </c>
    </row>
    <row r="9" spans="1:5" x14ac:dyDescent="0.3">
      <c r="A9" s="160">
        <v>6</v>
      </c>
      <c r="B9" s="225" t="s">
        <v>368</v>
      </c>
      <c r="C9" s="198">
        <v>1</v>
      </c>
      <c r="D9" s="208">
        <v>126.46999999999998</v>
      </c>
      <c r="E9" s="199">
        <f t="shared" si="0"/>
        <v>126.46999999999998</v>
      </c>
    </row>
    <row r="10" spans="1:5" x14ac:dyDescent="0.3">
      <c r="A10" s="223">
        <v>7</v>
      </c>
      <c r="B10" s="226" t="s">
        <v>369</v>
      </c>
      <c r="C10" s="198">
        <v>1</v>
      </c>
      <c r="D10" s="208">
        <v>30.956666666666667</v>
      </c>
      <c r="E10" s="199">
        <f t="shared" si="0"/>
        <v>30.956666666666667</v>
      </c>
    </row>
    <row r="11" spans="1:5" x14ac:dyDescent="0.3">
      <c r="A11" s="160">
        <v>8</v>
      </c>
      <c r="B11" s="225" t="s">
        <v>370</v>
      </c>
      <c r="C11" s="198">
        <v>1</v>
      </c>
      <c r="D11" s="208">
        <v>24.333333333333332</v>
      </c>
      <c r="E11" s="199">
        <f t="shared" si="0"/>
        <v>24.333333333333332</v>
      </c>
    </row>
    <row r="12" spans="1:5" x14ac:dyDescent="0.3">
      <c r="A12" s="223">
        <v>9</v>
      </c>
      <c r="B12" s="225" t="s">
        <v>371</v>
      </c>
      <c r="C12" s="198">
        <v>1</v>
      </c>
      <c r="D12" s="208">
        <v>295.31333333333333</v>
      </c>
      <c r="E12" s="199">
        <f t="shared" si="0"/>
        <v>295.31333333333333</v>
      </c>
    </row>
    <row r="13" spans="1:5" x14ac:dyDescent="0.3">
      <c r="A13" s="160">
        <v>10</v>
      </c>
      <c r="B13" s="225" t="s">
        <v>372</v>
      </c>
      <c r="C13" s="198">
        <v>1</v>
      </c>
      <c r="D13" s="208">
        <v>48.316666666666663</v>
      </c>
      <c r="E13" s="199">
        <f t="shared" si="0"/>
        <v>48.316666666666663</v>
      </c>
    </row>
    <row r="14" spans="1:5" x14ac:dyDescent="0.3">
      <c r="A14" s="223">
        <v>11</v>
      </c>
      <c r="B14" s="225" t="s">
        <v>373</v>
      </c>
      <c r="C14" s="198">
        <v>1</v>
      </c>
      <c r="D14" s="208">
        <v>34.743333333333332</v>
      </c>
      <c r="E14" s="199">
        <f t="shared" si="0"/>
        <v>34.743333333333332</v>
      </c>
    </row>
    <row r="15" spans="1:5" x14ac:dyDescent="0.3">
      <c r="A15" s="160">
        <v>12</v>
      </c>
      <c r="B15" s="226" t="s">
        <v>374</v>
      </c>
      <c r="C15" s="198">
        <v>1</v>
      </c>
      <c r="D15" s="208">
        <v>149.98333333333335</v>
      </c>
      <c r="E15" s="199">
        <f t="shared" si="0"/>
        <v>149.98333333333335</v>
      </c>
    </row>
    <row r="16" spans="1:5" x14ac:dyDescent="0.3">
      <c r="A16" s="223">
        <v>13</v>
      </c>
      <c r="B16" s="226" t="s">
        <v>375</v>
      </c>
      <c r="C16" s="198">
        <v>1</v>
      </c>
      <c r="D16" s="208">
        <v>137.95000000000002</v>
      </c>
      <c r="E16" s="199">
        <f t="shared" si="0"/>
        <v>137.95000000000002</v>
      </c>
    </row>
    <row r="17" spans="1:5" x14ac:dyDescent="0.3">
      <c r="A17" s="160">
        <v>14</v>
      </c>
      <c r="B17" s="225" t="s">
        <v>376</v>
      </c>
      <c r="C17" s="198">
        <v>1</v>
      </c>
      <c r="D17" s="208">
        <v>177.59333333333333</v>
      </c>
      <c r="E17" s="199">
        <f t="shared" si="0"/>
        <v>177.59333333333333</v>
      </c>
    </row>
    <row r="18" spans="1:5" x14ac:dyDescent="0.3">
      <c r="A18" s="223">
        <v>15</v>
      </c>
      <c r="B18" s="225" t="s">
        <v>377</v>
      </c>
      <c r="C18" s="198">
        <v>1</v>
      </c>
      <c r="D18" s="208">
        <v>99.839999999999989</v>
      </c>
      <c r="E18" s="199">
        <f t="shared" si="0"/>
        <v>99.839999999999989</v>
      </c>
    </row>
    <row r="19" spans="1:5" x14ac:dyDescent="0.3">
      <c r="A19" s="160">
        <v>16</v>
      </c>
      <c r="B19" s="226" t="s">
        <v>378</v>
      </c>
      <c r="C19" s="198">
        <v>1</v>
      </c>
      <c r="D19" s="208">
        <v>120.90666666666668</v>
      </c>
      <c r="E19" s="199">
        <f t="shared" si="0"/>
        <v>120.90666666666668</v>
      </c>
    </row>
    <row r="20" spans="1:5" x14ac:dyDescent="0.3">
      <c r="A20" s="223">
        <v>17</v>
      </c>
      <c r="B20" s="226" t="s">
        <v>379</v>
      </c>
      <c r="C20" s="198">
        <v>1</v>
      </c>
      <c r="D20" s="208">
        <v>2184.33</v>
      </c>
      <c r="E20" s="199">
        <f t="shared" si="0"/>
        <v>2184.33</v>
      </c>
    </row>
    <row r="21" spans="1:5" x14ac:dyDescent="0.3">
      <c r="A21" s="160">
        <v>18</v>
      </c>
      <c r="B21" s="225" t="s">
        <v>380</v>
      </c>
      <c r="C21" s="198">
        <v>1</v>
      </c>
      <c r="D21" s="208">
        <v>25.016666666666669</v>
      </c>
      <c r="E21" s="199">
        <f t="shared" si="0"/>
        <v>25.016666666666669</v>
      </c>
    </row>
    <row r="22" spans="1:5" x14ac:dyDescent="0.3">
      <c r="A22" s="223">
        <v>19</v>
      </c>
      <c r="B22" s="225" t="s">
        <v>381</v>
      </c>
      <c r="C22" s="198">
        <v>1</v>
      </c>
      <c r="D22" s="208">
        <v>95.48</v>
      </c>
      <c r="E22" s="199">
        <f t="shared" si="0"/>
        <v>95.48</v>
      </c>
    </row>
    <row r="23" spans="1:5" x14ac:dyDescent="0.3">
      <c r="A23" s="160">
        <v>20</v>
      </c>
      <c r="B23" s="225" t="s">
        <v>382</v>
      </c>
      <c r="C23" s="198">
        <v>1</v>
      </c>
      <c r="D23" s="208">
        <v>37.716666666666669</v>
      </c>
      <c r="E23" s="199">
        <f t="shared" si="0"/>
        <v>37.716666666666669</v>
      </c>
    </row>
    <row r="24" spans="1:5" x14ac:dyDescent="0.3">
      <c r="A24" s="223">
        <v>21</v>
      </c>
      <c r="B24" s="225" t="s">
        <v>383</v>
      </c>
      <c r="C24" s="198">
        <v>1</v>
      </c>
      <c r="D24" s="208">
        <v>36.059999999999995</v>
      </c>
      <c r="E24" s="199">
        <f t="shared" si="0"/>
        <v>36.059999999999995</v>
      </c>
    </row>
    <row r="25" spans="1:5" x14ac:dyDescent="0.3">
      <c r="A25" s="160">
        <v>22</v>
      </c>
      <c r="B25" s="225" t="s">
        <v>384</v>
      </c>
      <c r="C25" s="198">
        <v>1</v>
      </c>
      <c r="D25" s="208">
        <v>51.636666666666663</v>
      </c>
      <c r="E25" s="199">
        <f t="shared" si="0"/>
        <v>51.636666666666663</v>
      </c>
    </row>
    <row r="26" spans="1:5" x14ac:dyDescent="0.3">
      <c r="A26" s="223">
        <v>23</v>
      </c>
      <c r="B26" s="227" t="s">
        <v>385</v>
      </c>
      <c r="C26" s="198">
        <v>1</v>
      </c>
      <c r="D26" s="208">
        <v>208.35999999999999</v>
      </c>
      <c r="E26" s="199">
        <f t="shared" si="0"/>
        <v>208.35999999999999</v>
      </c>
    </row>
    <row r="27" spans="1:5" x14ac:dyDescent="0.3">
      <c r="A27" s="160">
        <v>24</v>
      </c>
      <c r="B27" s="225" t="s">
        <v>386</v>
      </c>
      <c r="C27" s="198">
        <v>1</v>
      </c>
      <c r="D27" s="208">
        <v>23.196666666666669</v>
      </c>
      <c r="E27" s="199">
        <f t="shared" si="0"/>
        <v>23.196666666666669</v>
      </c>
    </row>
    <row r="28" spans="1:5" x14ac:dyDescent="0.3">
      <c r="A28" s="223">
        <v>25</v>
      </c>
      <c r="B28" s="225" t="s">
        <v>387</v>
      </c>
      <c r="C28" s="198">
        <v>1</v>
      </c>
      <c r="D28" s="208">
        <v>50.986666666666657</v>
      </c>
      <c r="E28" s="199">
        <f t="shared" si="0"/>
        <v>50.986666666666657</v>
      </c>
    </row>
    <row r="29" spans="1:5" x14ac:dyDescent="0.3">
      <c r="A29" s="160">
        <v>26</v>
      </c>
      <c r="B29" s="225" t="s">
        <v>388</v>
      </c>
      <c r="C29" s="198">
        <v>1</v>
      </c>
      <c r="D29" s="208">
        <v>48.646666666666668</v>
      </c>
      <c r="E29" s="199">
        <f t="shared" si="0"/>
        <v>48.646666666666668</v>
      </c>
    </row>
    <row r="30" spans="1:5" x14ac:dyDescent="0.3">
      <c r="A30" s="223">
        <v>27</v>
      </c>
      <c r="B30" s="225" t="s">
        <v>389</v>
      </c>
      <c r="C30" s="198">
        <v>1</v>
      </c>
      <c r="D30" s="208">
        <v>81.516666666666666</v>
      </c>
      <c r="E30" s="199">
        <f t="shared" si="0"/>
        <v>81.516666666666666</v>
      </c>
    </row>
    <row r="31" spans="1:5" x14ac:dyDescent="0.3">
      <c r="A31" s="160">
        <v>28</v>
      </c>
      <c r="B31" s="225" t="s">
        <v>390</v>
      </c>
      <c r="C31" s="198">
        <v>1</v>
      </c>
      <c r="D31" s="208">
        <v>129.67666666666668</v>
      </c>
      <c r="E31" s="199">
        <f t="shared" si="0"/>
        <v>129.67666666666668</v>
      </c>
    </row>
    <row r="32" spans="1:5" x14ac:dyDescent="0.3">
      <c r="A32" s="223">
        <v>29</v>
      </c>
      <c r="B32" s="225" t="s">
        <v>391</v>
      </c>
      <c r="C32" s="198">
        <v>1</v>
      </c>
      <c r="D32" s="208">
        <v>208.37</v>
      </c>
      <c r="E32" s="199">
        <f t="shared" si="0"/>
        <v>208.37</v>
      </c>
    </row>
    <row r="33" spans="1:5" x14ac:dyDescent="0.3">
      <c r="A33" s="160">
        <v>30</v>
      </c>
      <c r="B33" s="225" t="s">
        <v>392</v>
      </c>
      <c r="C33" s="198">
        <v>1</v>
      </c>
      <c r="D33" s="208">
        <v>19.176666666666666</v>
      </c>
      <c r="E33" s="199">
        <f t="shared" si="0"/>
        <v>19.176666666666666</v>
      </c>
    </row>
    <row r="34" spans="1:5" x14ac:dyDescent="0.3">
      <c r="A34" s="223">
        <v>31</v>
      </c>
      <c r="B34" s="225" t="s">
        <v>393</v>
      </c>
      <c r="C34" s="198">
        <v>1</v>
      </c>
      <c r="D34" s="208">
        <v>30.486666666666668</v>
      </c>
      <c r="E34" s="199">
        <f t="shared" si="0"/>
        <v>30.486666666666668</v>
      </c>
    </row>
    <row r="35" spans="1:5" x14ac:dyDescent="0.3">
      <c r="A35" s="160">
        <v>32</v>
      </c>
      <c r="B35" s="225" t="s">
        <v>394</v>
      </c>
      <c r="C35" s="198">
        <v>1</v>
      </c>
      <c r="D35" s="208">
        <v>14.433333333333332</v>
      </c>
      <c r="E35" s="199">
        <f t="shared" si="0"/>
        <v>14.433333333333332</v>
      </c>
    </row>
    <row r="36" spans="1:5" x14ac:dyDescent="0.3">
      <c r="A36" s="223">
        <v>33</v>
      </c>
      <c r="B36" s="225" t="s">
        <v>395</v>
      </c>
      <c r="C36" s="200">
        <v>1</v>
      </c>
      <c r="D36" s="208">
        <v>49.126666666666665</v>
      </c>
      <c r="E36" s="201">
        <f t="shared" si="0"/>
        <v>49.126666666666665</v>
      </c>
    </row>
    <row r="37" spans="1:5" x14ac:dyDescent="0.3">
      <c r="A37" s="160">
        <v>34</v>
      </c>
      <c r="B37" s="225" t="s">
        <v>396</v>
      </c>
      <c r="C37" s="198">
        <v>1</v>
      </c>
      <c r="D37" s="208">
        <v>185.85333333333332</v>
      </c>
      <c r="E37" s="199">
        <f t="shared" si="0"/>
        <v>185.85333333333332</v>
      </c>
    </row>
    <row r="38" spans="1:5" x14ac:dyDescent="0.3">
      <c r="A38" s="223">
        <v>35</v>
      </c>
      <c r="B38" s="225" t="s">
        <v>397</v>
      </c>
      <c r="C38" s="198">
        <v>1</v>
      </c>
      <c r="D38" s="208">
        <v>43.513333333333328</v>
      </c>
      <c r="E38" s="199">
        <f t="shared" si="0"/>
        <v>43.513333333333328</v>
      </c>
    </row>
    <row r="39" spans="1:5" x14ac:dyDescent="0.3">
      <c r="A39" s="160">
        <v>36</v>
      </c>
      <c r="B39" s="225" t="s">
        <v>398</v>
      </c>
      <c r="C39" s="198">
        <v>1</v>
      </c>
      <c r="D39" s="208">
        <v>243.52</v>
      </c>
      <c r="E39" s="199">
        <f t="shared" si="0"/>
        <v>243.52</v>
      </c>
    </row>
    <row r="40" spans="1:5" x14ac:dyDescent="0.3">
      <c r="A40" s="223">
        <v>37</v>
      </c>
      <c r="B40" s="225" t="s">
        <v>399</v>
      </c>
      <c r="C40" s="198">
        <v>1</v>
      </c>
      <c r="D40" s="208">
        <v>9.5666666666666682</v>
      </c>
      <c r="E40" s="199">
        <f t="shared" si="0"/>
        <v>9.5666666666666682</v>
      </c>
    </row>
    <row r="41" spans="1:5" x14ac:dyDescent="0.3">
      <c r="A41" s="160">
        <v>38</v>
      </c>
      <c r="B41" s="225" t="s">
        <v>400</v>
      </c>
      <c r="C41" s="198">
        <v>1</v>
      </c>
      <c r="D41" s="208">
        <v>17.959999999999997</v>
      </c>
      <c r="E41" s="199">
        <f t="shared" si="0"/>
        <v>17.959999999999997</v>
      </c>
    </row>
    <row r="42" spans="1:5" x14ac:dyDescent="0.3">
      <c r="A42" s="223">
        <v>39</v>
      </c>
      <c r="B42" s="225" t="s">
        <v>401</v>
      </c>
      <c r="C42" s="198">
        <v>1</v>
      </c>
      <c r="D42" s="208">
        <v>17.59333333333333</v>
      </c>
      <c r="E42" s="199">
        <f t="shared" si="0"/>
        <v>17.59333333333333</v>
      </c>
    </row>
    <row r="43" spans="1:5" x14ac:dyDescent="0.3">
      <c r="A43" s="160">
        <v>40</v>
      </c>
      <c r="B43" s="225" t="s">
        <v>402</v>
      </c>
      <c r="C43" s="198">
        <v>1</v>
      </c>
      <c r="D43" s="208">
        <v>16.933333333333334</v>
      </c>
      <c r="E43" s="199">
        <f t="shared" si="0"/>
        <v>16.933333333333334</v>
      </c>
    </row>
    <row r="44" spans="1:5" x14ac:dyDescent="0.3">
      <c r="A44" s="223">
        <v>41</v>
      </c>
      <c r="B44" s="225" t="s">
        <v>403</v>
      </c>
      <c r="C44" s="198">
        <v>1</v>
      </c>
      <c r="D44" s="208">
        <v>242.69666666666669</v>
      </c>
      <c r="E44" s="199">
        <f t="shared" si="0"/>
        <v>242.69666666666669</v>
      </c>
    </row>
    <row r="45" spans="1:5" x14ac:dyDescent="0.3">
      <c r="A45" s="160">
        <v>42</v>
      </c>
      <c r="B45" s="225" t="s">
        <v>404</v>
      </c>
      <c r="C45" s="198">
        <v>1</v>
      </c>
      <c r="D45" s="208">
        <v>124.28000000000002</v>
      </c>
      <c r="E45" s="199">
        <f t="shared" si="0"/>
        <v>124.28000000000002</v>
      </c>
    </row>
    <row r="46" spans="1:5" x14ac:dyDescent="0.3">
      <c r="A46" s="223">
        <v>43</v>
      </c>
      <c r="B46" s="225" t="s">
        <v>405</v>
      </c>
      <c r="C46" s="198">
        <v>1</v>
      </c>
      <c r="D46" s="208">
        <v>51.703333333333326</v>
      </c>
      <c r="E46" s="199">
        <f t="shared" si="0"/>
        <v>51.703333333333326</v>
      </c>
    </row>
    <row r="47" spans="1:5" x14ac:dyDescent="0.3">
      <c r="A47" s="160">
        <v>44</v>
      </c>
      <c r="B47" s="225" t="s">
        <v>406</v>
      </c>
      <c r="C47" s="198">
        <v>1</v>
      </c>
      <c r="D47" s="208">
        <v>237.43333333333331</v>
      </c>
      <c r="E47" s="199">
        <f t="shared" si="0"/>
        <v>237.43333333333331</v>
      </c>
    </row>
    <row r="48" spans="1:5" x14ac:dyDescent="0.3">
      <c r="A48" s="223">
        <v>45</v>
      </c>
      <c r="B48" s="225" t="s">
        <v>407</v>
      </c>
      <c r="C48" s="198">
        <v>1</v>
      </c>
      <c r="D48" s="208">
        <v>35.276666666666664</v>
      </c>
      <c r="E48" s="199">
        <f t="shared" si="0"/>
        <v>35.276666666666664</v>
      </c>
    </row>
    <row r="49" spans="1:5" x14ac:dyDescent="0.3">
      <c r="A49" s="160">
        <v>46</v>
      </c>
      <c r="B49" s="225" t="s">
        <v>408</v>
      </c>
      <c r="C49" s="198">
        <v>1</v>
      </c>
      <c r="D49" s="208">
        <v>45.816666666666663</v>
      </c>
      <c r="E49" s="199">
        <f t="shared" si="0"/>
        <v>45.816666666666663</v>
      </c>
    </row>
    <row r="50" spans="1:5" x14ac:dyDescent="0.3">
      <c r="A50" s="223">
        <v>47</v>
      </c>
      <c r="B50" s="225" t="s">
        <v>409</v>
      </c>
      <c r="C50" s="198">
        <v>1</v>
      </c>
      <c r="D50" s="208">
        <v>282.09666666666664</v>
      </c>
      <c r="E50" s="199">
        <f t="shared" si="0"/>
        <v>282.09666666666664</v>
      </c>
    </row>
    <row r="51" spans="1:5" x14ac:dyDescent="0.3">
      <c r="A51" s="160">
        <v>48</v>
      </c>
      <c r="B51" s="225" t="s">
        <v>410</v>
      </c>
      <c r="C51" s="198">
        <v>1</v>
      </c>
      <c r="D51" s="208">
        <v>230.51999999999998</v>
      </c>
      <c r="E51" s="199">
        <f t="shared" si="0"/>
        <v>230.51999999999998</v>
      </c>
    </row>
    <row r="52" spans="1:5" x14ac:dyDescent="0.3">
      <c r="A52" s="223">
        <v>49</v>
      </c>
      <c r="B52" s="226" t="s">
        <v>411</v>
      </c>
      <c r="C52" s="198">
        <v>1</v>
      </c>
      <c r="D52" s="208">
        <v>231.72333333333336</v>
      </c>
      <c r="E52" s="199">
        <f t="shared" si="0"/>
        <v>231.72333333333336</v>
      </c>
    </row>
    <row r="53" spans="1:5" x14ac:dyDescent="0.3">
      <c r="A53" s="160">
        <v>50</v>
      </c>
      <c r="B53" s="225" t="s">
        <v>412</v>
      </c>
      <c r="C53" s="198">
        <v>1</v>
      </c>
      <c r="D53" s="208">
        <v>95.15666666666668</v>
      </c>
      <c r="E53" s="199">
        <f t="shared" si="0"/>
        <v>95.15666666666668</v>
      </c>
    </row>
    <row r="54" spans="1:5" x14ac:dyDescent="0.3">
      <c r="A54" s="223">
        <v>51</v>
      </c>
      <c r="B54" s="226" t="s">
        <v>413</v>
      </c>
      <c r="C54" s="198">
        <v>1</v>
      </c>
      <c r="D54" s="208">
        <v>32.270000000000003</v>
      </c>
      <c r="E54" s="199">
        <f t="shared" si="0"/>
        <v>32.270000000000003</v>
      </c>
    </row>
    <row r="55" spans="1:5" x14ac:dyDescent="0.3">
      <c r="A55" s="160">
        <v>52</v>
      </c>
      <c r="B55" s="225" t="s">
        <v>414</v>
      </c>
      <c r="C55" s="198">
        <v>1</v>
      </c>
      <c r="D55" s="208">
        <v>34.110000000000007</v>
      </c>
      <c r="E55" s="199">
        <f t="shared" si="0"/>
        <v>34.110000000000007</v>
      </c>
    </row>
    <row r="56" spans="1:5" x14ac:dyDescent="0.3">
      <c r="A56" s="223">
        <v>53</v>
      </c>
      <c r="B56" s="225" t="s">
        <v>415</v>
      </c>
      <c r="C56" s="198">
        <v>1</v>
      </c>
      <c r="D56" s="208">
        <v>22.266666666666666</v>
      </c>
      <c r="E56" s="199">
        <f t="shared" si="0"/>
        <v>22.266666666666666</v>
      </c>
    </row>
    <row r="57" spans="1:5" x14ac:dyDescent="0.3">
      <c r="A57" s="160">
        <v>54</v>
      </c>
      <c r="B57" s="225" t="s">
        <v>416</v>
      </c>
      <c r="C57" s="198">
        <v>1</v>
      </c>
      <c r="D57" s="208">
        <v>28.376666666666665</v>
      </c>
      <c r="E57" s="199">
        <f t="shared" si="0"/>
        <v>28.376666666666665</v>
      </c>
    </row>
    <row r="58" spans="1:5" x14ac:dyDescent="0.3">
      <c r="A58" s="223">
        <v>55</v>
      </c>
      <c r="B58" s="225" t="s">
        <v>417</v>
      </c>
      <c r="C58" s="198">
        <v>1</v>
      </c>
      <c r="D58" s="208">
        <v>16.25</v>
      </c>
      <c r="E58" s="199">
        <f t="shared" si="0"/>
        <v>16.25</v>
      </c>
    </row>
    <row r="59" spans="1:5" x14ac:dyDescent="0.3">
      <c r="A59" s="160">
        <v>56</v>
      </c>
      <c r="B59" s="225" t="s">
        <v>418</v>
      </c>
      <c r="C59" s="198">
        <v>1</v>
      </c>
      <c r="D59" s="208">
        <v>20.513333333333335</v>
      </c>
      <c r="E59" s="199">
        <f t="shared" si="0"/>
        <v>20.513333333333335</v>
      </c>
    </row>
    <row r="60" spans="1:5" x14ac:dyDescent="0.3">
      <c r="A60" s="223">
        <v>57</v>
      </c>
      <c r="B60" s="225" t="s">
        <v>419</v>
      </c>
      <c r="C60" s="198">
        <v>1</v>
      </c>
      <c r="D60" s="208">
        <v>135.99666666666667</v>
      </c>
      <c r="E60" s="199">
        <f t="shared" si="0"/>
        <v>135.99666666666667</v>
      </c>
    </row>
    <row r="61" spans="1:5" x14ac:dyDescent="0.3">
      <c r="A61" s="160">
        <v>58</v>
      </c>
      <c r="B61" s="225" t="s">
        <v>420</v>
      </c>
      <c r="C61" s="198">
        <v>1</v>
      </c>
      <c r="D61" s="208">
        <v>213.03</v>
      </c>
      <c r="E61" s="199">
        <f t="shared" si="0"/>
        <v>213.03</v>
      </c>
    </row>
    <row r="62" spans="1:5" x14ac:dyDescent="0.3">
      <c r="A62" s="223">
        <v>59</v>
      </c>
      <c r="B62" s="225" t="s">
        <v>421</v>
      </c>
      <c r="C62" s="198">
        <v>1</v>
      </c>
      <c r="D62" s="208">
        <v>575.53000000000009</v>
      </c>
      <c r="E62" s="199">
        <f t="shared" si="0"/>
        <v>575.53000000000009</v>
      </c>
    </row>
    <row r="63" spans="1:5" x14ac:dyDescent="0.3">
      <c r="A63" s="160">
        <v>60</v>
      </c>
      <c r="B63" s="225" t="s">
        <v>422</v>
      </c>
      <c r="C63" s="198">
        <v>1</v>
      </c>
      <c r="D63" s="208">
        <v>3657.34</v>
      </c>
      <c r="E63" s="199">
        <f t="shared" si="0"/>
        <v>3657.34</v>
      </c>
    </row>
    <row r="64" spans="1:5" x14ac:dyDescent="0.3">
      <c r="A64" s="223">
        <v>61</v>
      </c>
      <c r="B64" s="225" t="s">
        <v>423</v>
      </c>
      <c r="C64" s="198">
        <v>1</v>
      </c>
      <c r="D64" s="208">
        <v>33.199999999999996</v>
      </c>
      <c r="E64" s="199">
        <f t="shared" si="0"/>
        <v>33.199999999999996</v>
      </c>
    </row>
    <row r="65" spans="1:5" x14ac:dyDescent="0.3">
      <c r="A65" s="160">
        <v>62</v>
      </c>
      <c r="B65" s="225" t="s">
        <v>424</v>
      </c>
      <c r="C65" s="198">
        <v>1</v>
      </c>
      <c r="D65" s="208">
        <v>74.766666666666666</v>
      </c>
      <c r="E65" s="199">
        <f t="shared" si="0"/>
        <v>74.766666666666666</v>
      </c>
    </row>
    <row r="66" spans="1:5" x14ac:dyDescent="0.3">
      <c r="A66" s="223">
        <v>63</v>
      </c>
      <c r="B66" s="225" t="s">
        <v>425</v>
      </c>
      <c r="C66" s="198">
        <v>1</v>
      </c>
      <c r="D66" s="208">
        <v>31.02</v>
      </c>
      <c r="E66" s="199">
        <f t="shared" si="0"/>
        <v>31.02</v>
      </c>
    </row>
    <row r="67" spans="1:5" x14ac:dyDescent="0.3">
      <c r="A67" s="160">
        <v>64</v>
      </c>
      <c r="B67" s="225" t="s">
        <v>426</v>
      </c>
      <c r="C67" s="198">
        <v>1</v>
      </c>
      <c r="D67" s="208">
        <v>392.08</v>
      </c>
      <c r="E67" s="199">
        <f t="shared" si="0"/>
        <v>392.08</v>
      </c>
    </row>
    <row r="68" spans="1:5" x14ac:dyDescent="0.3">
      <c r="A68" s="223">
        <v>65</v>
      </c>
      <c r="B68" s="225" t="s">
        <v>427</v>
      </c>
      <c r="C68" s="198">
        <v>1</v>
      </c>
      <c r="D68" s="208">
        <v>32.93333333333333</v>
      </c>
      <c r="E68" s="199">
        <f t="shared" ref="E68:E83" si="1">D68*C68</f>
        <v>32.93333333333333</v>
      </c>
    </row>
    <row r="69" spans="1:5" x14ac:dyDescent="0.3">
      <c r="A69" s="160">
        <v>66</v>
      </c>
      <c r="B69" s="225" t="s">
        <v>428</v>
      </c>
      <c r="C69" s="198">
        <v>1</v>
      </c>
      <c r="D69" s="208">
        <v>31.77</v>
      </c>
      <c r="E69" s="199">
        <f t="shared" si="1"/>
        <v>31.77</v>
      </c>
    </row>
    <row r="70" spans="1:5" x14ac:dyDescent="0.3">
      <c r="A70" s="223">
        <v>67</v>
      </c>
      <c r="B70" s="225" t="s">
        <v>429</v>
      </c>
      <c r="C70" s="198">
        <v>1</v>
      </c>
      <c r="D70" s="208">
        <v>300.22333333333336</v>
      </c>
      <c r="E70" s="199">
        <f t="shared" si="1"/>
        <v>300.22333333333336</v>
      </c>
    </row>
    <row r="71" spans="1:5" x14ac:dyDescent="0.3">
      <c r="A71" s="160">
        <v>68</v>
      </c>
      <c r="B71" s="225" t="s">
        <v>430</v>
      </c>
      <c r="C71" s="198">
        <v>1</v>
      </c>
      <c r="D71" s="208">
        <v>18.503333333333334</v>
      </c>
      <c r="E71" s="199">
        <f t="shared" si="1"/>
        <v>18.503333333333334</v>
      </c>
    </row>
    <row r="72" spans="1:5" x14ac:dyDescent="0.3">
      <c r="A72" s="223">
        <v>69</v>
      </c>
      <c r="B72" s="225" t="s">
        <v>431</v>
      </c>
      <c r="C72" s="198">
        <v>1</v>
      </c>
      <c r="D72" s="208">
        <v>31.05</v>
      </c>
      <c r="E72" s="199">
        <f t="shared" si="1"/>
        <v>31.05</v>
      </c>
    </row>
    <row r="73" spans="1:5" x14ac:dyDescent="0.3">
      <c r="A73" s="160">
        <v>70</v>
      </c>
      <c r="B73" s="225" t="s">
        <v>1048</v>
      </c>
      <c r="C73" s="198">
        <v>1</v>
      </c>
      <c r="D73" s="208">
        <v>784.35666666666668</v>
      </c>
      <c r="E73" s="199">
        <f t="shared" si="1"/>
        <v>784.35666666666668</v>
      </c>
    </row>
    <row r="74" spans="1:5" x14ac:dyDescent="0.3">
      <c r="A74" s="223">
        <v>71</v>
      </c>
      <c r="B74" s="225" t="s">
        <v>432</v>
      </c>
      <c r="C74" s="198">
        <v>1</v>
      </c>
      <c r="D74" s="208">
        <v>2979.6333333333332</v>
      </c>
      <c r="E74" s="199">
        <f t="shared" si="1"/>
        <v>2979.6333333333332</v>
      </c>
    </row>
    <row r="75" spans="1:5" x14ac:dyDescent="0.3">
      <c r="A75" s="160">
        <v>72</v>
      </c>
      <c r="B75" s="225" t="s">
        <v>433</v>
      </c>
      <c r="C75" s="198">
        <v>1</v>
      </c>
      <c r="D75" s="208">
        <v>20.423333333333332</v>
      </c>
      <c r="E75" s="199">
        <f t="shared" si="1"/>
        <v>20.423333333333332</v>
      </c>
    </row>
    <row r="76" spans="1:5" x14ac:dyDescent="0.3">
      <c r="A76" s="223">
        <v>73</v>
      </c>
      <c r="B76" s="225" t="s">
        <v>434</v>
      </c>
      <c r="C76" s="198">
        <v>1</v>
      </c>
      <c r="D76" s="208">
        <v>40.07</v>
      </c>
      <c r="E76" s="199">
        <f t="shared" si="1"/>
        <v>40.07</v>
      </c>
    </row>
    <row r="77" spans="1:5" x14ac:dyDescent="0.3">
      <c r="A77" s="160">
        <v>74</v>
      </c>
      <c r="B77" s="225" t="s">
        <v>435</v>
      </c>
      <c r="C77" s="198">
        <v>1</v>
      </c>
      <c r="D77" s="208">
        <v>38.123333333333335</v>
      </c>
      <c r="E77" s="199">
        <f t="shared" si="1"/>
        <v>38.123333333333335</v>
      </c>
    </row>
    <row r="78" spans="1:5" x14ac:dyDescent="0.3">
      <c r="A78" s="223">
        <v>75</v>
      </c>
      <c r="B78" s="225" t="s">
        <v>436</v>
      </c>
      <c r="C78" s="198">
        <v>1</v>
      </c>
      <c r="D78" s="208">
        <v>580.96333333333325</v>
      </c>
      <c r="E78" s="199">
        <f t="shared" si="1"/>
        <v>580.96333333333325</v>
      </c>
    </row>
    <row r="79" spans="1:5" x14ac:dyDescent="0.3">
      <c r="A79" s="160">
        <v>76</v>
      </c>
      <c r="B79" s="225" t="s">
        <v>437</v>
      </c>
      <c r="C79" s="198">
        <v>1</v>
      </c>
      <c r="D79" s="208">
        <v>19.28</v>
      </c>
      <c r="E79" s="199">
        <f t="shared" si="1"/>
        <v>19.28</v>
      </c>
    </row>
    <row r="80" spans="1:5" x14ac:dyDescent="0.3">
      <c r="A80" s="223">
        <v>77</v>
      </c>
      <c r="B80" s="225" t="s">
        <v>438</v>
      </c>
      <c r="C80" s="198">
        <v>1</v>
      </c>
      <c r="D80" s="208">
        <v>22.943333333333332</v>
      </c>
      <c r="E80" s="199">
        <f t="shared" si="1"/>
        <v>22.943333333333332</v>
      </c>
    </row>
    <row r="81" spans="1:5" x14ac:dyDescent="0.3">
      <c r="A81" s="160">
        <v>78</v>
      </c>
      <c r="B81" s="225" t="s">
        <v>439</v>
      </c>
      <c r="C81" s="198">
        <v>1</v>
      </c>
      <c r="D81" s="208">
        <v>12.286666666666667</v>
      </c>
      <c r="E81" s="199">
        <f t="shared" si="1"/>
        <v>12.286666666666667</v>
      </c>
    </row>
    <row r="82" spans="1:5" x14ac:dyDescent="0.3">
      <c r="A82" s="223">
        <v>79</v>
      </c>
      <c r="B82" s="225" t="s">
        <v>440</v>
      </c>
      <c r="C82" s="198">
        <v>1</v>
      </c>
      <c r="D82" s="208">
        <v>31.853333333333335</v>
      </c>
      <c r="E82" s="199">
        <f t="shared" si="1"/>
        <v>31.853333333333335</v>
      </c>
    </row>
    <row r="83" spans="1:5" x14ac:dyDescent="0.3">
      <c r="A83" s="160">
        <v>80</v>
      </c>
      <c r="B83" s="225" t="s">
        <v>441</v>
      </c>
      <c r="C83" s="198">
        <v>1</v>
      </c>
      <c r="D83" s="208">
        <v>55.31666666666667</v>
      </c>
      <c r="E83" s="199">
        <f t="shared" si="1"/>
        <v>55.31666666666667</v>
      </c>
    </row>
    <row r="84" spans="1:5" x14ac:dyDescent="0.3">
      <c r="A84" s="223">
        <v>81</v>
      </c>
      <c r="B84" s="225" t="s">
        <v>442</v>
      </c>
      <c r="C84" s="198">
        <v>1</v>
      </c>
      <c r="D84" s="208">
        <v>444.32666666666665</v>
      </c>
      <c r="E84" s="199">
        <f>D84*C84</f>
        <v>444.32666666666665</v>
      </c>
    </row>
    <row r="85" spans="1:5" x14ac:dyDescent="0.3">
      <c r="A85" s="160">
        <v>82</v>
      </c>
      <c r="B85" s="242" t="s">
        <v>443</v>
      </c>
      <c r="C85" s="243">
        <v>1</v>
      </c>
      <c r="D85" s="244">
        <v>1477.7833333333335</v>
      </c>
      <c r="E85" s="199">
        <f t="shared" ref="E85:E92" si="2">D85*C85</f>
        <v>1477.7833333333335</v>
      </c>
    </row>
    <row r="86" spans="1:5" x14ac:dyDescent="0.3">
      <c r="A86" s="223">
        <v>83</v>
      </c>
      <c r="B86" s="242" t="s">
        <v>1049</v>
      </c>
      <c r="C86" s="243">
        <v>1</v>
      </c>
      <c r="D86" s="244">
        <v>201.31999999999996</v>
      </c>
      <c r="E86" s="199">
        <f t="shared" si="2"/>
        <v>201.31999999999996</v>
      </c>
    </row>
    <row r="87" spans="1:5" x14ac:dyDescent="0.3">
      <c r="A87" s="160">
        <v>84</v>
      </c>
      <c r="B87" s="242" t="s">
        <v>1050</v>
      </c>
      <c r="C87" s="243">
        <v>1</v>
      </c>
      <c r="D87" s="244">
        <v>911.73</v>
      </c>
      <c r="E87" s="199">
        <f t="shared" si="2"/>
        <v>911.73</v>
      </c>
    </row>
    <row r="88" spans="1:5" x14ac:dyDescent="0.3">
      <c r="A88" s="223">
        <v>85</v>
      </c>
      <c r="B88" s="242" t="s">
        <v>1051</v>
      </c>
      <c r="C88" s="243">
        <v>1</v>
      </c>
      <c r="D88" s="244">
        <v>284.05666666666667</v>
      </c>
      <c r="E88" s="199">
        <f t="shared" si="2"/>
        <v>284.05666666666667</v>
      </c>
    </row>
    <row r="89" spans="1:5" x14ac:dyDescent="0.3">
      <c r="A89" s="160">
        <v>86</v>
      </c>
      <c r="B89" s="242" t="s">
        <v>1052</v>
      </c>
      <c r="C89" s="243">
        <v>1</v>
      </c>
      <c r="D89" s="244">
        <v>38.673333333333339</v>
      </c>
      <c r="E89" s="199">
        <f t="shared" si="2"/>
        <v>38.673333333333339</v>
      </c>
    </row>
    <row r="90" spans="1:5" x14ac:dyDescent="0.3">
      <c r="A90" s="223">
        <v>87</v>
      </c>
      <c r="B90" s="242" t="s">
        <v>1053</v>
      </c>
      <c r="C90" s="243">
        <v>1</v>
      </c>
      <c r="D90" s="244">
        <v>383.23666666666668</v>
      </c>
      <c r="E90" s="199">
        <f t="shared" si="2"/>
        <v>383.23666666666668</v>
      </c>
    </row>
    <row r="91" spans="1:5" x14ac:dyDescent="0.3">
      <c r="A91" s="160">
        <v>88</v>
      </c>
      <c r="B91" s="242" t="s">
        <v>1054</v>
      </c>
      <c r="C91" s="243">
        <v>1</v>
      </c>
      <c r="D91" s="244">
        <v>55.41</v>
      </c>
      <c r="E91" s="199">
        <f t="shared" si="2"/>
        <v>55.41</v>
      </c>
    </row>
    <row r="92" spans="1:5" x14ac:dyDescent="0.3">
      <c r="A92" s="223">
        <v>89</v>
      </c>
      <c r="B92" s="242" t="s">
        <v>1055</v>
      </c>
      <c r="C92" s="243">
        <v>1</v>
      </c>
      <c r="D92" s="244">
        <v>262.06</v>
      </c>
      <c r="E92" s="199">
        <f t="shared" si="2"/>
        <v>262.06</v>
      </c>
    </row>
    <row r="93" spans="1:5" x14ac:dyDescent="0.3">
      <c r="A93" s="349" t="s">
        <v>444</v>
      </c>
      <c r="B93" s="349"/>
      <c r="C93" s="349"/>
      <c r="D93" s="349"/>
      <c r="E93" s="202">
        <f>SUM(E4:E92)</f>
        <v>21180.03</v>
      </c>
    </row>
    <row r="94" spans="1:5" x14ac:dyDescent="0.3">
      <c r="A94" s="350" t="s">
        <v>445</v>
      </c>
      <c r="B94" s="350"/>
      <c r="C94" s="350"/>
      <c r="D94" s="350"/>
      <c r="E94" s="203">
        <f>E93*0.5%</f>
        <v>105.90015</v>
      </c>
    </row>
    <row r="95" spans="1:5" x14ac:dyDescent="0.3">
      <c r="A95" s="351" t="s">
        <v>446</v>
      </c>
      <c r="B95" s="351"/>
      <c r="C95" s="351"/>
      <c r="D95" s="204">
        <v>0.2</v>
      </c>
      <c r="E95" s="203">
        <f>D95*E93</f>
        <v>4236.0060000000003</v>
      </c>
    </row>
    <row r="96" spans="1:5" x14ac:dyDescent="0.3">
      <c r="A96" s="350" t="s">
        <v>447</v>
      </c>
      <c r="B96" s="350"/>
      <c r="C96" s="350"/>
      <c r="D96" s="350"/>
      <c r="E96" s="203">
        <f>((E93-E95)/8)/12</f>
        <v>176.50024999999997</v>
      </c>
    </row>
    <row r="97" spans="1:5" x14ac:dyDescent="0.3">
      <c r="A97" s="347" t="s">
        <v>448</v>
      </c>
      <c r="B97" s="347"/>
      <c r="C97" s="347"/>
      <c r="D97" s="347"/>
      <c r="E97" s="205">
        <f>E94+E96</f>
        <v>282.40039999999999</v>
      </c>
    </row>
    <row r="98" spans="1:5" x14ac:dyDescent="0.3">
      <c r="A98" s="342" t="s">
        <v>449</v>
      </c>
      <c r="B98" s="342"/>
      <c r="C98" s="342"/>
      <c r="D98" s="342"/>
      <c r="E98" s="206">
        <v>3</v>
      </c>
    </row>
    <row r="99" spans="1:5" x14ac:dyDescent="0.3">
      <c r="A99" s="343" t="s">
        <v>450</v>
      </c>
      <c r="B99" s="343"/>
      <c r="C99" s="343"/>
      <c r="D99" s="343"/>
      <c r="E99" s="207">
        <f>E97/E98</f>
        <v>94.133466666666664</v>
      </c>
    </row>
    <row r="100" spans="1:5" x14ac:dyDescent="0.3">
      <c r="A100" s="344" t="s">
        <v>451</v>
      </c>
      <c r="B100" s="344"/>
      <c r="C100" s="344"/>
      <c r="D100" s="344"/>
      <c r="E100" s="344"/>
    </row>
    <row r="101" spans="1:5" x14ac:dyDescent="0.3">
      <c r="A101" s="345" t="s">
        <v>452</v>
      </c>
      <c r="B101" s="345"/>
      <c r="C101" s="345"/>
      <c r="D101" s="345"/>
      <c r="E101" s="345"/>
    </row>
    <row r="102" spans="1:5" x14ac:dyDescent="0.3">
      <c r="A102" s="346"/>
      <c r="B102" s="346"/>
      <c r="C102" s="346"/>
      <c r="D102" s="346"/>
      <c r="E102" s="346"/>
    </row>
  </sheetData>
  <mergeCells count="11">
    <mergeCell ref="A97:D97"/>
    <mergeCell ref="A1:E1"/>
    <mergeCell ref="A93:D93"/>
    <mergeCell ref="A94:D94"/>
    <mergeCell ref="A95:C95"/>
    <mergeCell ref="A96:D96"/>
    <mergeCell ref="A98:D98"/>
    <mergeCell ref="A99:D99"/>
    <mergeCell ref="A100:E100"/>
    <mergeCell ref="A101:E101"/>
    <mergeCell ref="A102:E102"/>
  </mergeCells>
  <pageMargins left="0.51181102362204722" right="0.51181102362204722" top="0.78740157480314965" bottom="0.78740157480314965" header="0.31496062992125984" footer="0.31496062992125984"/>
  <pageSetup paperSize="9" scale="8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11</vt:i4>
      </vt:variant>
    </vt:vector>
  </HeadingPairs>
  <TitlesOfParts>
    <vt:vector size="25" baseType="lpstr">
      <vt:lpstr>Pesquisa de preço</vt:lpstr>
      <vt:lpstr>Orçamento Estimado</vt:lpstr>
      <vt:lpstr>Eletricista</vt:lpstr>
      <vt:lpstr>Of. Manut.</vt:lpstr>
      <vt:lpstr>Mec. Refrig.</vt:lpstr>
      <vt:lpstr>Engenheiro Eletricista</vt:lpstr>
      <vt:lpstr>Eng. Mec.</vt:lpstr>
      <vt:lpstr>Valor Ref. Manut. AC</vt:lpstr>
      <vt:lpstr>Equip. Ferram.</vt:lpstr>
      <vt:lpstr>Uniformes</vt:lpstr>
      <vt:lpstr>BDI</vt:lpstr>
      <vt:lpstr>Mat. Repos.</vt:lpstr>
      <vt:lpstr>Serv. Eventuais</vt:lpstr>
      <vt:lpstr>Valores Referenciais</vt:lpstr>
      <vt:lpstr>BDI!Area_de_impressao</vt:lpstr>
      <vt:lpstr>Eletricista!Area_de_impressao</vt:lpstr>
      <vt:lpstr>'Eng. Mec.'!Area_de_impressao</vt:lpstr>
      <vt:lpstr>'Engenheiro Eletricista'!Area_de_impressao</vt:lpstr>
      <vt:lpstr>'Equip. Ferram.'!Area_de_impressao</vt:lpstr>
      <vt:lpstr>'Mat. Repos.'!Area_de_impressao</vt:lpstr>
      <vt:lpstr>'Mec. Refrig.'!Area_de_impressao</vt:lpstr>
      <vt:lpstr>'Of. Manut.'!Area_de_impressao</vt:lpstr>
      <vt:lpstr>'Orçamento Estimado'!Area_de_impressao</vt:lpstr>
      <vt:lpstr>'Serv. Eventuais'!Area_de_impressao</vt:lpstr>
      <vt:lpstr>Uniformes!Area_de_impressao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gisele.oliveira</dc:creator>
  <cp:keywords/>
  <dc:description/>
  <cp:lastModifiedBy>Milton Uemura</cp:lastModifiedBy>
  <cp:revision/>
  <cp:lastPrinted>2022-05-24T13:21:58Z</cp:lastPrinted>
  <dcterms:created xsi:type="dcterms:W3CDTF">2011-07-13T17:15:58Z</dcterms:created>
  <dcterms:modified xsi:type="dcterms:W3CDTF">2022-05-26T17:15:14Z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d1718231-e157-4ccc-b6cf-0c2338374c07</vt:lpwstr>
  </property>
</Properties>
</file>