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bruno.fiorillo\Desktop\Manutenção predial Recife\Edital\"/>
    </mc:Choice>
  </mc:AlternateContent>
  <xr:revisionPtr revIDLastSave="0" documentId="13_ncr:1_{5627E9CF-9742-46DC-86AA-139881816478}" xr6:coauthVersionLast="41" xr6:coauthVersionMax="41" xr10:uidLastSave="{00000000-0000-0000-0000-000000000000}"/>
  <bookViews>
    <workbookView xWindow="-20520" yWindow="2355" windowWidth="20640" windowHeight="11160" tabRatio="862" xr2:uid="{00000000-000D-0000-FFFF-FFFF00000000}"/>
  </bookViews>
  <sheets>
    <sheet name="Anexo B - Orçamento Estimado" sheetId="7" r:id="rId1"/>
    <sheet name="Artifice" sheetId="38" r:id="rId2"/>
    <sheet name="Téc. Eletricista" sheetId="39" r:id="rId3"/>
    <sheet name="Téc. Refrigeração" sheetId="40" r:id="rId4"/>
    <sheet name="Anexo BI - Custo MOB" sheetId="8" r:id="rId5"/>
    <sheet name="Anexo BII - Equip. e Ferramenta" sheetId="4" r:id="rId6"/>
    <sheet name="Anexo BIII - Uniforme" sheetId="5" r:id="rId7"/>
    <sheet name="Anexo BIV - Composição BDI" sheetId="29" r:id="rId8"/>
    <sheet name="Anexo BV - Materiais reposição" sheetId="36" r:id="rId9"/>
    <sheet name="Anexo BVI - Serviços Eventuais" sheetId="34" r:id="rId10"/>
    <sheet name="Anexo BVII - Comp. Serv. Eventu" sheetId="3" r:id="rId11"/>
    <sheet name="Mat Serv Eventuais" sheetId="33" r:id="rId12"/>
    <sheet name="Pesq Serv Eventuais" sheetId="35" r:id="rId13"/>
  </sheets>
  <externalReferences>
    <externalReference r:id="rId14"/>
  </externalReferences>
  <definedNames>
    <definedName name="_xlnm.Print_Area" localSheetId="0">'Anexo B - Orçamento Estimado'!$A$2:$G$18</definedName>
    <definedName name="_xlnm.Print_Area" localSheetId="4">'Anexo BI - Custo MOB'!$A$1:$F$10</definedName>
    <definedName name="_xlnm.Print_Area" localSheetId="5">'Anexo BII - Equip. e Ferramenta'!$A$1:$E$56</definedName>
    <definedName name="_xlnm.Print_Area" localSheetId="6">'Anexo BIII - Uniforme'!$A$1:$F$31</definedName>
    <definedName name="_xlnm.Print_Area" localSheetId="7">'Anexo BIV - Composição BDI'!$A$1:$C$28</definedName>
    <definedName name="_xlnm.Print_Area" localSheetId="9">'Anexo BVI - Serviços Eventuais'!$A$1:$J$44</definedName>
    <definedName name="_xlnm.Print_Area" localSheetId="10">'Anexo BVII - Comp. Serv. Eventu'!$A$1:$M$305</definedName>
    <definedName name="_xlnm.Print_Area" localSheetId="1">Artifice!$A$1:$F$146</definedName>
    <definedName name="_xlnm.Print_Area" localSheetId="2">'Téc. Eletricista'!$A$1:$F$146</definedName>
    <definedName name="_xlnm.Print_Area" localSheetId="3">'Téc. Refrigeração'!$A$1:$F$146</definedName>
    <definedName name="CART" localSheetId="8">#REF!</definedName>
    <definedName name="CART" localSheetId="2">#REF!</definedName>
    <definedName name="CART">#REF!</definedName>
    <definedName name="CTART" localSheetId="8">#REF!</definedName>
    <definedName name="CTART" localSheetId="2">#REF!</definedName>
    <definedName name="CTART">#REF!</definedName>
    <definedName name="CTENG">'[1]REP3 Eng.'!$D$7</definedName>
    <definedName name="CTTEL">'[1]REP3 Téc. Eletric.'!$D$7</definedName>
    <definedName name="CTTHI">'[1]REP3 Téc. Hidro.'!$D$6</definedName>
    <definedName name="CTTRF">'[1]REP3 Téc. Refrig.'!$D$6</definedName>
    <definedName name="msgr2c" localSheetId="8">#REF!</definedName>
    <definedName name="msgr2c" localSheetId="2">#REF!</definedName>
    <definedName name="msgr2c">#REF!</definedName>
    <definedName name="msgr2S" localSheetId="8">#REF!</definedName>
    <definedName name="msgr2S" localSheetId="2">#REF!</definedName>
    <definedName name="msgr2S">#REF!</definedName>
    <definedName name="RP1CART" localSheetId="8">#REF!</definedName>
    <definedName name="RP1CART" localSheetId="2">#REF!</definedName>
    <definedName name="RP1CART">#REF!</definedName>
    <definedName name="rp1ceng">'[1]REP3 Eng.'!$J$7</definedName>
    <definedName name="rp1ctel">'[1]REP3 Téc. Eletric.'!$J$7</definedName>
    <definedName name="RP1CTHI">'[1]REP3 Téc. Hidro.'!$J$6</definedName>
    <definedName name="rp1ctrf">'[1]REP3 Téc. Refrig.'!$J$6</definedName>
    <definedName name="RP1SART" localSheetId="8">#REF!</definedName>
    <definedName name="RP1SART" localSheetId="2">#REF!</definedName>
    <definedName name="RP1SART">#REF!</definedName>
    <definedName name="RP1SENG">'[1]REP3 Eng.'!$H$7</definedName>
    <definedName name="rp1stel">'[1]REP3 Téc. Eletric.'!$H$7</definedName>
    <definedName name="RP1STHI">'[1]REP3 Téc. Hidro.'!$H$6</definedName>
    <definedName name="rp1strf">'[1]REP3 Téc. Refrig.'!$H$6</definedName>
    <definedName name="RP2CART" localSheetId="8">#REF!</definedName>
    <definedName name="RP2CART" localSheetId="2">#REF!</definedName>
    <definedName name="RP2CART">#REF!</definedName>
    <definedName name="rp2ceng">'[1]REP3 Eng.'!$P$7</definedName>
    <definedName name="rp2ctel">'[1]REP3 Téc. Eletric.'!$P$7</definedName>
    <definedName name="RP2CTHI">'[1]REP3 Téc. Hidro.'!$P$6</definedName>
    <definedName name="rp2ctrf">'[1]REP3 Téc. Refrig.'!$P$6</definedName>
    <definedName name="RP2SART" localSheetId="8">#REF!</definedName>
    <definedName name="RP2SART" localSheetId="2">#REF!</definedName>
    <definedName name="RP2SART">#REF!</definedName>
    <definedName name="RP2SENG" localSheetId="8">#REF!</definedName>
    <definedName name="RP2SENG" localSheetId="2">#REF!</definedName>
    <definedName name="RP2SENG">#REF!</definedName>
    <definedName name="rp2stel">'[1]REP3 Téc. Eletric.'!$N$7</definedName>
    <definedName name="RP2STHI">'[1]REP3 Téc. Hidro.'!$N$6</definedName>
    <definedName name="rp2strf">'[1]REP3 Téc. Refrig.'!$N$6</definedName>
    <definedName name="RP3CART" localSheetId="8">#REF!</definedName>
    <definedName name="RP3CART" localSheetId="2">#REF!</definedName>
    <definedName name="RP3CART">#REF!</definedName>
    <definedName name="rp3ceng">'[1]REP3 Eng.'!$T$7</definedName>
    <definedName name="rp3ctel">'[1]REP3 Téc. Eletric.'!$V$7</definedName>
    <definedName name="RP3CTHI">'[1]REP3 Téc. Hidro.'!$V$6</definedName>
    <definedName name="rp3ctrf">'[1]REP3 Téc. Refrig.'!$V$6</definedName>
    <definedName name="RP3SART" localSheetId="8">#REF!</definedName>
    <definedName name="RP3SART" localSheetId="2">#REF!</definedName>
    <definedName name="RP3SART">#REF!</definedName>
    <definedName name="rp3seng">'[1]REP3 Eng.'!$R$7</definedName>
    <definedName name="rp3stel">'[1]REP3 Téc. Eletric.'!$R$7</definedName>
    <definedName name="RP3STHI">'[1]REP3 Téc. Hidro.'!$R$5</definedName>
    <definedName name="rp3strf">'[1]REP3 Téc. Refrig.'!$R$6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40" l="1"/>
  <c r="E93" i="40"/>
  <c r="E92" i="40"/>
  <c r="E91" i="40"/>
  <c r="E90" i="40"/>
  <c r="E67" i="40" l="1"/>
  <c r="E94" i="39"/>
  <c r="E93" i="39"/>
  <c r="E92" i="39"/>
  <c r="E91" i="39"/>
  <c r="E90" i="39"/>
  <c r="F95" i="39" s="1"/>
  <c r="F69" i="39"/>
  <c r="E67" i="39"/>
  <c r="E94" i="38"/>
  <c r="E93" i="38"/>
  <c r="E92" i="38"/>
  <c r="E91" i="38"/>
  <c r="E90" i="38"/>
  <c r="E96" i="38" s="1"/>
  <c r="F52" i="40" l="1"/>
  <c r="D50" i="40" l="1"/>
  <c r="D50" i="39"/>
  <c r="D50" i="38"/>
  <c r="D126" i="40"/>
  <c r="D128" i="40"/>
  <c r="F128" i="40" s="1"/>
  <c r="D128" i="39" l="1"/>
  <c r="F128" i="39" s="1"/>
  <c r="D126" i="39" l="1"/>
  <c r="D128" i="38" l="1"/>
  <c r="F128" i="38" s="1"/>
  <c r="D126" i="38"/>
  <c r="F49" i="40"/>
  <c r="F49" i="39"/>
  <c r="F49" i="38"/>
  <c r="E96" i="40" l="1"/>
  <c r="F52" i="39" l="1"/>
  <c r="F52" i="38"/>
  <c r="F17" i="39"/>
  <c r="F101" i="40" l="1"/>
  <c r="F76" i="40"/>
  <c r="F50" i="40"/>
  <c r="F53" i="40" s="1"/>
  <c r="F61" i="40" s="1"/>
  <c r="E42" i="40"/>
  <c r="E70" i="40" s="1"/>
  <c r="E27" i="40"/>
  <c r="F16" i="40"/>
  <c r="F22" i="40" s="1"/>
  <c r="F89" i="40" l="1"/>
  <c r="F71" i="40"/>
  <c r="F69" i="40"/>
  <c r="F68" i="40"/>
  <c r="F66" i="40"/>
  <c r="F67" i="40"/>
  <c r="F70" i="40"/>
  <c r="E72" i="40"/>
  <c r="E81" i="40"/>
  <c r="F27" i="40"/>
  <c r="F106" i="40"/>
  <c r="F139" i="40"/>
  <c r="F28" i="40"/>
  <c r="F34" i="40"/>
  <c r="F94" i="40" l="1"/>
  <c r="F93" i="40"/>
  <c r="F92" i="40"/>
  <c r="F91" i="40"/>
  <c r="F90" i="40"/>
  <c r="F29" i="40"/>
  <c r="F59" i="40" s="1"/>
  <c r="F96" i="40" l="1"/>
  <c r="D82" i="40"/>
  <c r="F82" i="40" s="1"/>
  <c r="D79" i="40"/>
  <c r="F79" i="40" s="1"/>
  <c r="D83" i="40"/>
  <c r="F83" i="40" s="1"/>
  <c r="F33" i="40"/>
  <c r="F40" i="40" l="1"/>
  <c r="F38" i="40"/>
  <c r="F36" i="40"/>
  <c r="F41" i="40"/>
  <c r="F39" i="40"/>
  <c r="F37" i="40"/>
  <c r="F35" i="40"/>
  <c r="F42" i="40" l="1"/>
  <c r="F60" i="40" s="1"/>
  <c r="F62" i="40" s="1"/>
  <c r="D77" i="40"/>
  <c r="D80" i="40" l="1"/>
  <c r="F80" i="40" s="1"/>
  <c r="F81" i="40" s="1"/>
  <c r="F140" i="40"/>
  <c r="F77" i="40"/>
  <c r="G77" i="40"/>
  <c r="F72" i="40" l="1"/>
  <c r="D78" i="40"/>
  <c r="F78" i="40" s="1"/>
  <c r="F84" i="40" s="1"/>
  <c r="F141" i="40" l="1"/>
  <c r="F101" i="39"/>
  <c r="E96" i="39"/>
  <c r="F76" i="39"/>
  <c r="F50" i="39"/>
  <c r="F53" i="39" s="1"/>
  <c r="F61" i="39" s="1"/>
  <c r="E42" i="39"/>
  <c r="E70" i="39" s="1"/>
  <c r="E27" i="39"/>
  <c r="F16" i="39"/>
  <c r="F22" i="39" s="1"/>
  <c r="F70" i="39" l="1"/>
  <c r="E72" i="39"/>
  <c r="F68" i="39"/>
  <c r="F89" i="39"/>
  <c r="F71" i="39"/>
  <c r="F66" i="39"/>
  <c r="F67" i="39"/>
  <c r="F105" i="40"/>
  <c r="F107" i="40" s="1"/>
  <c r="F142" i="40" s="1"/>
  <c r="E81" i="39"/>
  <c r="F27" i="39"/>
  <c r="F106" i="39"/>
  <c r="F139" i="39"/>
  <c r="F28" i="39"/>
  <c r="F34" i="39"/>
  <c r="F91" i="39" l="1"/>
  <c r="F92" i="39"/>
  <c r="F94" i="39"/>
  <c r="F93" i="39"/>
  <c r="F90" i="39"/>
  <c r="F29" i="39"/>
  <c r="D82" i="39" s="1"/>
  <c r="F82" i="39" s="1"/>
  <c r="F59" i="39" l="1"/>
  <c r="D83" i="39"/>
  <c r="F83" i="39" s="1"/>
  <c r="F33" i="39"/>
  <c r="D79" i="39"/>
  <c r="F79" i="39" s="1"/>
  <c r="F41" i="39" l="1"/>
  <c r="F39" i="39"/>
  <c r="F37" i="39"/>
  <c r="F35" i="39"/>
  <c r="F40" i="39"/>
  <c r="F38" i="39"/>
  <c r="F36" i="39"/>
  <c r="F42" i="39" l="1"/>
  <c r="F60" i="39" s="1"/>
  <c r="F62" i="39" s="1"/>
  <c r="D77" i="39"/>
  <c r="G77" i="39" l="1"/>
  <c r="F77" i="39"/>
  <c r="F140" i="39"/>
  <c r="D80" i="39"/>
  <c r="F80" i="39" s="1"/>
  <c r="F81" i="39" s="1"/>
  <c r="F72" i="39" l="1"/>
  <c r="D78" i="39"/>
  <c r="F78" i="39" s="1"/>
  <c r="F84" i="39" s="1"/>
  <c r="F141" i="39" l="1"/>
  <c r="F101" i="38"/>
  <c r="F76" i="38"/>
  <c r="E67" i="38"/>
  <c r="F50" i="38"/>
  <c r="F53" i="38" s="1"/>
  <c r="F61" i="38" s="1"/>
  <c r="E42" i="38"/>
  <c r="E70" i="38" s="1"/>
  <c r="F70" i="38" s="1"/>
  <c r="E27" i="38"/>
  <c r="F16" i="38"/>
  <c r="F22" i="38" s="1"/>
  <c r="F69" i="38" l="1"/>
  <c r="F71" i="38"/>
  <c r="F89" i="38"/>
  <c r="F66" i="38"/>
  <c r="F67" i="38"/>
  <c r="E72" i="38"/>
  <c r="E81" i="38"/>
  <c r="F27" i="38"/>
  <c r="F106" i="38"/>
  <c r="F139" i="38"/>
  <c r="F28" i="38"/>
  <c r="F92" i="38" l="1"/>
  <c r="F94" i="38"/>
  <c r="F91" i="38"/>
  <c r="F93" i="38"/>
  <c r="F90" i="38"/>
  <c r="F96" i="39"/>
  <c r="F105" i="39" s="1"/>
  <c r="F107" i="39" s="1"/>
  <c r="F29" i="38"/>
  <c r="F33" i="38" l="1"/>
  <c r="F37" i="38" s="1"/>
  <c r="D83" i="38"/>
  <c r="F83" i="38" s="1"/>
  <c r="D82" i="38"/>
  <c r="F82" i="38" s="1"/>
  <c r="F142" i="39"/>
  <c r="D79" i="38"/>
  <c r="F79" i="38" s="1"/>
  <c r="F59" i="38"/>
  <c r="F41" i="38"/>
  <c r="D77" i="38" s="1"/>
  <c r="F35" i="38"/>
  <c r="F40" i="38"/>
  <c r="F38" i="38"/>
  <c r="F34" i="38"/>
  <c r="F36" i="38" l="1"/>
  <c r="F42" i="38" s="1"/>
  <c r="F60" i="38" s="1"/>
  <c r="F62" i="38" s="1"/>
  <c r="F39" i="38"/>
  <c r="F77" i="38"/>
  <c r="G77" i="38"/>
  <c r="D78" i="38"/>
  <c r="F78" i="38" s="1"/>
  <c r="F140" i="38" l="1"/>
  <c r="D80" i="38"/>
  <c r="F80" i="38" s="1"/>
  <c r="F81" i="38" s="1"/>
  <c r="F84" i="38" l="1"/>
  <c r="F72" i="38" l="1"/>
  <c r="F141" i="38" l="1"/>
  <c r="F96" i="38" l="1"/>
  <c r="F105" i="38" s="1"/>
  <c r="F107" i="38" s="1"/>
  <c r="F142" i="38" s="1"/>
  <c r="G268" i="36" l="1"/>
  <c r="G269" i="36"/>
  <c r="G270" i="36"/>
  <c r="G271" i="36"/>
  <c r="G272" i="36"/>
  <c r="G273" i="36"/>
  <c r="G274" i="36"/>
  <c r="G275" i="36"/>
  <c r="G276" i="36"/>
  <c r="G253" i="36" l="1"/>
  <c r="G98" i="36" l="1"/>
  <c r="G100" i="36"/>
  <c r="G99" i="36" l="1"/>
  <c r="E299" i="3" l="1"/>
  <c r="B15" i="5"/>
  <c r="B18" i="5"/>
  <c r="B22" i="5" l="1"/>
  <c r="G177" i="36" l="1"/>
  <c r="E39" i="34" l="1"/>
  <c r="E6" i="34"/>
  <c r="E13" i="34"/>
  <c r="G147" i="36" l="1"/>
  <c r="G173" i="36" l="1"/>
  <c r="G168" i="36" l="1"/>
  <c r="G167" i="36"/>
  <c r="G28" i="36" l="1"/>
  <c r="G257" i="36" l="1"/>
  <c r="G256" i="36"/>
  <c r="G251" i="36"/>
  <c r="G250" i="36"/>
  <c r="G249" i="36"/>
  <c r="G248" i="36"/>
  <c r="G247" i="36"/>
  <c r="G246" i="36"/>
  <c r="G245" i="36"/>
  <c r="G244" i="36"/>
  <c r="G243" i="36"/>
  <c r="G242" i="36"/>
  <c r="G241" i="36"/>
  <c r="G238" i="36"/>
  <c r="G237" i="36"/>
  <c r="G236" i="36"/>
  <c r="G235" i="36"/>
  <c r="G234" i="36"/>
  <c r="G233" i="36"/>
  <c r="G232" i="36"/>
  <c r="G231" i="36"/>
  <c r="G230" i="36"/>
  <c r="G229" i="36"/>
  <c r="G228" i="36"/>
  <c r="G227" i="36"/>
  <c r="G225" i="36"/>
  <c r="G224" i="36"/>
  <c r="G223" i="36"/>
  <c r="G222" i="36"/>
  <c r="G221" i="36"/>
  <c r="G220" i="36"/>
  <c r="G219" i="36"/>
  <c r="G218" i="36"/>
  <c r="G217" i="36"/>
  <c r="G216" i="36"/>
  <c r="G215" i="36"/>
  <c r="G212" i="36"/>
  <c r="G210" i="36"/>
  <c r="G209" i="36"/>
  <c r="G206" i="36"/>
  <c r="G205" i="36"/>
  <c r="G204" i="36"/>
  <c r="E203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79" i="36"/>
  <c r="G178" i="36"/>
  <c r="G176" i="36"/>
  <c r="G175" i="36"/>
  <c r="G174" i="36"/>
  <c r="G172" i="36"/>
  <c r="G171" i="36"/>
  <c r="G170" i="36"/>
  <c r="G169" i="36"/>
  <c r="G166" i="36"/>
  <c r="G165" i="36"/>
  <c r="G164" i="36"/>
  <c r="G163" i="36"/>
  <c r="G162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6" i="36"/>
  <c r="G145" i="36"/>
  <c r="G144" i="36"/>
  <c r="G143" i="36"/>
  <c r="G142" i="36"/>
  <c r="E141" i="36"/>
  <c r="G141" i="36" s="1"/>
  <c r="G140" i="36"/>
  <c r="G139" i="36"/>
  <c r="G138" i="36"/>
  <c r="E137" i="36"/>
  <c r="G137" i="36" s="1"/>
  <c r="G136" i="36"/>
  <c r="G135" i="36"/>
  <c r="G134" i="36"/>
  <c r="G133" i="36"/>
  <c r="G132" i="36"/>
  <c r="G131" i="36"/>
  <c r="G130" i="36"/>
  <c r="G129" i="36"/>
  <c r="G127" i="36"/>
  <c r="G126" i="36"/>
  <c r="G124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E109" i="36"/>
  <c r="G109" i="36" s="1"/>
  <c r="E108" i="36"/>
  <c r="G107" i="36"/>
  <c r="G106" i="36"/>
  <c r="G105" i="36"/>
  <c r="G104" i="36"/>
  <c r="G103" i="36"/>
  <c r="G102" i="36"/>
  <c r="G101" i="36"/>
  <c r="G97" i="36"/>
  <c r="G96" i="36"/>
  <c r="G95" i="36"/>
  <c r="G94" i="36"/>
  <c r="G93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E79" i="36"/>
  <c r="G79" i="36" s="1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7" i="36"/>
  <c r="G56" i="36"/>
  <c r="G55" i="36"/>
  <c r="G54" i="36"/>
  <c r="G53" i="36"/>
  <c r="G52" i="36"/>
  <c r="G51" i="36"/>
  <c r="G50" i="36"/>
  <c r="E49" i="36"/>
  <c r="G49" i="36" s="1"/>
  <c r="E47" i="36"/>
  <c r="G47" i="36" s="1"/>
  <c r="G46" i="36"/>
  <c r="G45" i="36"/>
  <c r="G44" i="36"/>
  <c r="G43" i="36"/>
  <c r="G42" i="36"/>
  <c r="G41" i="36"/>
  <c r="E40" i="36"/>
  <c r="G40" i="36" s="1"/>
  <c r="G39" i="36"/>
  <c r="G38" i="36"/>
  <c r="G37" i="36"/>
  <c r="G36" i="36"/>
  <c r="G35" i="36"/>
  <c r="G34" i="36"/>
  <c r="G33" i="36"/>
  <c r="G32" i="36"/>
  <c r="G31" i="36"/>
  <c r="G30" i="36"/>
  <c r="G29" i="36"/>
  <c r="E26" i="36"/>
  <c r="G26" i="36" s="1"/>
  <c r="E25" i="36"/>
  <c r="G24" i="36"/>
  <c r="G23" i="36"/>
  <c r="G22" i="36"/>
  <c r="E21" i="36"/>
  <c r="G21" i="36" s="1"/>
  <c r="G20" i="36"/>
  <c r="G19" i="36"/>
  <c r="G18" i="36"/>
  <c r="G17" i="36"/>
  <c r="G16" i="36"/>
  <c r="G15" i="36"/>
  <c r="G14" i="36"/>
  <c r="G12" i="36"/>
  <c r="G11" i="36"/>
  <c r="G10" i="36"/>
  <c r="G9" i="36"/>
  <c r="G8" i="36"/>
  <c r="G7" i="36"/>
  <c r="G6" i="36"/>
  <c r="E5" i="36"/>
  <c r="G4" i="36"/>
  <c r="G259" i="36" l="1"/>
  <c r="G267" i="36"/>
  <c r="G260" i="36"/>
  <c r="G261" i="36"/>
  <c r="G264" i="36"/>
  <c r="G266" i="36"/>
  <c r="G258" i="36"/>
  <c r="G262" i="36"/>
  <c r="G208" i="36"/>
  <c r="G226" i="36"/>
  <c r="G125" i="36"/>
  <c r="G240" i="36"/>
  <c r="G265" i="36"/>
  <c r="G201" i="36"/>
  <c r="G203" i="36"/>
  <c r="G128" i="36"/>
  <c r="G161" i="36"/>
  <c r="G213" i="36"/>
  <c r="G263" i="36"/>
  <c r="G108" i="36"/>
  <c r="G202" i="36"/>
  <c r="G211" i="36"/>
  <c r="G48" i="36"/>
  <c r="G207" i="36"/>
  <c r="G214" i="36"/>
  <c r="G239" i="36"/>
  <c r="G255" i="36"/>
  <c r="G5" i="36"/>
  <c r="G25" i="36"/>
  <c r="G58" i="36"/>
  <c r="G27" i="36"/>
  <c r="G277" i="36" l="1"/>
  <c r="G278" i="36" s="1"/>
  <c r="G279" i="36" s="1"/>
  <c r="G280" i="36" l="1"/>
  <c r="D9" i="7" s="1"/>
  <c r="C9" i="7" s="1"/>
  <c r="E31" i="4" l="1"/>
  <c r="L289" i="3" l="1"/>
  <c r="E289" i="3"/>
  <c r="G29" i="34" l="1"/>
  <c r="E29" i="34"/>
  <c r="E38" i="34"/>
  <c r="G38" i="34"/>
  <c r="G12" i="34"/>
  <c r="E12" i="34"/>
  <c r="E35" i="34"/>
  <c r="G35" i="34"/>
  <c r="G11" i="34"/>
  <c r="E11" i="34"/>
  <c r="E5" i="34"/>
  <c r="G5" i="34"/>
  <c r="G36" i="34"/>
  <c r="E36" i="34"/>
  <c r="E4" i="34"/>
  <c r="G4" i="34"/>
  <c r="E28" i="34"/>
  <c r="G28" i="34"/>
  <c r="E37" i="34"/>
  <c r="G37" i="34"/>
  <c r="G13" i="34" l="1"/>
  <c r="G6" i="34"/>
  <c r="H5" i="34" l="1"/>
  <c r="H6" i="34"/>
  <c r="H11" i="34"/>
  <c r="H12" i="34"/>
  <c r="H13" i="34"/>
  <c r="H28" i="34"/>
  <c r="H29" i="34"/>
  <c r="H35" i="34"/>
  <c r="H36" i="34"/>
  <c r="H37" i="34"/>
  <c r="H38" i="34"/>
  <c r="H39" i="34"/>
  <c r="H4" i="34"/>
  <c r="F5" i="34"/>
  <c r="F6" i="34"/>
  <c r="F11" i="34"/>
  <c r="F12" i="34"/>
  <c r="F13" i="34"/>
  <c r="F28" i="34"/>
  <c r="F29" i="34"/>
  <c r="F35" i="34"/>
  <c r="F36" i="34"/>
  <c r="F37" i="34"/>
  <c r="F38" i="34"/>
  <c r="F39" i="34"/>
  <c r="F4" i="34"/>
  <c r="L300" i="3" l="1"/>
  <c r="M300" i="3" s="1"/>
  <c r="L296" i="3"/>
  <c r="M296" i="3" s="1"/>
  <c r="L295" i="3"/>
  <c r="L288" i="3"/>
  <c r="M288" i="3" s="1"/>
  <c r="L285" i="3"/>
  <c r="M285" i="3" s="1"/>
  <c r="L284" i="3"/>
  <c r="M284" i="3" s="1"/>
  <c r="L276" i="3"/>
  <c r="M276" i="3" s="1"/>
  <c r="L273" i="3"/>
  <c r="M273" i="3" s="1"/>
  <c r="L272" i="3"/>
  <c r="M272" i="3" s="1"/>
  <c r="L266" i="3"/>
  <c r="M266" i="3" s="1"/>
  <c r="L267" i="3" s="1"/>
  <c r="L263" i="3"/>
  <c r="M263" i="3" s="1"/>
  <c r="L262" i="3"/>
  <c r="M262" i="3" s="1"/>
  <c r="L256" i="3"/>
  <c r="L249" i="3"/>
  <c r="M249" i="3" s="1"/>
  <c r="L248" i="3"/>
  <c r="M248" i="3" s="1"/>
  <c r="L247" i="3"/>
  <c r="M247" i="3" s="1"/>
  <c r="L246" i="3"/>
  <c r="M246" i="3" s="1"/>
  <c r="L243" i="3"/>
  <c r="M243" i="3" s="1"/>
  <c r="L242" i="3"/>
  <c r="M242" i="3" s="1"/>
  <c r="L235" i="3"/>
  <c r="M235" i="3" s="1"/>
  <c r="L236" i="3" s="1"/>
  <c r="L232" i="3"/>
  <c r="M232" i="3" s="1"/>
  <c r="L231" i="3"/>
  <c r="M231" i="3" s="1"/>
  <c r="L224" i="3"/>
  <c r="M224" i="3" s="1"/>
  <c r="L223" i="3"/>
  <c r="M223" i="3" s="1"/>
  <c r="L222" i="3"/>
  <c r="M222" i="3" s="1"/>
  <c r="L221" i="3"/>
  <c r="M221" i="3" s="1"/>
  <c r="L218" i="3"/>
  <c r="M218" i="3" s="1"/>
  <c r="L217" i="3"/>
  <c r="M217" i="3" s="1"/>
  <c r="L211" i="3"/>
  <c r="M211" i="3" s="1"/>
  <c r="L210" i="3"/>
  <c r="M210" i="3" s="1"/>
  <c r="L209" i="3"/>
  <c r="M209" i="3" s="1"/>
  <c r="L208" i="3"/>
  <c r="M208" i="3" s="1"/>
  <c r="L205" i="3"/>
  <c r="M205" i="3" s="1"/>
  <c r="L204" i="3"/>
  <c r="M204" i="3" s="1"/>
  <c r="L198" i="3"/>
  <c r="M198" i="3" s="1"/>
  <c r="L197" i="3"/>
  <c r="M197" i="3" s="1"/>
  <c r="L196" i="3"/>
  <c r="M196" i="3" s="1"/>
  <c r="L193" i="3"/>
  <c r="M193" i="3" s="1"/>
  <c r="L192" i="3"/>
  <c r="M192" i="3" s="1"/>
  <c r="L186" i="3"/>
  <c r="M186" i="3" s="1"/>
  <c r="L185" i="3"/>
  <c r="M185" i="3" s="1"/>
  <c r="L184" i="3"/>
  <c r="M184" i="3" s="1"/>
  <c r="L181" i="3"/>
  <c r="M181" i="3" s="1"/>
  <c r="L180" i="3"/>
  <c r="M180" i="3" s="1"/>
  <c r="L172" i="3"/>
  <c r="M172" i="3" s="1"/>
  <c r="L173" i="3" s="1"/>
  <c r="L169" i="3"/>
  <c r="M169" i="3" s="1"/>
  <c r="L170" i="3" s="1"/>
  <c r="L161" i="3"/>
  <c r="M161" i="3" s="1"/>
  <c r="L160" i="3"/>
  <c r="M160" i="3" s="1"/>
  <c r="L159" i="3"/>
  <c r="M159" i="3" s="1"/>
  <c r="L158" i="3"/>
  <c r="M158" i="3" s="1"/>
  <c r="L157" i="3"/>
  <c r="M157" i="3" s="1"/>
  <c r="L156" i="3"/>
  <c r="M156" i="3" s="1"/>
  <c r="L155" i="3"/>
  <c r="M155" i="3" s="1"/>
  <c r="L154" i="3"/>
  <c r="M154" i="3" s="1"/>
  <c r="L153" i="3"/>
  <c r="M153" i="3" s="1"/>
  <c r="L152" i="3"/>
  <c r="M152" i="3" s="1"/>
  <c r="L151" i="3"/>
  <c r="M151" i="3" s="1"/>
  <c r="L148" i="3"/>
  <c r="M148" i="3" s="1"/>
  <c r="L147" i="3"/>
  <c r="M147" i="3" s="1"/>
  <c r="L146" i="3"/>
  <c r="M146" i="3" s="1"/>
  <c r="L145" i="3"/>
  <c r="M145" i="3" s="1"/>
  <c r="L139" i="3"/>
  <c r="M139" i="3" s="1"/>
  <c r="L138" i="3"/>
  <c r="M138" i="3" s="1"/>
  <c r="L137" i="3"/>
  <c r="M137" i="3" s="1"/>
  <c r="L136" i="3"/>
  <c r="M136" i="3" s="1"/>
  <c r="L135" i="3"/>
  <c r="M135" i="3" s="1"/>
  <c r="L134" i="3"/>
  <c r="M134" i="3" s="1"/>
  <c r="L133" i="3"/>
  <c r="M133" i="3" s="1"/>
  <c r="L132" i="3"/>
  <c r="M132" i="3" s="1"/>
  <c r="L131" i="3"/>
  <c r="M131" i="3" s="1"/>
  <c r="L130" i="3"/>
  <c r="M130" i="3" s="1"/>
  <c r="L129" i="3"/>
  <c r="M129" i="3" s="1"/>
  <c r="L126" i="3"/>
  <c r="M126" i="3" s="1"/>
  <c r="L125" i="3"/>
  <c r="M125" i="3" s="1"/>
  <c r="L124" i="3"/>
  <c r="M124" i="3" s="1"/>
  <c r="L123" i="3"/>
  <c r="M123" i="3" s="1"/>
  <c r="L117" i="3"/>
  <c r="M117" i="3" s="1"/>
  <c r="L116" i="3"/>
  <c r="M116" i="3" s="1"/>
  <c r="L115" i="3"/>
  <c r="M115" i="3" s="1"/>
  <c r="L114" i="3"/>
  <c r="M114" i="3" s="1"/>
  <c r="L113" i="3"/>
  <c r="M113" i="3" s="1"/>
  <c r="L112" i="3"/>
  <c r="M112" i="3" s="1"/>
  <c r="L111" i="3"/>
  <c r="M111" i="3" s="1"/>
  <c r="L110" i="3"/>
  <c r="M110" i="3" s="1"/>
  <c r="L109" i="3"/>
  <c r="M109" i="3" s="1"/>
  <c r="L108" i="3"/>
  <c r="M108" i="3" s="1"/>
  <c r="L107" i="3"/>
  <c r="M107" i="3" s="1"/>
  <c r="L106" i="3"/>
  <c r="M106" i="3" s="1"/>
  <c r="L103" i="3"/>
  <c r="M103" i="3" s="1"/>
  <c r="L102" i="3"/>
  <c r="M102" i="3" s="1"/>
  <c r="L101" i="3"/>
  <c r="M101" i="3" s="1"/>
  <c r="L100" i="3"/>
  <c r="M100" i="3" s="1"/>
  <c r="L93" i="3"/>
  <c r="M93" i="3" s="1"/>
  <c r="L92" i="3"/>
  <c r="M92" i="3" s="1"/>
  <c r="L91" i="3"/>
  <c r="M91" i="3" s="1"/>
  <c r="L88" i="3"/>
  <c r="M88" i="3" s="1"/>
  <c r="L87" i="3"/>
  <c r="M87" i="3" s="1"/>
  <c r="L80" i="3"/>
  <c r="M80" i="3" s="1"/>
  <c r="L81" i="3" s="1"/>
  <c r="L77" i="3"/>
  <c r="M77" i="3" s="1"/>
  <c r="L76" i="3"/>
  <c r="M76" i="3" s="1"/>
  <c r="L70" i="3"/>
  <c r="M70" i="3" s="1"/>
  <c r="L69" i="3"/>
  <c r="M69" i="3" s="1"/>
  <c r="L68" i="3"/>
  <c r="M68" i="3" s="1"/>
  <c r="L67" i="3"/>
  <c r="M67" i="3" s="1"/>
  <c r="L64" i="3"/>
  <c r="M64" i="3" s="1"/>
  <c r="L63" i="3"/>
  <c r="M63" i="3" s="1"/>
  <c r="L57" i="3"/>
  <c r="M57" i="3" s="1"/>
  <c r="L56" i="3"/>
  <c r="M56" i="3" s="1"/>
  <c r="L55" i="3"/>
  <c r="M55" i="3" s="1"/>
  <c r="L54" i="3"/>
  <c r="M54" i="3" s="1"/>
  <c r="L51" i="3"/>
  <c r="M51" i="3" s="1"/>
  <c r="L50" i="3"/>
  <c r="M50" i="3" s="1"/>
  <c r="L42" i="3"/>
  <c r="M42" i="3" s="1"/>
  <c r="L43" i="3" s="1"/>
  <c r="L39" i="3"/>
  <c r="M39" i="3" s="1"/>
  <c r="L38" i="3"/>
  <c r="M38" i="3" s="1"/>
  <c r="L32" i="3"/>
  <c r="M32" i="3" s="1"/>
  <c r="L33" i="3" s="1"/>
  <c r="L29" i="3"/>
  <c r="M29" i="3" s="1"/>
  <c r="L28" i="3"/>
  <c r="M28" i="3" s="1"/>
  <c r="L19" i="3"/>
  <c r="M19" i="3" s="1"/>
  <c r="L18" i="3"/>
  <c r="M18" i="3" s="1"/>
  <c r="L22" i="3"/>
  <c r="M22" i="3" s="1"/>
  <c r="L23" i="3" s="1"/>
  <c r="L11" i="3"/>
  <c r="M11" i="3" s="1"/>
  <c r="L12" i="3" s="1"/>
  <c r="L8" i="3"/>
  <c r="M8" i="3" s="1"/>
  <c r="L7" i="3"/>
  <c r="M7" i="3" s="1"/>
  <c r="M299" i="3"/>
  <c r="M295" i="3"/>
  <c r="M289" i="3"/>
  <c r="L277" i="3"/>
  <c r="M277" i="3" s="1"/>
  <c r="L30" i="3" l="1"/>
  <c r="M34" i="3" s="1"/>
  <c r="G18" i="34" s="1"/>
  <c r="H18" i="34" s="1"/>
  <c r="M256" i="3"/>
  <c r="L255" i="3"/>
  <c r="M255" i="3" s="1"/>
  <c r="L278" i="3"/>
  <c r="L194" i="3"/>
  <c r="L65" i="3"/>
  <c r="L52" i="3"/>
  <c r="L149" i="3"/>
  <c r="L187" i="3"/>
  <c r="L162" i="3"/>
  <c r="M174" i="3"/>
  <c r="G27" i="34" s="1"/>
  <c r="H27" i="34" s="1"/>
  <c r="L71" i="3"/>
  <c r="L274" i="3"/>
  <c r="L297" i="3"/>
  <c r="L250" i="3"/>
  <c r="L212" i="3"/>
  <c r="L225" i="3"/>
  <c r="L233" i="3"/>
  <c r="M237" i="3" s="1"/>
  <c r="G34" i="34" s="1"/>
  <c r="H34" i="34" s="1"/>
  <c r="L182" i="3"/>
  <c r="L199" i="3"/>
  <c r="L118" i="3"/>
  <c r="L89" i="3"/>
  <c r="L104" i="3"/>
  <c r="L58" i="3"/>
  <c r="L40" i="3"/>
  <c r="M44" i="3" s="1"/>
  <c r="G19" i="34" s="1"/>
  <c r="H19" i="34" s="1"/>
  <c r="L20" i="3"/>
  <c r="M24" i="3" s="1"/>
  <c r="G17" i="34" s="1"/>
  <c r="H17" i="34" s="1"/>
  <c r="L9" i="3"/>
  <c r="M13" i="3" s="1"/>
  <c r="G20" i="34" s="1"/>
  <c r="H20" i="34" s="1"/>
  <c r="L78" i="3"/>
  <c r="M82" i="3" s="1"/>
  <c r="G9" i="34" s="1"/>
  <c r="H9" i="34" s="1"/>
  <c r="L94" i="3"/>
  <c r="L140" i="3"/>
  <c r="L127" i="3"/>
  <c r="L219" i="3"/>
  <c r="L290" i="3"/>
  <c r="L301" i="3"/>
  <c r="L206" i="3"/>
  <c r="L244" i="3"/>
  <c r="L264" i="3"/>
  <c r="M268" i="3" s="1"/>
  <c r="G25" i="34" s="1"/>
  <c r="H25" i="34" s="1"/>
  <c r="L286" i="3"/>
  <c r="E232" i="3"/>
  <c r="E218" i="3"/>
  <c r="E205" i="3"/>
  <c r="E193" i="3"/>
  <c r="E181" i="3"/>
  <c r="M302" i="3" l="1"/>
  <c r="G26" i="34" s="1"/>
  <c r="H26" i="34" s="1"/>
  <c r="M200" i="3"/>
  <c r="G31" i="34" s="1"/>
  <c r="H31" i="34" s="1"/>
  <c r="M226" i="3"/>
  <c r="G33" i="34" s="1"/>
  <c r="H33" i="34" s="1"/>
  <c r="M95" i="3"/>
  <c r="G10" i="34" s="1"/>
  <c r="H10" i="34" s="1"/>
  <c r="L257" i="3"/>
  <c r="M258" i="3" s="1"/>
  <c r="G24" i="34" s="1"/>
  <c r="H24" i="34" s="1"/>
  <c r="M59" i="3"/>
  <c r="G7" i="34" s="1"/>
  <c r="H7" i="34" s="1"/>
  <c r="M279" i="3"/>
  <c r="G15" i="34" s="1"/>
  <c r="H15" i="34" s="1"/>
  <c r="M141" i="3"/>
  <c r="G22" i="34" s="1"/>
  <c r="H22" i="34" s="1"/>
  <c r="M72" i="3"/>
  <c r="G8" i="34" s="1"/>
  <c r="H8" i="34" s="1"/>
  <c r="M163" i="3"/>
  <c r="G23" i="34" s="1"/>
  <c r="H23" i="34" s="1"/>
  <c r="M188" i="3"/>
  <c r="G30" i="34" s="1"/>
  <c r="H30" i="34" s="1"/>
  <c r="M291" i="3"/>
  <c r="G14" i="34" s="1"/>
  <c r="H14" i="34" s="1"/>
  <c r="M119" i="3"/>
  <c r="G21" i="34" s="1"/>
  <c r="H21" i="34" s="1"/>
  <c r="M251" i="3"/>
  <c r="G16" i="34" s="1"/>
  <c r="H16" i="34" s="1"/>
  <c r="M213" i="3"/>
  <c r="G32" i="34" s="1"/>
  <c r="H32" i="34" s="1"/>
  <c r="E300" i="3"/>
  <c r="E266" i="3"/>
  <c r="E263" i="3"/>
  <c r="E256" i="3"/>
  <c r="E255" i="3" s="1"/>
  <c r="E249" i="3"/>
  <c r="E247" i="3"/>
  <c r="E243" i="3"/>
  <c r="E184" i="3"/>
  <c r="E158" i="3"/>
  <c r="E136" i="3"/>
  <c r="E113" i="3"/>
  <c r="E80" i="3"/>
  <c r="E284" i="3"/>
  <c r="E272" i="3"/>
  <c r="E77" i="3"/>
  <c r="E295" i="3"/>
  <c r="E262" i="3"/>
  <c r="E242" i="3"/>
  <c r="E64" i="3"/>
  <c r="E51" i="3"/>
  <c r="E38" i="3"/>
  <c r="E28" i="3"/>
  <c r="E18" i="3"/>
  <c r="E7" i="3"/>
  <c r="E235" i="3"/>
  <c r="E223" i="3"/>
  <c r="E222" i="3"/>
  <c r="E221" i="3"/>
  <c r="E210" i="3"/>
  <c r="E209" i="3"/>
  <c r="E208" i="3"/>
  <c r="E197" i="3"/>
  <c r="E196" i="3"/>
  <c r="E288" i="3"/>
  <c r="E276" i="3"/>
  <c r="E224" i="3"/>
  <c r="E211" i="3"/>
  <c r="E198" i="3"/>
  <c r="E186" i="3"/>
  <c r="E185" i="3"/>
  <c r="E172" i="3"/>
  <c r="E246" i="3"/>
  <c r="E117" i="3"/>
  <c r="E161" i="3"/>
  <c r="E139" i="3"/>
  <c r="E116" i="3"/>
  <c r="E160" i="3"/>
  <c r="E138" i="3"/>
  <c r="E115" i="3"/>
  <c r="E159" i="3"/>
  <c r="E137" i="3"/>
  <c r="E114" i="3"/>
  <c r="E157" i="3"/>
  <c r="E135" i="3"/>
  <c r="E112" i="3"/>
  <c r="E156" i="3"/>
  <c r="E134" i="3"/>
  <c r="E111" i="3"/>
  <c r="E155" i="3"/>
  <c r="E133" i="3"/>
  <c r="E110" i="3"/>
  <c r="E154" i="3"/>
  <c r="E132" i="3"/>
  <c r="E109" i="3"/>
  <c r="E93" i="3"/>
  <c r="E92" i="3"/>
  <c r="E91" i="3"/>
  <c r="E70" i="3"/>
  <c r="E57" i="3"/>
  <c r="E152" i="3"/>
  <c r="E130" i="3"/>
  <c r="E107" i="3"/>
  <c r="E69" i="3"/>
  <c r="E56" i="3"/>
  <c r="E153" i="3"/>
  <c r="E131" i="3"/>
  <c r="E108" i="3"/>
  <c r="E68" i="3"/>
  <c r="E55" i="3"/>
  <c r="E248" i="3"/>
  <c r="E151" i="3"/>
  <c r="E129" i="3"/>
  <c r="E106" i="3"/>
  <c r="E67" i="3"/>
  <c r="E54" i="3"/>
  <c r="G40" i="34" l="1"/>
  <c r="E42" i="3"/>
  <c r="E32" i="3"/>
  <c r="E22" i="3"/>
  <c r="E11" i="3"/>
  <c r="E146" i="3"/>
  <c r="E124" i="3"/>
  <c r="E101" i="3"/>
  <c r="E145" i="3"/>
  <c r="E123" i="3"/>
  <c r="E100" i="3"/>
  <c r="E88" i="3"/>
  <c r="E285" i="3"/>
  <c r="E273" i="3"/>
  <c r="E231" i="3"/>
  <c r="E217" i="3"/>
  <c r="E204" i="3"/>
  <c r="E192" i="3"/>
  <c r="E180" i="3"/>
  <c r="E76" i="3"/>
  <c r="E147" i="3"/>
  <c r="E125" i="3"/>
  <c r="E102" i="3"/>
  <c r="E63" i="3"/>
  <c r="E50" i="3"/>
  <c r="E296" i="3"/>
  <c r="E169" i="3"/>
  <c r="E148" i="3"/>
  <c r="E126" i="3"/>
  <c r="E103" i="3"/>
  <c r="E87" i="3"/>
  <c r="E39" i="3"/>
  <c r="E29" i="3"/>
  <c r="E19" i="3"/>
  <c r="E8" i="3"/>
  <c r="E9" i="7" l="1"/>
  <c r="F9" i="7" l="1"/>
  <c r="F12" i="7" s="1"/>
  <c r="C22" i="29"/>
  <c r="C18" i="29"/>
  <c r="C11" i="29"/>
  <c r="C7" i="29"/>
  <c r="G9" i="7" l="1"/>
  <c r="C23" i="29"/>
  <c r="D41" i="34" s="1"/>
  <c r="G41" i="34" s="1"/>
  <c r="G42" i="34" s="1"/>
  <c r="G43" i="34" s="1"/>
  <c r="E11" i="7" s="1"/>
  <c r="F11" i="7" l="1"/>
  <c r="E12" i="7"/>
  <c r="F3" i="5" l="1"/>
  <c r="F22" i="5"/>
  <c r="B7" i="8"/>
  <c r="F23" i="5" l="1"/>
  <c r="F15" i="5"/>
  <c r="F18" i="5"/>
  <c r="F6" i="5"/>
  <c r="F10" i="5"/>
  <c r="F26" i="5" l="1"/>
  <c r="F27" i="5" s="1"/>
  <c r="F299" i="3"/>
  <c r="F300" i="3" l="1"/>
  <c r="E301" i="3" s="1"/>
  <c r="F296" i="3"/>
  <c r="F295" i="3"/>
  <c r="E297" i="3" l="1"/>
  <c r="F302" i="3" s="1"/>
  <c r="E26" i="34" l="1"/>
  <c r="F26" i="34" s="1"/>
  <c r="E43" i="4" l="1"/>
  <c r="F289" i="3" l="1"/>
  <c r="F288" i="3"/>
  <c r="F285" i="3"/>
  <c r="F284" i="3"/>
  <c r="F276" i="3"/>
  <c r="E277" i="3"/>
  <c r="F277" i="3" s="1"/>
  <c r="F273" i="3"/>
  <c r="F272" i="3"/>
  <c r="E278" i="3" l="1"/>
  <c r="E274" i="3"/>
  <c r="E286" i="3"/>
  <c r="E290" i="3"/>
  <c r="F279" i="3" l="1"/>
  <c r="E15" i="34" s="1"/>
  <c r="F15" i="34" s="1"/>
  <c r="F291" i="3"/>
  <c r="E14" i="34" l="1"/>
  <c r="F14" i="34" s="1"/>
  <c r="F266" i="3"/>
  <c r="E267" i="3" s="1"/>
  <c r="F263" i="3"/>
  <c r="F262" i="3"/>
  <c r="F255" i="3"/>
  <c r="F256" i="3"/>
  <c r="F247" i="3"/>
  <c r="F248" i="3"/>
  <c r="F249" i="3"/>
  <c r="F246" i="3"/>
  <c r="F243" i="3"/>
  <c r="F242" i="3"/>
  <c r="E264" i="3" l="1"/>
  <c r="F268" i="3" s="1"/>
  <c r="E257" i="3"/>
  <c r="F258" i="3" s="1"/>
  <c r="E250" i="3"/>
  <c r="E244" i="3"/>
  <c r="E24" i="34" l="1"/>
  <c r="F24" i="34" s="1"/>
  <c r="E25" i="34"/>
  <c r="F25" i="34" s="1"/>
  <c r="F251" i="3"/>
  <c r="E16" i="34" l="1"/>
  <c r="F16" i="34" s="1"/>
  <c r="E36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2" i="4"/>
  <c r="E33" i="4"/>
  <c r="E34" i="4"/>
  <c r="E35" i="4"/>
  <c r="E37" i="4"/>
  <c r="E38" i="4"/>
  <c r="E39" i="4"/>
  <c r="E40" i="4"/>
  <c r="E41" i="4"/>
  <c r="E42" i="4"/>
  <c r="E44" i="4"/>
  <c r="E45" i="4"/>
  <c r="E46" i="4"/>
  <c r="E3" i="4"/>
  <c r="E47" i="4" l="1"/>
  <c r="F28" i="5"/>
  <c r="F111" i="39" l="1"/>
  <c r="F111" i="40"/>
  <c r="F111" i="38"/>
  <c r="E48" i="4"/>
  <c r="E49" i="4"/>
  <c r="E50" i="4" s="1"/>
  <c r="F235" i="3"/>
  <c r="E236" i="3" s="1"/>
  <c r="F232" i="3"/>
  <c r="F231" i="3"/>
  <c r="F224" i="3"/>
  <c r="F223" i="3"/>
  <c r="F222" i="3"/>
  <c r="F221" i="3"/>
  <c r="F218" i="3"/>
  <c r="F217" i="3"/>
  <c r="F211" i="3"/>
  <c r="F210" i="3"/>
  <c r="F209" i="3"/>
  <c r="F208" i="3"/>
  <c r="F205" i="3"/>
  <c r="F204" i="3"/>
  <c r="F198" i="3"/>
  <c r="F197" i="3"/>
  <c r="F196" i="3"/>
  <c r="F193" i="3"/>
  <c r="F192" i="3"/>
  <c r="F186" i="3"/>
  <c r="F185" i="3"/>
  <c r="F184" i="3"/>
  <c r="F181" i="3"/>
  <c r="F180" i="3"/>
  <c r="F172" i="3"/>
  <c r="E173" i="3" s="1"/>
  <c r="F169" i="3"/>
  <c r="E170" i="3" s="1"/>
  <c r="F161" i="3"/>
  <c r="F160" i="3"/>
  <c r="F159" i="3"/>
  <c r="F158" i="3"/>
  <c r="F157" i="3"/>
  <c r="F156" i="3"/>
  <c r="F155" i="3"/>
  <c r="F154" i="3"/>
  <c r="F153" i="3"/>
  <c r="F152" i="3"/>
  <c r="F151" i="3"/>
  <c r="F148" i="3"/>
  <c r="F147" i="3"/>
  <c r="F146" i="3"/>
  <c r="F145" i="3"/>
  <c r="F139" i="3"/>
  <c r="F138" i="3"/>
  <c r="F137" i="3"/>
  <c r="F136" i="3"/>
  <c r="F135" i="3"/>
  <c r="F134" i="3"/>
  <c r="F133" i="3"/>
  <c r="F132" i="3"/>
  <c r="F131" i="3"/>
  <c r="F130" i="3"/>
  <c r="F129" i="3"/>
  <c r="F126" i="3"/>
  <c r="F125" i="3"/>
  <c r="F124" i="3"/>
  <c r="F123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3" i="3"/>
  <c r="F102" i="3"/>
  <c r="F101" i="3"/>
  <c r="F100" i="3"/>
  <c r="F93" i="3"/>
  <c r="F92" i="3"/>
  <c r="F91" i="3"/>
  <c r="F88" i="3"/>
  <c r="F87" i="3"/>
  <c r="F80" i="3"/>
  <c r="F77" i="3"/>
  <c r="F76" i="3"/>
  <c r="F70" i="3"/>
  <c r="F69" i="3"/>
  <c r="F68" i="3"/>
  <c r="F67" i="3"/>
  <c r="F64" i="3"/>
  <c r="F63" i="3"/>
  <c r="F57" i="3"/>
  <c r="F56" i="3"/>
  <c r="F55" i="3"/>
  <c r="F54" i="3"/>
  <c r="F51" i="3"/>
  <c r="F50" i="3"/>
  <c r="F42" i="3"/>
  <c r="E43" i="3" s="1"/>
  <c r="F39" i="3"/>
  <c r="F38" i="3"/>
  <c r="F32" i="3"/>
  <c r="E33" i="3" s="1"/>
  <c r="F29" i="3"/>
  <c r="F28" i="3"/>
  <c r="F22" i="3"/>
  <c r="E23" i="3" s="1"/>
  <c r="F19" i="3"/>
  <c r="F18" i="3"/>
  <c r="F11" i="3"/>
  <c r="E12" i="3" s="1"/>
  <c r="F8" i="3"/>
  <c r="F7" i="3"/>
  <c r="E51" i="4" l="1"/>
  <c r="E53" i="4" s="1"/>
  <c r="E81" i="3"/>
  <c r="F174" i="3"/>
  <c r="E206" i="3"/>
  <c r="E65" i="3"/>
  <c r="E20" i="3"/>
  <c r="F24" i="3" s="1"/>
  <c r="E40" i="3"/>
  <c r="F44" i="3" s="1"/>
  <c r="E149" i="3"/>
  <c r="E104" i="3"/>
  <c r="E118" i="3"/>
  <c r="E89" i="3"/>
  <c r="E233" i="3"/>
  <c r="F237" i="3" s="1"/>
  <c r="E94" i="3"/>
  <c r="E78" i="3"/>
  <c r="E187" i="3"/>
  <c r="E194" i="3"/>
  <c r="E212" i="3"/>
  <c r="E162" i="3"/>
  <c r="E182" i="3"/>
  <c r="E199" i="3"/>
  <c r="E219" i="3"/>
  <c r="E225" i="3"/>
  <c r="E9" i="3"/>
  <c r="F13" i="3" s="1"/>
  <c r="E52" i="3"/>
  <c r="E71" i="3"/>
  <c r="E140" i="3"/>
  <c r="E30" i="3"/>
  <c r="F34" i="3" s="1"/>
  <c r="E58" i="3"/>
  <c r="E127" i="3"/>
  <c r="F113" i="38" l="1"/>
  <c r="F115" i="38" s="1"/>
  <c r="F113" i="39"/>
  <c r="F115" i="39" s="1"/>
  <c r="F113" i="40"/>
  <c r="F115" i="40" s="1"/>
  <c r="F119" i="3"/>
  <c r="E18" i="34"/>
  <c r="F18" i="34" s="1"/>
  <c r="E19" i="34"/>
  <c r="F19" i="34" s="1"/>
  <c r="E34" i="34"/>
  <c r="F34" i="34" s="1"/>
  <c r="E17" i="34"/>
  <c r="F17" i="34" s="1"/>
  <c r="E20" i="34"/>
  <c r="F20" i="34" s="1"/>
  <c r="E27" i="34"/>
  <c r="F27" i="34" s="1"/>
  <c r="F213" i="3"/>
  <c r="F82" i="3"/>
  <c r="F72" i="3"/>
  <c r="F163" i="3"/>
  <c r="F95" i="3"/>
  <c r="F188" i="3"/>
  <c r="F226" i="3"/>
  <c r="F141" i="3"/>
  <c r="F200" i="3"/>
  <c r="F59" i="3"/>
  <c r="F143" i="38" l="1"/>
  <c r="F144" i="38" s="1"/>
  <c r="F118" i="38"/>
  <c r="F119" i="38" s="1"/>
  <c r="D118" i="38"/>
  <c r="F118" i="39"/>
  <c r="D118" i="39"/>
  <c r="F119" i="39"/>
  <c r="F143" i="39"/>
  <c r="F144" i="39" s="1"/>
  <c r="F119" i="40"/>
  <c r="D118" i="40"/>
  <c r="F143" i="40"/>
  <c r="F144" i="40" s="1"/>
  <c r="F118" i="40"/>
  <c r="E7" i="34"/>
  <c r="F7" i="34" s="1"/>
  <c r="E22" i="34"/>
  <c r="F22" i="34" s="1"/>
  <c r="E9" i="34"/>
  <c r="F9" i="34" s="1"/>
  <c r="E33" i="34"/>
  <c r="F33" i="34" s="1"/>
  <c r="E30" i="34"/>
  <c r="F30" i="34" s="1"/>
  <c r="E10" i="34"/>
  <c r="F10" i="34" s="1"/>
  <c r="E23" i="34"/>
  <c r="F23" i="34" s="1"/>
  <c r="E31" i="34"/>
  <c r="F31" i="34" s="1"/>
  <c r="E8" i="34"/>
  <c r="F8" i="34" s="1"/>
  <c r="E21" i="34"/>
  <c r="F21" i="34" s="1"/>
  <c r="E32" i="34"/>
  <c r="F32" i="34" s="1"/>
  <c r="D120" i="38" l="1"/>
  <c r="F131" i="38"/>
  <c r="F133" i="38" s="1"/>
  <c r="F122" i="38" s="1"/>
  <c r="F131" i="40"/>
  <c r="F133" i="40" s="1"/>
  <c r="F123" i="40" s="1"/>
  <c r="F131" i="39"/>
  <c r="F133" i="39" s="1"/>
  <c r="F122" i="39" s="1"/>
  <c r="D119" i="40"/>
  <c r="D120" i="40" s="1"/>
  <c r="D119" i="39"/>
  <c r="D120" i="39" s="1"/>
  <c r="F120" i="39" s="1"/>
  <c r="D119" i="38"/>
  <c r="E40" i="34"/>
  <c r="E41" i="34" s="1"/>
  <c r="E42" i="34" s="1"/>
  <c r="E43" i="34" s="1"/>
  <c r="C11" i="7" s="1"/>
  <c r="D11" i="7" s="1"/>
  <c r="G11" i="7" s="1"/>
  <c r="F124" i="40" l="1"/>
  <c r="F122" i="40"/>
  <c r="F124" i="38"/>
  <c r="F123" i="38"/>
  <c r="F124" i="39"/>
  <c r="F123" i="39"/>
  <c r="F126" i="38" l="1"/>
  <c r="F145" i="38" s="1"/>
  <c r="F146" i="38" s="1"/>
  <c r="D4" i="8" s="1"/>
  <c r="E4" i="8" s="1"/>
  <c r="F4" i="8" s="1"/>
  <c r="F126" i="40"/>
  <c r="F145" i="40" s="1"/>
  <c r="F146" i="40" s="1"/>
  <c r="D6" i="8" s="1"/>
  <c r="E6" i="8" s="1"/>
  <c r="F6" i="8" s="1"/>
  <c r="F126" i="39"/>
  <c r="F145" i="39" s="1"/>
  <c r="F146" i="39" s="1"/>
  <c r="D5" i="8" s="1"/>
  <c r="E5" i="8" s="1"/>
  <c r="F5" i="8" s="1"/>
  <c r="F148" i="38" l="1"/>
  <c r="F7" i="8"/>
  <c r="D8" i="7" s="1"/>
  <c r="D12" i="7" s="1"/>
  <c r="G12" i="7" s="1"/>
  <c r="E7" i="8"/>
  <c r="C8" i="7" l="1"/>
  <c r="C12" i="7" s="1"/>
  <c r="G8" i="7"/>
</calcChain>
</file>

<file path=xl/sharedStrings.xml><?xml version="1.0" encoding="utf-8"?>
<sst xmlns="http://schemas.openxmlformats.org/spreadsheetml/2006/main" count="3623" uniqueCount="1153">
  <si>
    <t>m</t>
  </si>
  <si>
    <t>und</t>
  </si>
  <si>
    <t>Recarga de extintores PQS de 6kg</t>
  </si>
  <si>
    <t>Recarga de extintores de pó químico ABC multiuso de 6Kg</t>
  </si>
  <si>
    <t>Recarga de extintores CO2 de 6kg</t>
  </si>
  <si>
    <t>m2</t>
  </si>
  <si>
    <t>h</t>
  </si>
  <si>
    <t>m3</t>
  </si>
  <si>
    <t>ITEM</t>
  </si>
  <si>
    <t>DESCRIÇÃO</t>
  </si>
  <si>
    <t>UNID</t>
  </si>
  <si>
    <t>QNT ANUAL</t>
  </si>
  <si>
    <t>R$ ANUAL</t>
  </si>
  <si>
    <t>Código</t>
  </si>
  <si>
    <t>Mão-de-obra</t>
  </si>
  <si>
    <t>Unidade</t>
  </si>
  <si>
    <t>Coeficiente</t>
  </si>
  <si>
    <t>Total</t>
  </si>
  <si>
    <t>TOTAL</t>
  </si>
  <si>
    <t>Serviços/Equipamentos</t>
  </si>
  <si>
    <t>kg</t>
  </si>
  <si>
    <t>TOTAL GERAL (por m)</t>
  </si>
  <si>
    <t>*</t>
  </si>
  <si>
    <t>Pesquisa de mercado</t>
  </si>
  <si>
    <t>Preço</t>
  </si>
  <si>
    <t>Eletricista</t>
  </si>
  <si>
    <t>COMPOSIÇÃO (COEFICIENTES) DE REFERÊNCIA: PINI 16.120.8.1</t>
  </si>
  <si>
    <t>Fornecimento e instalação de cabo de cobre isolamento anti-chama 450/750V 35 mm²</t>
  </si>
  <si>
    <t>CABO DE COBRE ISOLAMENTO ANTI-CHAMA 450/750V 35MM2, TP PIRASTIC PIRELLI OU EQUIV</t>
  </si>
  <si>
    <t>Fornecimento e instalação de cabo de cobre isolamento anti-chama 450/750V 120 mm²</t>
  </si>
  <si>
    <t>CABO DE COBRE ISOLAMENTO ANTI-CHAMA 450/750V 120MM2, TP PIRASTIC PIRELLI OU EQUIV</t>
  </si>
  <si>
    <t>Fornecimento e instalação de cabo de cobre isolamento anti-chama 450/750V 150 mm²</t>
  </si>
  <si>
    <t>CABO DE COBRE ISOLAMENTO ANTI-CHAMA 450/750V 150MM2, TP PIRASTIC PIRELLI OU EQUIV</t>
  </si>
  <si>
    <t>Fornecimento e instalação de cabo de cobre isolamento anti-chama 450/750V 185 mm²</t>
  </si>
  <si>
    <t>CABO DE COBRE ISOLAMENTO ANTI-CHAMA 450/750V 185MM2, TP PIRASTIC PIRELLI OU EQUIV</t>
  </si>
  <si>
    <t>CAIXA PVC 4" X 2" P/ ELETRODUTO "</t>
  </si>
  <si>
    <t>TOTAL GERAL (por und)</t>
  </si>
  <si>
    <t>CAIXA PVC 4" X 4" P/ ELETRODUTO "</t>
  </si>
  <si>
    <t>H</t>
  </si>
  <si>
    <t>Alvenaria de vedação com tijolo comum 5,7 x 9 x 19 cm, juntas de 12 mm com argamassa mista de cimento (espessura da parede de 5,7 cm)</t>
  </si>
  <si>
    <t>PEDREIRO</t>
  </si>
  <si>
    <t>SERVENTE</t>
  </si>
  <si>
    <t>AREIA MEDIA</t>
  </si>
  <si>
    <t>CIMENTO PORTLAND COMUM CP I- 32</t>
  </si>
  <si>
    <t>CAL HIDRATADA, DE 1A. QUALIDADE, PARA ARGAMASSA</t>
  </si>
  <si>
    <t>TIJOLO CERAMICO MACICO 5 X 10 X 20CM</t>
  </si>
  <si>
    <t>COMPOSIÇÃO (COEFICIENTES) DE REFERÊNCIA: PINI 04.211.8.1</t>
  </si>
  <si>
    <t>TOTAL GERAL (por m²)</t>
  </si>
  <si>
    <t>Alvenaria de vedação com tijolo comum 5,7 x 9 x 19 cm, juntas de 12 mm com argamassa mista de cimento (espessura da parede de 9 cm)</t>
  </si>
  <si>
    <t>Pintor</t>
  </si>
  <si>
    <t>l</t>
  </si>
  <si>
    <t>Cobertura com telha de fibrocimento, uma água, perfil ondulado, e = 6mm, largura nominal 1,10 mm, inclinação 27%</t>
  </si>
  <si>
    <t>TELHADISTA</t>
  </si>
  <si>
    <t>TELHA DE FIBROCIMENTO ONDULADA E=6MM, DE 1,83 X 1,10M (SEM AMIANTO)</t>
  </si>
  <si>
    <t>PARAFUSO ZINCADO ROSCA SOBERBA 5/16" X 110MM P/ TELHA FIBROCIMENTO</t>
  </si>
  <si>
    <t>PLACA DE VEDACAO NERVURA P/ TELHA FIBROCIMENTO CANALETE 90</t>
  </si>
  <si>
    <t>COMPOSIÇÃO (COEFICIENTES) DE REFERÊNCIA: PINI 07.320.8.5.3</t>
  </si>
  <si>
    <t>OLEO DIESEL COMBUSTIVEL COMUM</t>
  </si>
  <si>
    <t>AZULEJISTA OU LADRILHISTA</t>
  </si>
  <si>
    <t>m²</t>
  </si>
  <si>
    <t>m³</t>
  </si>
  <si>
    <t>CAL HIDRATADA</t>
  </si>
  <si>
    <t>CIMENTO PORTLAND</t>
  </si>
  <si>
    <t>AJUDANTE DE CARPINTEIRO</t>
  </si>
  <si>
    <t>CARPINTEIRO</t>
  </si>
  <si>
    <t>PREGO DE ACO 16 X 24</t>
  </si>
  <si>
    <t>PARAFUSO ACO ZINC CABECA CHATA FENDA SIMPLES 8 X 100MM</t>
  </si>
  <si>
    <t>ALIZAR / GUARNICAO 5 X 1,5CM MADEIRA CEDRO/IMBUIA/JEQUITIBA OU SIMILAR</t>
  </si>
  <si>
    <t>BATENTE SIMPLES  7 X 3,5CM P/ PORTA 0,60 A 1,20 X 2,10M MADEIRA REGIONAL 1A</t>
  </si>
  <si>
    <t>PORTA MADEIRA SEMI-OCA ALMOFADADA REGIONAL 2A 80 X 210 X 3,5</t>
  </si>
  <si>
    <t>DOBRADICA FERRO CROMADO 3 X 2 1/2" SEM ANEIS</t>
  </si>
  <si>
    <t>FECHADURA EMBUTIR EXTERNA (C/ CILINDRO) COMPLETA - ACAB PADRAO MEDIO</t>
  </si>
  <si>
    <t>FECHO DE EMBUTIR (TP UNHA) C/ ALAVANCA LATAO CROMADO - 22CM</t>
  </si>
  <si>
    <t>COMPOSIÇÃO (COEFICIENTES) DE REFERÊNCIA: PINI 08.210.8.1</t>
  </si>
  <si>
    <t>Fornecimento e instalação de porta de madeira, de duas folhas com batente, guarnição e ferragem (colocação e acabamento) - 1,69x2,14m</t>
  </si>
  <si>
    <t>Fornecimento e instalação de porta de madeira, de uma folha com batente, guarnição e ferragem (colocação e acabamento) - 0,80x2,10m</t>
  </si>
  <si>
    <t>jg</t>
  </si>
  <si>
    <t>Fornecimento e instalação de porta de madeira, de uma folha com batente, guarnição e ferragem (colocação e acabamento) - 0,90x2,10m</t>
  </si>
  <si>
    <t>RODAPE GRANITO 10 X 2CM</t>
  </si>
  <si>
    <t>Impermeabilização de piso com três demãos de emulsão asfáltica</t>
  </si>
  <si>
    <t>EMULSAO ASFALTICA C/ ELASTOMERO</t>
  </si>
  <si>
    <t>COMPOSIÇÃO (COEFICIENTES) DE REFERÊNCIA: PINI 07.110.8.4.1</t>
  </si>
  <si>
    <t>Pintura com látex acrílico em parede externa, sem massa corrida</t>
  </si>
  <si>
    <t>PINTOR</t>
  </si>
  <si>
    <t>TINTA LATEX ACRILICA</t>
  </si>
  <si>
    <t>LIXA P/ PAREDE OU MADEIRA</t>
  </si>
  <si>
    <t>COMPOSIÇÃO (COEFICIENTES) DE REFERÊNCIA: PINI 09.910.8.11</t>
  </si>
  <si>
    <t>Pintura com látex PVA em parede interna, sem massa corrida</t>
  </si>
  <si>
    <t>SELADOR LATEX PVA</t>
  </si>
  <si>
    <t>TINTA LATEX PVA</t>
  </si>
  <si>
    <t>COMPOSIÇÃO (COEFICIENTES) DE REFERÊNCIA: PINI 09.910.8.10</t>
  </si>
  <si>
    <t>Pintura com tinta à óleo em esquadria de ferro com duas demãos</t>
  </si>
  <si>
    <t>SOLVENTE DILUENTE A BASE DE AGUARRAS</t>
  </si>
  <si>
    <t>FUNDO ANTICORROSIVO TIPO ZARCAO OU EQUIV</t>
  </si>
  <si>
    <t>TINTA A OLEO BRILHANTE</t>
  </si>
  <si>
    <t>COMPOSIÇÃO (COEFICIENTES) DE REFERÊNCIA: PINI 09.975.8.2.1</t>
  </si>
  <si>
    <t>Pintura com tinta epóxi em parade interna com duas demãos, incluindo emassamento e lixamento</t>
  </si>
  <si>
    <t>TINTA EPOXI</t>
  </si>
  <si>
    <t>TINTA A BASE DE RESINA EPOXI ALCATRÃO, (PASTA PARA REVESTIMENTO)</t>
  </si>
  <si>
    <t>MASSA EPOXI</t>
  </si>
  <si>
    <t>COMPOSIÇÃO (COEFICIENTES) DE REFERÊNCIA: PINI 09.910.8.8.1</t>
  </si>
  <si>
    <t>Pintura/demarcação de faixas de 5 cm de largura para vagas com tinta reflexiva</t>
  </si>
  <si>
    <t>TINTA RETRORREFLETIVAS A BASE DE RESINA ACRÍLICA COM MICROESFERA DE VIDRO, DB-800 COR BRANCA N 9,5</t>
  </si>
  <si>
    <t>COMPOSIÇÃO (COEFICIENTES) DE REFERÊNCIA: PINI 09.910.8.13.2</t>
  </si>
  <si>
    <t>PASTA LUBRIFICANTE PARA TUBOS DE PVC C/ ANEL DE BORRACHA ( POTE 500G)</t>
  </si>
  <si>
    <t>FITA VEDA ROSCA EM ROLOS 18MMX10M</t>
  </si>
  <si>
    <t>SOLUCAO LIMPADORA FRASCO PLASTICO C/ 1000CM3</t>
  </si>
  <si>
    <t>ADESIVO PARA PVC BISNAGA COM 75 GR</t>
  </si>
  <si>
    <t>L</t>
  </si>
  <si>
    <t>KG</t>
  </si>
  <si>
    <t>VALVULA DESCARGA P/ MICTORIO</t>
  </si>
  <si>
    <t>MICTORIO SIFONADO LOUCA BRANCA C/PERTENCES</t>
  </si>
  <si>
    <t>TE PVC SOLD 90G P/ AGUA FRIA PREDIAL 20MM</t>
  </si>
  <si>
    <t>TUBO PVC SOLDAVEL EB-892 P/AGUA FRIA PREDIAL DN 20MM</t>
  </si>
  <si>
    <t>Recarga de extintor de água pressurizada (gás) de 10 L</t>
  </si>
  <si>
    <t>Composição de preços (TCPO/PINI e SINAPI)</t>
  </si>
  <si>
    <t>Nº</t>
  </si>
  <si>
    <t>QNT</t>
  </si>
  <si>
    <t>R$ REF.</t>
  </si>
  <si>
    <t>R$ TOTAL</t>
  </si>
  <si>
    <t>Alicate crimpador RJ11 e RJ45 com trava de catraca - rede e telefonia.</t>
  </si>
  <si>
    <t>Alicate de bico ½ cano reto 6”</t>
  </si>
  <si>
    <t>Alicate de compressão para terminais cabo RG6 e RG11- padrão NET e TVA</t>
  </si>
  <si>
    <t>Alicate de corte diagonal 6”</t>
  </si>
  <si>
    <t>Alicate de pressão 10</t>
  </si>
  <si>
    <t>Alicate cortador, descascador e desencapador de fio</t>
  </si>
  <si>
    <t>Alicate rebitador manual</t>
  </si>
  <si>
    <t>Caixa p/ ferramentas em metal c/ cinco gavetas</t>
  </si>
  <si>
    <t>Chave de fenda ¼ x 6”</t>
  </si>
  <si>
    <t>Chave de fenda ¼ x8</t>
  </si>
  <si>
    <t>Chave de fenda 1/8 x 6</t>
  </si>
  <si>
    <t>Chave fenda 3/16 x 4</t>
  </si>
  <si>
    <t>Chave philips 3/16 x 4</t>
  </si>
  <si>
    <t>Chave phillips ¼ x 5”</t>
  </si>
  <si>
    <t>Jogo de chaves de boca, 6 a 22mm</t>
  </si>
  <si>
    <t>Chaves de grifo n° 10</t>
  </si>
  <si>
    <t>Chaves de grifo n° 12</t>
  </si>
  <si>
    <t>Chaves de grifo n° 14</t>
  </si>
  <si>
    <t>Colher de pedreiro</t>
  </si>
  <si>
    <t>Estilete profissional(com lâmina de 18 mm para trabalho pesado com empunhadura de borracha anti-deslizante)</t>
  </si>
  <si>
    <t>Ferro de solda 100W.</t>
  </si>
  <si>
    <t>Jogo de chave ALLEN 1,5mm à 10mm.</t>
  </si>
  <si>
    <t>Jogo de chaves de fenda c/ 6 peças</t>
  </si>
  <si>
    <t>Lixadeira elétrica (p/metal)</t>
  </si>
  <si>
    <t>Picaretas (ponta fina / ponta larga)</t>
  </si>
  <si>
    <t>Serrote de 22”</t>
  </si>
  <si>
    <t>Trena, 5m</t>
  </si>
  <si>
    <t>ESTIMATIVA DE GASTO TOTAL    </t>
  </si>
  <si>
    <t>1 - Manutenção equipamentos (gasto mensal) - adotado 0,5% a.m. (*)</t>
  </si>
  <si>
    <t>Valor residual</t>
  </si>
  <si>
    <t>2 - Depreciação de equiptos. (gasto mensal) adotado 8 anos e residual=20% (**)</t>
  </si>
  <si>
    <t>TOTAL MENSAL</t>
  </si>
  <si>
    <t>Quantidade de empregados p/ divisão (***)</t>
  </si>
  <si>
    <t>VALOR POR FUNCIONÁRIO A SER APLICADO NA PCFP</t>
  </si>
  <si>
    <t>** A Depreciação foi obtida pelo (Valor inicial – Valor residual)/Vida útil em meses de utilização</t>
  </si>
  <si>
    <t>OBSERVAÇÕES:</t>
  </si>
  <si>
    <t>Descrição</t>
  </si>
  <si>
    <t>Custo unit</t>
  </si>
  <si>
    <t>Jaleco em brim com emblema da empresa</t>
  </si>
  <si>
    <t>Calça jeans com emblema da empresa</t>
  </si>
  <si>
    <t>Meia</t>
  </si>
  <si>
    <t>Bota solado de borracha</t>
  </si>
  <si>
    <t>Crachá com foto</t>
  </si>
  <si>
    <t>Valor mensal</t>
  </si>
  <si>
    <t xml:space="preserve"> </t>
  </si>
  <si>
    <t>Bomba de Vácuo 6CFM 2 Estágios VP260</t>
  </si>
  <si>
    <t>Kit serra copo com 11 peças (22mm; 25mm; 29mm; 35mm; 38mm; 44mm; 51mm; 68mm)</t>
  </si>
  <si>
    <t>Talhadeira sextavada 14"</t>
  </si>
  <si>
    <t>Trena, com fita de aço de 20m</t>
  </si>
  <si>
    <t>Espátula aço temperado, cabo de maderia, 10cm</t>
  </si>
  <si>
    <t>Cópia de chave simples</t>
  </si>
  <si>
    <t>Cópia de chave tetra</t>
  </si>
  <si>
    <t>Abertura de fechadura comum</t>
  </si>
  <si>
    <t>Abertura de fechadura tetra</t>
  </si>
  <si>
    <t>TOTAL GERAL (por m2)</t>
  </si>
  <si>
    <t>AJUDANTE DE PEDREIRO</t>
  </si>
  <si>
    <t>MATERIAIS/MDO: SINAPI - Relatório de preços de insumos  - março de 2016 (exceto materiais/serviços marcados com asterisco)</t>
  </si>
  <si>
    <t>CHAPA DE GESSO ACARTONADO, RESISTENTE AO FOGO (RF), COR ROSA, E = 12,5 MM, 1200X 1800 MM (L X C)</t>
  </si>
  <si>
    <t>Fornecimento e Inst. de divisória sanitária em granito com argamassa</t>
  </si>
  <si>
    <t>CIMENTO BRANCO</t>
  </si>
  <si>
    <t>ARGAMASSA COLANTE AC-II</t>
  </si>
  <si>
    <t>AREIA MÉDIA</t>
  </si>
  <si>
    <t>DIVISORIA EM GRANITOESP=3CM COM DUAS FACES POLIDAS LEVIGADO</t>
  </si>
  <si>
    <t>COMPOSIÇÃO (COEFICIENTES) DE REFERÊNCIA: PINI 06.002</t>
  </si>
  <si>
    <t>Percentual sobre o material para cobrir custos de instalação (temperado, e=8mm)</t>
  </si>
  <si>
    <t>%</t>
  </si>
  <si>
    <t>VIDRO TEMPERADO INCOLOR E = 8 MM, SEM COLOCACAO</t>
  </si>
  <si>
    <t>ESPELHO CRISTAL E = 4 MM</t>
  </si>
  <si>
    <t>Fornecimento e Instatalação de espelho cristal (e=4 mm)</t>
  </si>
  <si>
    <t>COMPOSIÇÃO (COEFICIENTES) DE REFERÊNCIA: PINI 27.006_SER</t>
  </si>
  <si>
    <t>COMPOSIÇÃO (COEFICIENTES) DE REFERÊNCIA: PINI 27.003.000001_SER</t>
  </si>
  <si>
    <t>AUXILIAR DE ELETRICISTA</t>
  </si>
  <si>
    <t>DISJUNTOR TIPO NEMA, TRIPOLAR 60 ATE 100A</t>
  </si>
  <si>
    <t>DISJUNTOR TIPO DIN/IEC, TRIPOLAR DE 10 ATE 50A</t>
  </si>
  <si>
    <t>AJUDANTE DE PINTOR</t>
  </si>
  <si>
    <t>MASSA PARA TEXTURA LISA DE BASE ACRILICA, COR BRANCA, USO INTERNO E EXTERNO</t>
  </si>
  <si>
    <t>COMPOSIÇÃO (COEFICIENTES) DE REFERÊNCIA: PINI 24.004.000023.SER</t>
  </si>
  <si>
    <t>Aplicação de revestimento decorativo tipo "textura" e/ou "grafiato", aplicado com rolo</t>
  </si>
  <si>
    <t>MASSA DE REJUNTE EM PO PARA DRYWALL, A BASE DE GESSO, SECAGEM RAPIDA</t>
  </si>
  <si>
    <t>MASSA CORRIDA PVA PARA PAREDES INTERNAS</t>
  </si>
  <si>
    <t>COMPOSIÇÃO (COEFICIENTES) DE REFERÊNCIA: PINI 24.004_SER</t>
  </si>
  <si>
    <t>Emassamento de parede externa com massa acrílica, com duas demão, para pintura látex</t>
  </si>
  <si>
    <t>Emassamento de parede interna com massa corrida, com duas demão, para pintura látex PVA</t>
  </si>
  <si>
    <t>Lixa grana: 100 para superficie madeira/massa</t>
  </si>
  <si>
    <t>MASSA CORRIDA ACRÍLICA PARA PINTURA LATEX</t>
  </si>
  <si>
    <t>Fornecimento e Instalação de vidro temperado 8mm em esquadria/janela</t>
  </si>
  <si>
    <t>Ajudante especializado - Homem hora para serviços a serem realizados das 5h as 22h aos domingos (acrescido de adicional de 100%)</t>
  </si>
  <si>
    <t>Eletricista - Homem hora para serviços a serem realizados das 5h as 22h aos domingos (acrescido de adicional de 100%)</t>
  </si>
  <si>
    <t>Passa fios de Polipropileno/Aço Reforçado 20 Metros</t>
  </si>
  <si>
    <t>RECOLOCACAO DE DIVISORIAS TIPO CHAPAS OU TABUAS, INCLUSIVE ENTARUGAMENTO, CONSIDERANDO REAPROVEITAMENTO DO MATERIAL</t>
  </si>
  <si>
    <t>Serviços de Engenheiro Civil/Mecânico/Eletricista pleno em horário normal de expediente</t>
  </si>
  <si>
    <t>TOTAL GERAL</t>
  </si>
  <si>
    <t>Fornecimento e lançamento de cabo UTP Cat6</t>
  </si>
  <si>
    <t>CABISTA</t>
  </si>
  <si>
    <t>ARAME GALVANIZADO 14 BWG, D = 2,11 MM (0,026 KG/M)</t>
  </si>
  <si>
    <t>M</t>
  </si>
  <si>
    <t>Orçamento da lista de materiais da manutenção predial</t>
  </si>
  <si>
    <t>CABO UTP CAT 6 24AWG</t>
  </si>
  <si>
    <t>Fornecimento e lançamento de cabo UTP, Cat6</t>
  </si>
  <si>
    <t>Composição de preços (ORSE e SINAPI)</t>
  </si>
  <si>
    <t>COMPOSIÇÃO (COEFICIENTES) DE REFERÊNCIA: 07138/ORSE</t>
  </si>
  <si>
    <t>GRANITO CINZA POLIDO PARA PISO E = 2 CM</t>
  </si>
  <si>
    <t>GUARNICAO 5 X 2CM MADEIRA CEDRO/IMBUIA/JEQUITIBA OU SIMILAR</t>
  </si>
  <si>
    <t>CIMENTO IMPERMEABILIZANTE DE PEGA ULTRARRAPIDA</t>
  </si>
  <si>
    <t>FUNDO PREPARADOR ACRILICO BASE AGUA</t>
  </si>
  <si>
    <t>UND</t>
  </si>
  <si>
    <t>1.1</t>
  </si>
  <si>
    <t>Adaptador HDMI femea para micro HDMI macho</t>
  </si>
  <si>
    <t>1.2</t>
  </si>
  <si>
    <t>1.3</t>
  </si>
  <si>
    <t>CABO COAXIAL DIGITAL 95% 75 OHMS</t>
  </si>
  <si>
    <t>1.4</t>
  </si>
  <si>
    <t>Cabo HDMI 1,5m, macho nas duas pontas sinais de resolução suportável: 480i, 480p, 720p, 1080i e 1080p</t>
  </si>
  <si>
    <t>1.5</t>
  </si>
  <si>
    <t>1.6</t>
  </si>
  <si>
    <t>1.7</t>
  </si>
  <si>
    <t>1.8</t>
  </si>
  <si>
    <t>Cabo P2 para P10 - Estério metal (5m de comprimento)</t>
  </si>
  <si>
    <t>1.9</t>
  </si>
  <si>
    <t>3.8</t>
  </si>
  <si>
    <t>1.10</t>
  </si>
  <si>
    <t>1.11</t>
  </si>
  <si>
    <t>CONECTOR "F" DE COMPRESSÃO RG6</t>
  </si>
  <si>
    <t>1.12</t>
  </si>
  <si>
    <t>1.13</t>
  </si>
  <si>
    <t>Divisor para cabo coaxial/passagem tipo "T" sem atenuação</t>
  </si>
  <si>
    <t>1.14</t>
  </si>
  <si>
    <t>DIVERSOS</t>
  </si>
  <si>
    <t>2.1</t>
  </si>
  <si>
    <t>ABRACADEIRA DE NYLON PARA AMARRACAO DE CABOS, COMPRIMENTO DE 100 X 2,5 MM</t>
  </si>
  <si>
    <t>2.2</t>
  </si>
  <si>
    <t>ABRACADEIRA DE NYLON PARA AMARRACAO DE CABOS, COMPRIMENTO DE 200 X *4,6* MM</t>
  </si>
  <si>
    <t>2.3</t>
  </si>
  <si>
    <t>ABRACADEIRA DE NYLON PARA AMARRACAO DE CABOS, COMPRIMENTO DE 390 X *4,6* MM</t>
  </si>
  <si>
    <t>2.4</t>
  </si>
  <si>
    <t>ABRACADEIRA EM ACO PARA AMARRACAO DE ELETRODUTOS, TIPO D, COM 1" E CUNHA DE FIXACAO</t>
  </si>
  <si>
    <t>2.5</t>
  </si>
  <si>
    <t>ABRACADEIRA EM ACO PARA AMARRACAO DE ELETRODUTOS, TIPO D, COM 1/2" E CUNHA DE FIXACAO</t>
  </si>
  <si>
    <t>2.6</t>
  </si>
  <si>
    <t>ABRACADEIRA EM ACO PARA AMARRACAO DE ELETRODUTOS, TIPO D, COM 3/4" E CUNHA DE FIXACAO</t>
  </si>
  <si>
    <t>2.7</t>
  </si>
  <si>
    <t>ABRACADEIRA EM ACO PARA AMARRACAO DE ELETRODUTOS, TIPO D, COM 3/4" E PARAFUSO DE FIXACAO</t>
  </si>
  <si>
    <t>2.9</t>
  </si>
  <si>
    <t>2.10</t>
  </si>
  <si>
    <t>2.11</t>
  </si>
  <si>
    <t>ABRACADEIRA, GALVANIZADA/ZINCADA, ROSCA SEM FIM, PARAFUSO INOX, LARGURA FITA *12,6 A *14 MM, D = 2" A 2 1/2"</t>
  </si>
  <si>
    <t>2.12</t>
  </si>
  <si>
    <t>ABRACADEIRA, GALVANIZADA/ZINCADA, ROSCA SEM FIM, PARAFUSO INOX, LARGURA FITA *12,6 A *14 MM, D = 3" A 3 3/4"</t>
  </si>
  <si>
    <t>2.13</t>
  </si>
  <si>
    <t>ADESIVO ACRILICO/COLA DE CONTATO (Ref.: CASCOLA ou similar)</t>
  </si>
  <si>
    <t>2.14</t>
  </si>
  <si>
    <t>ADESIVO PLASTICO PARA PVC, BISNAGA COM 75 GR</t>
  </si>
  <si>
    <t>2.15</t>
  </si>
  <si>
    <t>Areia lavada média</t>
  </si>
  <si>
    <t>2.16</t>
  </si>
  <si>
    <t>ARGAMASSA OU CIMENTO COLANTE EM PO PARA FIXACAO DE PECAS CERAMICAS</t>
  </si>
  <si>
    <t>2.17</t>
  </si>
  <si>
    <t>BACTERICIDA E DESINCRUSTANTE para limpeza de ar condicionado (Ref.: AIR SHIELD ou similar)</t>
  </si>
  <si>
    <t>2.18</t>
  </si>
  <si>
    <t>BLOCO CERAMICO (ALVENARIA DE VEDACAO), 4 FUROS, DE 9 X 9 X 19 CM</t>
  </si>
  <si>
    <t>2.19</t>
  </si>
  <si>
    <t>BLOCO CERAMICO (ALVENARIA DE VEDACAO), DE 9 X 19 X 19 CM</t>
  </si>
  <si>
    <t>2.20</t>
  </si>
  <si>
    <t>BLOCO CONCRETO ESTRUTURAL 14 X 19 X 29 CM, FBK 6 MPA (NBR 6136)</t>
  </si>
  <si>
    <t>2.21</t>
  </si>
  <si>
    <t>BUCHA NYLON S-10</t>
  </si>
  <si>
    <t>2.22</t>
  </si>
  <si>
    <t>BUCHA NYLON S-10 C/ PARAFUSO ACO ZINC ROSCA SOBERBA CAB CHATA 5,5 X 65MM</t>
  </si>
  <si>
    <t>2.23</t>
  </si>
  <si>
    <t>BUCHA NYLON S-6</t>
  </si>
  <si>
    <t>2.24</t>
  </si>
  <si>
    <t>BUCHA NYLON S-6 C/ PARAFUSO ACO ZINC CAB CHATA ROSCA SOBERBA 4,2 X 45MM</t>
  </si>
  <si>
    <t>2.25</t>
  </si>
  <si>
    <t>BUCHA NYLON S-8</t>
  </si>
  <si>
    <t>2.26</t>
  </si>
  <si>
    <t>BUCHA NYLON S-8 C/ PARAFUSO ACO ZINC CAB CHATA ROSCA SOBERBA 4,8 X 50MM</t>
  </si>
  <si>
    <t>2.27</t>
  </si>
  <si>
    <t>CADEADO DE LATAO (PADRAO COMUM), H = 25 MM</t>
  </si>
  <si>
    <t>2.28</t>
  </si>
  <si>
    <t>Cadeado de latão (padrão comum), H = 30mm (Ref.: CR30 SM - Papaiz ou similar)</t>
  </si>
  <si>
    <t>2.29</t>
  </si>
  <si>
    <t>CAL HIDRATADA CH-I PARA ARGAMASSAS</t>
  </si>
  <si>
    <t>2.31</t>
  </si>
  <si>
    <t>Câmera, marca Intelbras, modelo S4020 IR, lente 3,6mm, 20mts</t>
  </si>
  <si>
    <t>2.32</t>
  </si>
  <si>
    <t>CANALETA PVC SISTEMA "X" 20 X 12 X 2000mm (Barra com 2m, com ou sem divisória interna) (Ref.: Pial Legrand ou similar)</t>
  </si>
  <si>
    <t>BARRA</t>
  </si>
  <si>
    <t>2.33</t>
  </si>
  <si>
    <t>2.34</t>
  </si>
  <si>
    <t>CARGA/REFIL PARA MAÇARICO PORTÁTIL (CILINDRO COM 400G)</t>
  </si>
  <si>
    <t>2.35</t>
  </si>
  <si>
    <t>CHAPA DE LAMINADO MELAMINICO, LISO BRILHANTE, DE *1,25 X 3,08* M, E = 0,8 MM</t>
  </si>
  <si>
    <t>2.37</t>
  </si>
  <si>
    <t>2.38</t>
  </si>
  <si>
    <t>CIMENTO PORTLAND COMPOSTO CP II- 32</t>
  </si>
  <si>
    <t>2.39</t>
  </si>
  <si>
    <t>2.41</t>
  </si>
  <si>
    <t>Controle remoto (transmissor TX com dois ou mais botões) para portões e cancelas, 434 MHz (Ref.: Peccinin ou similar)</t>
  </si>
  <si>
    <t>2.42</t>
  </si>
  <si>
    <t>CORRENTE DE FERRO E = 1/2"</t>
  </si>
  <si>
    <t>2.44</t>
  </si>
  <si>
    <t>2.45</t>
  </si>
  <si>
    <t>DISCO DE LIXA PARA METAL, DIAMETRO = 180 MM, GRAO 120</t>
  </si>
  <si>
    <t>2.48</t>
  </si>
  <si>
    <t>2.49</t>
  </si>
  <si>
    <t>ESPUMA EXPANSIVA DE POLIURETANO SPRAY 480G</t>
  </si>
  <si>
    <t>2.51</t>
  </si>
  <si>
    <t>FECHADURA C/ CILINDRO LATAO CROMADO P/ PORTA VIDRO TP AROUCA 2171-L OU EQUIV</t>
  </si>
  <si>
    <t>2.52</t>
  </si>
  <si>
    <t>FECHADURA DE EMBUTIR PARA PORTA EXTERNA / ENTRADA, MAQUINA 40 MM, COM CILINDRO, MACANETA ALAVANCA E ESPELHO EM METAL CROMADO - NIVEL SEGURANCA MEDIO - COMPLETA</t>
  </si>
  <si>
    <t>2.53</t>
  </si>
  <si>
    <t>FECHADURA DE EMBUTIR PARA PORTA INTERNA, TIPO GORGES (CHAVE GRANDE), MAQUINA 40 MM, MACANETA ALAVANCA E ESPELHO EM METAL CROMADO - NIVEL SEGURANCA MEDIO - COMPLETA</t>
  </si>
  <si>
    <t>2.54</t>
  </si>
  <si>
    <t>FECHADURA TRADICIONAL DE EMBUTIR, CROMADA, COM CILINDRO, PARA GAVETAS E MOVEIS DE MADEIRA - COM ABINHAS LATERAIS CURVAS, CHAVES COM PROTECAO PLASTICA</t>
  </si>
  <si>
    <t>RL</t>
  </si>
  <si>
    <t>2.59</t>
  </si>
  <si>
    <t>FITA DEMARCAÇÃO DE ÁREA ZEBRADA - 70X200M</t>
  </si>
  <si>
    <t>GL</t>
  </si>
  <si>
    <t>GESSO</t>
  </si>
  <si>
    <t>2.62</t>
  </si>
  <si>
    <t>GRAXA LUBRIFICANTE</t>
  </si>
  <si>
    <t>2.64</t>
  </si>
  <si>
    <t>2.65</t>
  </si>
  <si>
    <t>IMPERMEABILIZANTE INCOLOR PARA TRATAMENTO DE FACHADAS E TELHAS, BASE SILICONE</t>
  </si>
  <si>
    <t>2.66</t>
  </si>
  <si>
    <t>LIXA EM FOLHA PARA PAREDE OU MADEIRA, NUMERO 120 (COR VERMELHA)</t>
  </si>
  <si>
    <t>2.67</t>
  </si>
  <si>
    <t>LONA PLASTICA PRETA, E= 150 MICRA</t>
  </si>
  <si>
    <t>M2</t>
  </si>
  <si>
    <t>MACANETA ALAVANCA, RETA OU CURVA, MACICA, CROMADA, COMPRIMENTO DE 10 A 16 CM, ACABAMENTO PADRAO MEDIO - SOMENTE MACANETAS</t>
  </si>
  <si>
    <t>2.71</t>
  </si>
  <si>
    <t>2.72</t>
  </si>
  <si>
    <t>MANGUEIRA CRISTAL, LISA, PVC TRANSPARENTE, 1/2" X 2 MM</t>
  </si>
  <si>
    <t>2.73</t>
  </si>
  <si>
    <t>MANGUEIRA CRISTAL, LISA, PVC TRANSPARENTE, 1/4" X1 MM</t>
  </si>
  <si>
    <t>2.74</t>
  </si>
  <si>
    <t>MANGUEIRA CRISTAL, LISA, PVC TRANSPARENTE, 3/4" X 2 MM</t>
  </si>
  <si>
    <t>MANGUEIRA DE INCENDIO, TIPO 1, DE 1 1/2", COMPRIMENTO = 30 M, TECIDO EM FIO DE POLIESTER E TUBO INTERNO EM BORRACHA SINTETICA, COM UNIOES ENGATE RAPIDO</t>
  </si>
  <si>
    <t>2.77</t>
  </si>
  <si>
    <t>2.78</t>
  </si>
  <si>
    <t>MASSA PLASTICA ADESIVA PARA MARMORE/GRANITO</t>
  </si>
  <si>
    <t>MOLA FECHA PORTA P/ PORTA C/ LARGURA ATE 90CM</t>
  </si>
  <si>
    <t>PARAFUSO DE ACO TIPO CHUMBADOR PARABOLT, DIAMETRO 3/8", COMPRIMENTO 75 MM</t>
  </si>
  <si>
    <t>PARAFUSO ZINCADO ROSCA SOBERBA 5/16 " X 120 MM PARA TELHA FIBROCIMENTO</t>
  </si>
  <si>
    <t>REBITE DE ALUMINIO VAZADO DE REPUXO, 3,2 X 8 MM (1KG = 1025 UNIDADES)</t>
  </si>
  <si>
    <t>REDUTOR TIPO THINNER PARA ACABAMENTO</t>
  </si>
  <si>
    <t>REJUNTE BRANCO, CIMENTICIO</t>
  </si>
  <si>
    <t>REMOVEDOR DE TINTA OLEO/ESMALTE VERNIZ</t>
  </si>
  <si>
    <t>LT</t>
  </si>
  <si>
    <t>REVESTIMENTO EM CERAMICA ESMALTADA EXTRA, PEI MAIOR OU IGUAL 4, FORMATO MAIOR A 2025 CM2</t>
  </si>
  <si>
    <t>SILICONE ACETICO USO GERAL INCOLOR 280 G</t>
  </si>
  <si>
    <t>SODA CAUSTICA</t>
  </si>
  <si>
    <t>4.25</t>
  </si>
  <si>
    <t>SOLUCAO LIMPADORA PARA PVC, FRASCO COM 1000 CM3</t>
  </si>
  <si>
    <t>20083</t>
  </si>
  <si>
    <t>SPRAY DESENGRIPANTE E ANTIFERRUGEM (300 ml)</t>
  </si>
  <si>
    <t>SPRAY LIMPA CONTATO (de 210 a 300 ml)</t>
  </si>
  <si>
    <t>TELHA DE FIBROCIMENTO ONDULADA E= 4 MM, DE *1,22 X 0,50* M (SEM AMIANTO)</t>
  </si>
  <si>
    <t>TIJOLO CERAMICO LAMINADO 5,5 X 11 X 23 CM</t>
  </si>
  <si>
    <t>TIJOLO CERAMICO MACICO *5 X 10 X 20* CM</t>
  </si>
  <si>
    <t>TINTA ESMALTE SINTÉTICO FOSCO</t>
  </si>
  <si>
    <t>VIDRO TEMPERADO VERDE E = 8 MM, SEM COLOCACAO</t>
  </si>
  <si>
    <t>3.1</t>
  </si>
  <si>
    <t>ADAPTADOR TOMADAS NBR/ 2P+T NEMA 10A/15A - 250 V (Ref: INJETEL OU SIMILAR)</t>
  </si>
  <si>
    <t>3.2</t>
  </si>
  <si>
    <t>3.3</t>
  </si>
  <si>
    <t>3.4</t>
  </si>
  <si>
    <t>BANDEJA FIXA 1X600MM 4 PONTOS PARA RACK TI</t>
  </si>
  <si>
    <t>3.5</t>
  </si>
  <si>
    <t>3.6</t>
  </si>
  <si>
    <t>Bateria 18 ou 17 Ah, 12Vdc (para no-break)</t>
  </si>
  <si>
    <t>3.7</t>
  </si>
  <si>
    <t>CABO DE COBRE ISOLAMENTO ANTI-CHAMA 0,6/1KV 16MM2 (1 CONDUTOR) TP SINTENAX PIRELLI OU EQUIV</t>
  </si>
  <si>
    <t>3.9</t>
  </si>
  <si>
    <t>3.10</t>
  </si>
  <si>
    <t>CABO DE COBRE ISOLAMENTO ANTI-CHAMA 450/750V 4MM2, TP PIRASTIC PIRELLI OU EQUIV</t>
  </si>
  <si>
    <t>3.11</t>
  </si>
  <si>
    <t>CABO DE COBRE ISOLAMENTO ANTI-CHAMA 450/750V 50MM2, TP PIRASTIC PIRELLI OU EQUIV</t>
  </si>
  <si>
    <t>3.12</t>
  </si>
  <si>
    <t>CABO DE COBRE ISOLAMENTO ANTI-CHAMA 450/750V 6MM2, TP PIRASTIC PIRELLI OU EQUIV</t>
  </si>
  <si>
    <t>3.13</t>
  </si>
  <si>
    <t>3.14</t>
  </si>
  <si>
    <t>3.15</t>
  </si>
  <si>
    <t>3.16</t>
  </si>
  <si>
    <t>3.17</t>
  </si>
  <si>
    <t>3.18</t>
  </si>
  <si>
    <t>CAIXA DE PASSAGEM DIM 60 X 60 X 12CM EM CHAPA DE ACO GALV</t>
  </si>
  <si>
    <t>3.19</t>
  </si>
  <si>
    <t>3.20</t>
  </si>
  <si>
    <t>CAIXA DE SOBREPOR BRANCA - SISTEMA X, 4x2</t>
  </si>
  <si>
    <t>3.21</t>
  </si>
  <si>
    <t>CAIXA PASSAGEM METALICA 25 X 25 X 10CM P/ INST ELETRICA</t>
  </si>
  <si>
    <t>3.22</t>
  </si>
  <si>
    <t>3.23</t>
  </si>
  <si>
    <t>3.24</t>
  </si>
  <si>
    <t>3.25</t>
  </si>
  <si>
    <t>3.26</t>
  </si>
  <si>
    <t>CHAVE SECCIONADORA TRIPOLAR 250A, 600V C/ FUSIVEIS NH 200A EM CAIXA (REF.: HAGER LT150 ou similar)</t>
  </si>
  <si>
    <t>3.27</t>
  </si>
  <si>
    <t>CONDULETE DE ALUMINIO TIPO C, PARA ELETRODUTO ROSCAVEL DE 3/4", COM TAMPA</t>
  </si>
  <si>
    <t>3.28</t>
  </si>
  <si>
    <t>3.29</t>
  </si>
  <si>
    <t>CONDULETE DE ALUMINIO TIPO E, PARA ELETRODUTO ROSCAVEL DE 3/4", COM TAMPA</t>
  </si>
  <si>
    <t>3.30</t>
  </si>
  <si>
    <t>3.31</t>
  </si>
  <si>
    <t>CONDULETE DE ALUMINIO TIPO LR, PARA ELETRODUTO ROSCAVEL DE 3/4", COM TAMPA CEGA</t>
  </si>
  <si>
    <t>3.32</t>
  </si>
  <si>
    <t>CONDULETE DE ALUMINIO TIPO T, PARA ELETRODUTO ROSCAVEL DE 3/4", COM TAMPA CEGA</t>
  </si>
  <si>
    <t>3.33</t>
  </si>
  <si>
    <t>3.34</t>
  </si>
  <si>
    <t>3.35</t>
  </si>
  <si>
    <t>3.36</t>
  </si>
  <si>
    <t>3.37</t>
  </si>
  <si>
    <t>3.38</t>
  </si>
  <si>
    <t>CONECTOR FÊMEA RJ-45 – CAT. 6 (Ref.: FURUKAWA OU SIMILAR)</t>
  </si>
  <si>
    <t>3.39</t>
  </si>
  <si>
    <t>3.40</t>
  </si>
  <si>
    <t>3.41</t>
  </si>
  <si>
    <t>3.42</t>
  </si>
  <si>
    <t>3.43</t>
  </si>
  <si>
    <t>3.44</t>
  </si>
  <si>
    <t>3.45</t>
  </si>
  <si>
    <t>CURVA 90G FERRO GALV ELETROLITICO 1/2" P/ ELETRODUTO</t>
  </si>
  <si>
    <t>3.46</t>
  </si>
  <si>
    <t>3.47</t>
  </si>
  <si>
    <t>3.49</t>
  </si>
  <si>
    <t>3.50</t>
  </si>
  <si>
    <t>3.53</t>
  </si>
  <si>
    <t>3.54</t>
  </si>
  <si>
    <t>3.58</t>
  </si>
  <si>
    <t>3.59</t>
  </si>
  <si>
    <t>3.60</t>
  </si>
  <si>
    <t>3.61</t>
  </si>
  <si>
    <t>3.64</t>
  </si>
  <si>
    <t>3.65</t>
  </si>
  <si>
    <t>DISJUNTOR TIPO DIN/IEC, BIPOLAR DE 6 ATE 32A</t>
  </si>
  <si>
    <t>3.66</t>
  </si>
  <si>
    <t>DISJUNTOR TIPO DIN/IEC, TRIPOLAR 63 A</t>
  </si>
  <si>
    <t>3.67</t>
  </si>
  <si>
    <t>3.68</t>
  </si>
  <si>
    <t>DISJUNTOR TIPO NEMA, BIPOLAR 10 ATE 50A</t>
  </si>
  <si>
    <t>DISJUNTOR TIPO NEMA, TRIPOLAR 10 ATE 50A</t>
  </si>
  <si>
    <t>3.70</t>
  </si>
  <si>
    <t>3.71</t>
  </si>
  <si>
    <t>Dispositivo Protetor de Surto de Tensão (DPS) - 20KA/275V (Ref.: CLAMPER VLC slim ou similar)</t>
  </si>
  <si>
    <t>Eletrocalha 100x50 GALVANIZADA PERFURADA - TIPO "U"</t>
  </si>
  <si>
    <t>3.74</t>
  </si>
  <si>
    <t>3.75</t>
  </si>
  <si>
    <t>ELETRODUTO DE PVC ROSCÁVEL DE 1, SEM LUVA</t>
  </si>
  <si>
    <t>3.76</t>
  </si>
  <si>
    <t>ELETRODUTO DE PVC ROSCÁVEL DE 1/2, SEM LUVA</t>
  </si>
  <si>
    <t>3.78</t>
  </si>
  <si>
    <t>ELETRODUTO METALICO FLEXIVEL TIPO CONDUITE D = 1/2"</t>
  </si>
  <si>
    <t>3.82</t>
  </si>
  <si>
    <t>ELETRODUTO PVC FLEXIVEL CORRUGADO 16MM TIPO TIGREFLEX OU EQUIV</t>
  </si>
  <si>
    <t>ELETRODUTO PVC FLEXIVEL CORRUGADO 20MM TIPO TIGREFLEX OU EQUIV</t>
  </si>
  <si>
    <t>ELETRODUTO PVC FLEXIVEL CORRUGADO 25MM TIPO TIGREFLEX OU EQUIV</t>
  </si>
  <si>
    <t>3.85</t>
  </si>
  <si>
    <t>3.86</t>
  </si>
  <si>
    <t>FITA ISOLANTE ADESIVA ANTICHAMA, USO ATE 750 V, EM ROLO DE 19 MM X 20 M</t>
  </si>
  <si>
    <t>FONTE CHAVEADA (entrada: 220Vac para saída: 12Vcc 15A) PARA CFTV</t>
  </si>
  <si>
    <t>FUSIVEL DIAZED 20 A TAMANHO DII</t>
  </si>
  <si>
    <t>Guia de Cabos para Racks 1U (19"), em aço, pintura na cor preta (Ref.: Furukawa ou similar)</t>
  </si>
  <si>
    <t>LAMPADA FLUORESCENTE COMPACTA 3U BRANCA 20 W, BASE E-27 (127/220 V)</t>
  </si>
  <si>
    <t>LÂMPADA FLUORESCENTE TUBULAR T8 16W (Ref.: OSRAM ou similar)</t>
  </si>
  <si>
    <t>LUMINARIA CALHA SOBREPOR EM CHAPA ACO P/ 1 LAMPADA FLUORESCENTE 40W (NÃO INCLUI REATOR E LAMP)</t>
  </si>
  <si>
    <t>Luminária de sobrepor, 1,5x0,2m para duas lâmpadas fluorescentes tubulares 40W, chapa de aço tratada e pintada, com soquete, refletor e aletas parabólicas (modelo: intral RS 802 ou similar)</t>
  </si>
  <si>
    <t>LUMINARIA PROVA DE TEMPO PETERCO Y.31/1</t>
  </si>
  <si>
    <t>Módulo Interruptor simples 10A, 250V (Ref.: PRIME ou similar)</t>
  </si>
  <si>
    <t>MÓDULO TOMADA 2P + T 10A (Ref.: PRIME ou similar)</t>
  </si>
  <si>
    <t>Módulo tomada 2p+T 20A (PRIME ou similar)</t>
  </si>
  <si>
    <t>Módulo tomada RJ45, Cat6, Branco (Ref.: PRIME ou similar)</t>
  </si>
  <si>
    <t>Patch panel 24 portas, Cat6 (Ref.: Furukawa ou similar)</t>
  </si>
  <si>
    <t>regua para rack 1U (19") com min de 12 tomadas de 10A e cabo de 1m</t>
  </si>
  <si>
    <t>Rele de falta de Fase, trifasico, 220V, sem retardo 1R (Ref.: FSN-22 MM 220VCA Altronic ou similar)</t>
  </si>
  <si>
    <t>Relé térmico, trifásico, 380V, corrente máx 22A</t>
  </si>
  <si>
    <t>SOQUETE DE PORCELANA BASE E27, FIXO DE TETO, PARA LAMPADAS</t>
  </si>
  <si>
    <t>SOQUETE DE PVC / TERMOPLASTICO BASE E27, COM RABICHO, PARA LAMPADAS</t>
  </si>
  <si>
    <t>TAMPA CEGA EM PVC P/CONDULETE 4 X 2"</t>
  </si>
  <si>
    <t>TERMINAL A COMPRESSAO EM COBRE ESTANHADO PARA CABO 120 MM2, 1 FURO E 1 COMPRESSAO</t>
  </si>
  <si>
    <t>TOMADA PARA REDE RJ-45 FEMEA, Cat6 PIAL SISTEMA X EXTERNA (completa) (Ref.: Pial ou similar)</t>
  </si>
  <si>
    <t>4.1</t>
  </si>
  <si>
    <t>ACABAMENTO CROMADO PARA REGISTRO PEQUENO, 1/2 " OU 3/4 "</t>
  </si>
  <si>
    <t>4.2</t>
  </si>
  <si>
    <t>6.6</t>
  </si>
  <si>
    <t>4.3</t>
  </si>
  <si>
    <t>ASSENTO SANITARIO DE PLASTICO, TIPO CONVENCIONAL</t>
  </si>
  <si>
    <t>6.79</t>
  </si>
  <si>
    <t>4.4</t>
  </si>
  <si>
    <t>AUTOMATICO DE BOIA SUPERIOR / INFERIOR, *15* A / 250 V</t>
  </si>
  <si>
    <t>4.5</t>
  </si>
  <si>
    <t>4.6</t>
  </si>
  <si>
    <t>BACIA SANITARIA (VASO) COM CAIXA ACOPLADA, DE LOUCA BRANCA</t>
  </si>
  <si>
    <t>4.7</t>
  </si>
  <si>
    <t>BACIA SANITARIA (VASO) CONVENCIONAL DE LOUCA BRANCA</t>
  </si>
  <si>
    <t>4.8</t>
  </si>
  <si>
    <t xml:space="preserve">BOMBA CENTRIFUGA MOTOR ELETRICO TRIFASICO 0,99HP DIAMETRO DE SUCCAO X </t>
  </si>
  <si>
    <t>CHUVEIRO COMUM EM PLASTICO BRANCO, COM CANO, 3 TEMPERATURAS, 5500 W (110/220V)</t>
  </si>
  <si>
    <t>4.10</t>
  </si>
  <si>
    <t>4.11</t>
  </si>
  <si>
    <t>CURVA 90º 3/4" GALVANIZADO</t>
  </si>
  <si>
    <t>4.12</t>
  </si>
  <si>
    <t>4.13</t>
  </si>
  <si>
    <t>CURVA DE PVC 45 GRAUS, SOLDAVEL, 20 MM, PARA AGUA FRIA PREDIAL (NBR 5648)</t>
  </si>
  <si>
    <t>4.14</t>
  </si>
  <si>
    <t>CURVA DE PVC 45 GRAUS, SOLDAVEL, 25 MM, PARA AGUA FRIA PREDIAL (NBR 5648)</t>
  </si>
  <si>
    <t>4.15</t>
  </si>
  <si>
    <t>CURVA DE PVC 45 GRAUS, SOLDAVEL, 50 MM, PARA AGUA FRIA PREDIAL (NBR 5648)</t>
  </si>
  <si>
    <t>4.16</t>
  </si>
  <si>
    <t>CURVA DE PVC 90 GRAUS, SOLDAVEL, 20 MM, PARA AGUA FRIA PREDIAL (NBR 5648)</t>
  </si>
  <si>
    <t>4.17</t>
  </si>
  <si>
    <t>CURVA DE PVC 90 GRAUS, SOLDAVEL, 25 MM, PARA AGUA FRIA PREDIAL (NBR 5648)</t>
  </si>
  <si>
    <t>4.18</t>
  </si>
  <si>
    <t>CURVA DE PVC 90 GRAUS, SOLDAVEL, 50 MM, PARA AGUA FRIA PREDIAL (NBR 5648)</t>
  </si>
  <si>
    <t>4.19</t>
  </si>
  <si>
    <t>CURVA PVC 90 GRAUS, ROSCAVEL, 1", AGUA FRIA PREDIAL</t>
  </si>
  <si>
    <t>4.20</t>
  </si>
  <si>
    <t>CURVA PVC 90 GRAUS, ROSCAVEL, 1/2", AGUA FRIA PREDIAL</t>
  </si>
  <si>
    <t>4.21</t>
  </si>
  <si>
    <t>CURVA PVC 90 GRAUS, ROSCAVEL, 2", AGUA FRIA PREDIAL</t>
  </si>
  <si>
    <t>4.22</t>
  </si>
  <si>
    <t>CURVA PVC 90 GRAUS, ROSCAVEL, 3/4", AGUA FRIA PREDIAL</t>
  </si>
  <si>
    <t>4.23</t>
  </si>
  <si>
    <t>DUCHA HIGIENICA PLASTICA COM REGISTRO METALICO 1/2 "</t>
  </si>
  <si>
    <t>6.19</t>
  </si>
  <si>
    <t>4.24</t>
  </si>
  <si>
    <t>FITA VEDA ROSCA EM ROLOS 18MMX50M</t>
  </si>
  <si>
    <t>FLANGE PVC ROSCAVEL SEXTAVADO SEM FUROS 3/4"</t>
  </si>
  <si>
    <t>4.26</t>
  </si>
  <si>
    <t>FLANGE PVC ROSCAVEL, SEXTAVADO, SEM FUROS, 1"</t>
  </si>
  <si>
    <t>4.27</t>
  </si>
  <si>
    <t>FLANGE PVC ROSCAVEL, SEXTAVADO, SEM FUROS, 1/2"</t>
  </si>
  <si>
    <t>FLANGE PVC, ROSCAVEL, SEXTAVADO, SEM FUROS, 2"</t>
  </si>
  <si>
    <t>4.30</t>
  </si>
  <si>
    <t>4.31</t>
  </si>
  <si>
    <t>JOELHO PVC C/ROSCA 45G P/ AGUA FRIA PREDIAL 1"</t>
  </si>
  <si>
    <t>4.32</t>
  </si>
  <si>
    <t>JOELHO PVC C/ROSCA 45G P/AGUA FRIA PREDIAL 3/4"</t>
  </si>
  <si>
    <t>4.33</t>
  </si>
  <si>
    <t>JOELHO PVC SERIE R P/ ESG PREDIAL 45G DN 50MM</t>
  </si>
  <si>
    <t>6.29</t>
  </si>
  <si>
    <t>4.34</t>
  </si>
  <si>
    <t>JOELHO PVC SERIE R P/ ESG PREDIAL 90G DN 40MM</t>
  </si>
  <si>
    <t>6.27</t>
  </si>
  <si>
    <t>JOELHO PVC SOLD 90G C/BUCHA DE LATAO 25MM X 3/4"</t>
  </si>
  <si>
    <t>6.45</t>
  </si>
  <si>
    <t>4.36</t>
  </si>
  <si>
    <t>4.37</t>
  </si>
  <si>
    <t>LUVA PVC SOLDAVEL C/ BUCHA LATAO 25 MM X 3/4"</t>
  </si>
  <si>
    <t>6.57</t>
  </si>
  <si>
    <t>4.38</t>
  </si>
  <si>
    <t>LUVA SIMPLES, PVC, SOLDAVEL, DN 50 MM, SERIE NORMAL, PARA ESGOTO PREDIAL</t>
  </si>
  <si>
    <t>6.53</t>
  </si>
  <si>
    <t>4.39</t>
  </si>
  <si>
    <t>MICTORIO SIFONADO LOUCA COR SEM COMPLEMENTOS</t>
  </si>
  <si>
    <t>4.40</t>
  </si>
  <si>
    <t>NIPEL PVC, ROSCAVEL, 1", AGUA FRIA PREDIAL</t>
  </si>
  <si>
    <t>4.41</t>
  </si>
  <si>
    <t>NIPEL PVC, ROSCAVEL, 3/4", AGUA FRIA PREDIAL</t>
  </si>
  <si>
    <t>4.42</t>
  </si>
  <si>
    <t>REGISTRO DE ESFERA PVC, COM BORBOLETA, COM ROSCA EXTERNA, DE 3/4"</t>
  </si>
  <si>
    <t>4.43</t>
  </si>
  <si>
    <t>REGISTRO DE ESFERA, PVC, COM VOLANTE, VS, ROSCAVEL, DN 1", COM CORPO DIVIDIDO</t>
  </si>
  <si>
    <t>4.44</t>
  </si>
  <si>
    <t>REGISTRO DE ESFERA, PVC, COM VOLANTE, VS, ROSCAVEL, DN 1/2", COM CORPO DIVIDIDO</t>
  </si>
  <si>
    <t>4.45</t>
  </si>
  <si>
    <t>REGISTRO DE ESFERA, PVC, COM VOLANTE, VS, ROSCAVEL, DN 2", COM CORPO DIVIDIDO</t>
  </si>
  <si>
    <t>4.46</t>
  </si>
  <si>
    <t>REGISTRO DE ESFERA, PVC, COM VOLANTE, VS, ROSCAVEL, DN 3/4", COM CORPO DIVIDIDO</t>
  </si>
  <si>
    <t>4.47</t>
  </si>
  <si>
    <t>REGISTRO DE PRESSAO PVC, ROSCAVEL, VOLANTE SIMPLES, DE 3/4"</t>
  </si>
  <si>
    <t>4.48</t>
  </si>
  <si>
    <t>REGISTRO GAVETA COM ACABAMENTO E CANOPLA CROMADOS, SIMPLES, BITOLA 1/2 " (REF 1509)</t>
  </si>
  <si>
    <t>4.49</t>
  </si>
  <si>
    <t>REGISTRO GAVETA COM ACABAMENTO E CANOPLA CROMADOS, SIMPLES, BITOLA 3/4 " (REF 1509)</t>
  </si>
  <si>
    <t>4.50</t>
  </si>
  <si>
    <t>REGISTRO PRESSAO BRUTO EM LATAO FORJADO, BITOLA 3/4 " (REF 1400)</t>
  </si>
  <si>
    <t>4.51</t>
  </si>
  <si>
    <t>4.52</t>
  </si>
  <si>
    <t>20261</t>
  </si>
  <si>
    <t>4.53</t>
  </si>
  <si>
    <t>TE PVC ROSCAVEL 90 GRAUS, 1", PARA AGUA FRIA PREDIAL</t>
  </si>
  <si>
    <t>4.54</t>
  </si>
  <si>
    <t>6.85</t>
  </si>
  <si>
    <t>4.55</t>
  </si>
  <si>
    <t>TE PVC, ROSCAVEL, 90 GRAUS, 1/2", AGUA FRIA PREDIAL</t>
  </si>
  <si>
    <t>4.56</t>
  </si>
  <si>
    <t>TE PVC, ROSCAVEL, 90 GRAUS, 2", AGUA FRIA PREDIAL</t>
  </si>
  <si>
    <t>4.57</t>
  </si>
  <si>
    <t>TE PVC, ROSCAVEL, 90 GRAUS, 3/4", AGUA FRIA PREDIAL</t>
  </si>
  <si>
    <t>4.58</t>
  </si>
  <si>
    <t>TE SOLDAVEL, PVC, 90 GRAUS, 20 MM, PARA AGUA FRIA PREDIAL (NBR 5648)</t>
  </si>
  <si>
    <t>4.59</t>
  </si>
  <si>
    <t>TE SOLDAVEL, PVC, 90 GRAUS, 25 MM, PARA AGUA FRIA PREDIAL (NBR 5648)</t>
  </si>
  <si>
    <t>4.60</t>
  </si>
  <si>
    <t>TE SOLDAVEL, PVC, 90 GRAUS, 32 MM, PARA AGUA FRIA PREDIAL (NBR 5648)</t>
  </si>
  <si>
    <t>4.61</t>
  </si>
  <si>
    <t>4.62</t>
  </si>
  <si>
    <t>TORNEIRA CROMADA COM BICO PARA JARDIM/TANQUE 1/2 " OU 3/4 " (REF 1153)</t>
  </si>
  <si>
    <t>4.63</t>
  </si>
  <si>
    <t>TORNEIRA CROMADA CURTA SEM BICO PARA TANQUE, PADRAO POPULAR, 1/2 " OU 3/4 " (REF 1140)</t>
  </si>
  <si>
    <t>4.64</t>
  </si>
  <si>
    <t>TORNEIRA CROMADA DE MESA PARA COZINHA BICA MOVEL COM AREJADOR 1/2 " OU 3/4 " (REF 1167)</t>
  </si>
  <si>
    <t>4.65</t>
  </si>
  <si>
    <t>4.66</t>
  </si>
  <si>
    <t>TORNEIRA DE BOIA CONVENCIONAL PLASTICA 3/4 " COM BALAO PLASTICO</t>
  </si>
  <si>
    <t>4.67</t>
  </si>
  <si>
    <t>TUBO PVC ROSCAVEL, 3/4", AGUA FRIA PREDIAL</t>
  </si>
  <si>
    <t>6.93</t>
  </si>
  <si>
    <t>4.68</t>
  </si>
  <si>
    <t>6.99</t>
  </si>
  <si>
    <t>4.69</t>
  </si>
  <si>
    <t xml:space="preserve">TUBO PVC SOLDAVEL EB-892 P/AGUA FRIA PREDIAL DN 25MM </t>
  </si>
  <si>
    <t>6.94</t>
  </si>
  <si>
    <t>4.70</t>
  </si>
  <si>
    <t>TUBO PVC SOLDAVEL EB-892 P/AGUA FRIA PREDIAL DN 50MM</t>
  </si>
  <si>
    <t>6.95</t>
  </si>
  <si>
    <t>4.71</t>
  </si>
  <si>
    <t>TUBO PVC, ROSCAVEL, 1", AGUA FRIA PREDIAL</t>
  </si>
  <si>
    <t>TUBO PVC, ROSCAVEL, 1/2", AGUA FRIA PREDIAL</t>
  </si>
  <si>
    <t>TUBO PVC, ROSCAVEL, 2", PARA AGUA FRIA PREDIAL</t>
  </si>
  <si>
    <t>UNIAO PVC, ROSCAVEL, 3/4", AGUA FRIA PREDIAL</t>
  </si>
  <si>
    <t>6.102</t>
  </si>
  <si>
    <t>UNIAO PVC, SOLDAVEL, 32 MM, PARA AGUA FRIA PREDIAL</t>
  </si>
  <si>
    <t>6.103</t>
  </si>
  <si>
    <t>VALVULA DE DESCARGA EM METAL CROMADO PARA MICTORIO COM ACIONAMENTO POR PRESSAO E FECHAMENTO AUTOMATICO</t>
  </si>
  <si>
    <t>VEDACAO PVC, 100 MM, PARA SAIDA VASO SANITARIO (anel)</t>
  </si>
  <si>
    <t>GRELHA PVC CROMADA REDONDA, 150 MM</t>
  </si>
  <si>
    <t>Kit completo para caixa acoplada (entrada) (Ref.: R&amp;T, Censi ou similar)</t>
  </si>
  <si>
    <t>5.1</t>
  </si>
  <si>
    <t>6.1</t>
  </si>
  <si>
    <t>6.2</t>
  </si>
  <si>
    <t>6.3</t>
  </si>
  <si>
    <t>6.4</t>
  </si>
  <si>
    <t>6.5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</si>
  <si>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</si>
  <si>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</si>
  <si>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</si>
  <si>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</si>
  <si>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</si>
  <si>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</si>
  <si>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</si>
  <si>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</si>
  <si>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</si>
  <si>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</si>
  <si>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</si>
  <si>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</si>
  <si>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6.20</t>
  </si>
  <si>
    <t>6.21</t>
  </si>
  <si>
    <t>FITA PVC REFRIGERAÇÃO AR CONDICIONADO SPLIT 100MMX10M (ISOLAMENTO)</t>
  </si>
  <si>
    <t>GF</t>
  </si>
  <si>
    <t>GÁS R-22 (GARRAFA DE 13,6 KG)</t>
  </si>
  <si>
    <t>TUBO DE COBRE FLEXÍVEL 1/2" (0,28KG/m)</t>
  </si>
  <si>
    <t>TUBO DE COBRE FLEXÍVEL 1/4" (0,13KG/m)</t>
  </si>
  <si>
    <t>TUBO DE COBRE FLEXÍVEL 3/4" (0,43KG/m)</t>
  </si>
  <si>
    <t>TUBO DE COBRE FLEXÍVEL 5/8" (0,35KG/m)</t>
  </si>
  <si>
    <t>Tubo de cobre flexível de 3/8" (0,19KG/m)</t>
  </si>
  <si>
    <t>Tubo isolante flexivel (ISOLAMENTO TERMICO) PARA TUBO DE COBRE DE 1/2" (espessura 10mm)</t>
  </si>
  <si>
    <t>Tubo isolante flexivel (ISOLAMENTO TERMICO) PARA TUBO DE COBRE DE 1/4" (espessura 10mm)</t>
  </si>
  <si>
    <t>Tubo isolante flexivel (ISOLAMENTO TERMICO) PARA TUBO DE COBRE DE 3/4" (espessura 10mm)</t>
  </si>
  <si>
    <t>Tubo isolante flexivel (ISOLAMENTO TERMICO) PARA TUBO DE COBRE DE 3/8" (espessura 10mm)</t>
  </si>
  <si>
    <t>Tubo isolante flexivel (ISOLAMENTO TERMICO) PARA TUBO DE COBRE DE 5/8" (espessura 10mm)</t>
  </si>
  <si>
    <t>ANEXO B - CUSTO TOTAL MÁXIMO ESTIMADO PARA A CONTRATAÇÃO</t>
  </si>
  <si>
    <t>VALOR MENSAL</t>
  </si>
  <si>
    <t>A</t>
  </si>
  <si>
    <t>Serviços permanentes de manutenção</t>
  </si>
  <si>
    <t>A.1</t>
  </si>
  <si>
    <t>Custo da Mão-de-obra</t>
  </si>
  <si>
    <t>A.2</t>
  </si>
  <si>
    <t>Custo dos Materiais de reposição</t>
  </si>
  <si>
    <t>B</t>
  </si>
  <si>
    <t>Serviços Eventuais</t>
  </si>
  <si>
    <t>B.1</t>
  </si>
  <si>
    <t xml:space="preserve">Custo para execução dos serviços eventuais </t>
  </si>
  <si>
    <t>VALOR TOTAL</t>
  </si>
  <si>
    <t>Posto de Serviço</t>
  </si>
  <si>
    <t>Postos de Serviço</t>
  </si>
  <si>
    <t>Jornada  H/S</t>
  </si>
  <si>
    <t>Custo Unitário (R$)</t>
  </si>
  <si>
    <t>Custo Mensal (R$)</t>
  </si>
  <si>
    <t>Artífice</t>
  </si>
  <si>
    <t>Técnico de Refrigeração</t>
  </si>
  <si>
    <t xml:space="preserve">Observações: </t>
  </si>
  <si>
    <t>MÓDULO 1: COMPOSIÇÃO DA REMUNERAÇÃO</t>
  </si>
  <si>
    <t>Salário Base</t>
  </si>
  <si>
    <t>C</t>
  </si>
  <si>
    <t>D</t>
  </si>
  <si>
    <t>E</t>
  </si>
  <si>
    <t>F</t>
  </si>
  <si>
    <t>Materiais</t>
  </si>
  <si>
    <t>INSS</t>
  </si>
  <si>
    <t>SESI ou SESC</t>
  </si>
  <si>
    <t>SENAI ou SENAC</t>
  </si>
  <si>
    <t>INCRA</t>
  </si>
  <si>
    <t>Salário Educação</t>
  </si>
  <si>
    <t>FGTS</t>
  </si>
  <si>
    <t>G</t>
  </si>
  <si>
    <t>SEBRAE</t>
  </si>
  <si>
    <t>Conjunto ATPV para eletricista - NR10 (Calça e camisa) com refletivo</t>
  </si>
  <si>
    <t>Qtd. Semestral (und)</t>
  </si>
  <si>
    <t>Vesty</t>
  </si>
  <si>
    <t>Equivale</t>
  </si>
  <si>
    <t>Vale Mais Equip</t>
  </si>
  <si>
    <t>1 - Como o eletricista utiliza o conjunto ATPV, não foram previstas camisa polo e calça jeans para ele.</t>
  </si>
  <si>
    <t>Valor mensal (por funcionário)</t>
  </si>
  <si>
    <t>Pregão nº 5/2016 (ANAC RRSP)</t>
  </si>
  <si>
    <t>Composição da Remuneração</t>
  </si>
  <si>
    <t>Valor (R$)</t>
  </si>
  <si>
    <t>Adicional de periculosidade</t>
  </si>
  <si>
    <t>Adicional de insalubridade (Enunciado 361 TST)</t>
  </si>
  <si>
    <t>Adicional noturno</t>
  </si>
  <si>
    <t>Benefícios Mensais e Diários</t>
  </si>
  <si>
    <t>Outros (especificar)</t>
  </si>
  <si>
    <t>Insumos Diversos</t>
  </si>
  <si>
    <t>Total de Insumos diversos</t>
  </si>
  <si>
    <t>Técnico Eletricista</t>
  </si>
  <si>
    <t xml:space="preserve">  ANEXO B.I - QUADRO RESUMO DE MÃO-DE-OBRA</t>
  </si>
  <si>
    <t xml:space="preserve">             ANEXO B.III - CUSTO DE UNIFORMES</t>
  </si>
  <si>
    <t xml:space="preserve"> ANEXO B.VIII - COMPOSIÇÃO DO CUSTO DOS SERVIÇOS EVENTUAIS</t>
  </si>
  <si>
    <t xml:space="preserve">                        BENEFÍCIOS E DESPESAS INDIRETAS (BDI)</t>
  </si>
  <si>
    <t>CONSTRUÇÃO DE EDIFÍCIOS</t>
  </si>
  <si>
    <t>Despesas indiretas (especificar cada item)</t>
  </si>
  <si>
    <t xml:space="preserve">Administração central </t>
  </si>
  <si>
    <t xml:space="preserve">Seguro + Garantia </t>
  </si>
  <si>
    <t>A.3</t>
  </si>
  <si>
    <t xml:space="preserve">Risco </t>
  </si>
  <si>
    <t>Total do grupo A</t>
  </si>
  <si>
    <t>Bonificação</t>
  </si>
  <si>
    <t>Lucro</t>
  </si>
  <si>
    <t>Total do grupo B</t>
  </si>
  <si>
    <t xml:space="preserve">Impostos </t>
  </si>
  <si>
    <t>C.1</t>
  </si>
  <si>
    <t>PIS</t>
  </si>
  <si>
    <t>C.2</t>
  </si>
  <si>
    <t>COFINS</t>
  </si>
  <si>
    <t>C.3</t>
  </si>
  <si>
    <t>C.4</t>
  </si>
  <si>
    <t>Total do grupo C</t>
  </si>
  <si>
    <t>Despesas Financeiras (F)</t>
  </si>
  <si>
    <t xml:space="preserve">Despesas Financeiras (F) </t>
  </si>
  <si>
    <t>Total do grupo D</t>
  </si>
  <si>
    <t>Custo em 20 meses (R$)</t>
  </si>
  <si>
    <t>TOTAL ANUAL</t>
  </si>
  <si>
    <t>UNIDADE</t>
  </si>
  <si>
    <t>R$ Unit. Ref.</t>
  </si>
  <si>
    <t>FORNECEDOR</t>
  </si>
  <si>
    <t>RELAÇÃO DE MATERIAL DA COMPOSIÇÃO DE SERVIÇOS EVENTUAIS</t>
  </si>
  <si>
    <t>CUSTO UNITÁRIO R$</t>
  </si>
  <si>
    <t>REFERÊNCIA</t>
  </si>
  <si>
    <t>MÃO DE OBRA</t>
  </si>
  <si>
    <t>UNID.</t>
  </si>
  <si>
    <t>R$ UNIT</t>
  </si>
  <si>
    <t>CÓDIGO</t>
  </si>
  <si>
    <t>BDI</t>
  </si>
  <si>
    <t>ENCANADOR OU BOMBEIRO HIDRÁULICO</t>
  </si>
  <si>
    <t>AJUDANTE DE ELETRICISTA</t>
  </si>
  <si>
    <t>ELETRICISTA</t>
  </si>
  <si>
    <t>AJUDANTE DE ENCANADOR</t>
  </si>
  <si>
    <t>SISTEMAS ELÉTRICOS</t>
  </si>
  <si>
    <t xml:space="preserve">UN </t>
  </si>
  <si>
    <t>CJ</t>
  </si>
  <si>
    <t>SISTEMAS ESTRUTURAIS, VEDAÇÕES E  OBRAS CIVIS</t>
  </si>
  <si>
    <t>M³</t>
  </si>
  <si>
    <t>M²</t>
  </si>
  <si>
    <t>JG</t>
  </si>
  <si>
    <t xml:space="preserve">L </t>
  </si>
  <si>
    <t>SISTEMAS HIDRÁULICOS E MECÂNICOS</t>
  </si>
  <si>
    <t>DIVISORIA EM GRANITO ESP=3CM COM DUAS FACES POLIDAS LEVIGADO</t>
  </si>
  <si>
    <t>DESONERADO</t>
  </si>
  <si>
    <t>RELAÇÃO DE CUSTO DE SERVIÇOS EVENTUAIS</t>
  </si>
  <si>
    <t>ONERADO</t>
  </si>
  <si>
    <t>Custo unit Ref.</t>
  </si>
  <si>
    <t>Custo total Ref.</t>
  </si>
  <si>
    <t>Manutenção em motobomba monofásica de até 1 cv (incluindo rebobinação do estator)</t>
  </si>
  <si>
    <t>Manutenção em motor trifasico de até 1,5 cv, 4 polos (incluindo rebobinação do estator)</t>
  </si>
  <si>
    <t>Fornecimento e instalação de vidro temperado 8mm em esquadria/janela</t>
  </si>
  <si>
    <t>VARIAÇÃO</t>
  </si>
  <si>
    <t>Desentupidor manual de esgotos, pias, ralos e banheiras (tipo bomba 75mm)</t>
  </si>
  <si>
    <t>Broca de aço rápido (jogo com 5 peças)</t>
  </si>
  <si>
    <t>Carrinho de mão de 40 a 50L</t>
  </si>
  <si>
    <t>Escada de alumínio de 7 degraus</t>
  </si>
  <si>
    <t>Escada extensível multifuniconal 2x10, em alumínio</t>
  </si>
  <si>
    <t>Painel para andaime (1x1m) - encaixe tubular (incluindo 01 diagonal de proteção e base)</t>
  </si>
  <si>
    <t>Esquadro 90º</t>
  </si>
  <si>
    <t>Furadeira elétrica profissional, velocidade variável e reversível, mandril até ½”, (Ref.: DEWALT mod. DW508K)</t>
  </si>
  <si>
    <t>Jogo de chaves combinadas 6 à 22mm.</t>
  </si>
  <si>
    <t>Pá (reta e com bico) com cabo 120 cm</t>
  </si>
  <si>
    <t>Parafusadeira velocidade variável 1/4'' (de 400 a 550 W)</t>
  </si>
  <si>
    <t>Cabo para conexão VGA blindado, com conexões VGA Db15 macho x VGA Db15 macho</t>
  </si>
  <si>
    <t>tipo</t>
  </si>
  <si>
    <t>item</t>
  </si>
  <si>
    <t>quant/ano</t>
  </si>
  <si>
    <t>ÁUDIO E VÍDEO</t>
  </si>
  <si>
    <t>X.0097</t>
  </si>
  <si>
    <t>X.0054</t>
  </si>
  <si>
    <t>X.0055</t>
  </si>
  <si>
    <t>1381</t>
  </si>
  <si>
    <t>X.0049</t>
  </si>
  <si>
    <t>4376</t>
  </si>
  <si>
    <t>1.20</t>
  </si>
  <si>
    <t>X.0120</t>
  </si>
  <si>
    <t>1.60</t>
  </si>
  <si>
    <t>X.0103</t>
  </si>
  <si>
    <t>1379</t>
  </si>
  <si>
    <t>X.0038</t>
  </si>
  <si>
    <t>X.0012</t>
  </si>
  <si>
    <t>X.0083</t>
  </si>
  <si>
    <t>X.0043</t>
  </si>
  <si>
    <t>X.0051</t>
  </si>
  <si>
    <t>X.0036</t>
  </si>
  <si>
    <t>X.0017</t>
  </si>
  <si>
    <t>X.0029</t>
  </si>
  <si>
    <t>X.0081</t>
  </si>
  <si>
    <t>X.0013</t>
  </si>
  <si>
    <t>X.0030</t>
  </si>
  <si>
    <t>X.0087</t>
  </si>
  <si>
    <t>X.0041</t>
  </si>
  <si>
    <t>X.0088</t>
  </si>
  <si>
    <t>X.0039</t>
  </si>
  <si>
    <t>X.0015</t>
  </si>
  <si>
    <t>X.0014</t>
  </si>
  <si>
    <t>X.0037</t>
  </si>
  <si>
    <t>ELÉTRICO E LÓGICO</t>
  </si>
  <si>
    <t>X.0116</t>
  </si>
  <si>
    <t>1.31</t>
  </si>
  <si>
    <t>X.0099</t>
  </si>
  <si>
    <t>1.58</t>
  </si>
  <si>
    <t>X.0127</t>
  </si>
  <si>
    <t>X.0067</t>
  </si>
  <si>
    <t>X.0068</t>
  </si>
  <si>
    <t>5.24</t>
  </si>
  <si>
    <t>X.0069</t>
  </si>
  <si>
    <t>1.111</t>
  </si>
  <si>
    <t>1.114</t>
  </si>
  <si>
    <t>X.0117</t>
  </si>
  <si>
    <t>1.121</t>
  </si>
  <si>
    <t>X.0126</t>
  </si>
  <si>
    <t>1.146</t>
  </si>
  <si>
    <t>X.0032</t>
  </si>
  <si>
    <t>1.149</t>
  </si>
  <si>
    <t>1.148</t>
  </si>
  <si>
    <t>1.153</t>
  </si>
  <si>
    <t>1.193</t>
  </si>
  <si>
    <t>X.0035</t>
  </si>
  <si>
    <t>X.0073</t>
  </si>
  <si>
    <t>1.205</t>
  </si>
  <si>
    <t>X.0066</t>
  </si>
  <si>
    <t>X.0016</t>
  </si>
  <si>
    <t>1.206</t>
  </si>
  <si>
    <t>X.0084</t>
  </si>
  <si>
    <t>5.48</t>
  </si>
  <si>
    <t>X.0098</t>
  </si>
  <si>
    <t>HIDROSANITÁRIO</t>
  </si>
  <si>
    <t>X.0052</t>
  </si>
  <si>
    <t>X.0059</t>
  </si>
  <si>
    <t>X.0058</t>
  </si>
  <si>
    <t>X.0074</t>
  </si>
  <si>
    <t>X.0061</t>
  </si>
  <si>
    <t>X.0060</t>
  </si>
  <si>
    <t>X.0078</t>
  </si>
  <si>
    <t>13417</t>
  </si>
  <si>
    <t>X.0075</t>
  </si>
  <si>
    <t>COMBATE A INCÊNDIO</t>
  </si>
  <si>
    <t>REFRIGERAÇÃO</t>
  </si>
  <si>
    <t>X.0104</t>
  </si>
  <si>
    <t>X.0123</t>
  </si>
  <si>
    <t>X.0023</t>
  </si>
  <si>
    <t>X.0031</t>
  </si>
  <si>
    <t>X.0111</t>
  </si>
  <si>
    <t>X.0112</t>
  </si>
  <si>
    <t>X.0002</t>
  </si>
  <si>
    <t>X.0102</t>
  </si>
  <si>
    <t>X.0110</t>
  </si>
  <si>
    <t>Cabo Polarizado para Áudio Cristal 2x1,50 mm²</t>
  </si>
  <si>
    <t>Desengraxante para limpeza de ar condicionado (Ref.: METASIL)</t>
  </si>
  <si>
    <t>Bateria alcalina 9V</t>
  </si>
  <si>
    <t>ROLO PARA PINTURA ESPUMA POLIESTER 15 CM</t>
  </si>
  <si>
    <t>SOLDA P/ TUBO E CONEXÕES DE COBRE 1.0mm (em carretel 500 G)</t>
  </si>
  <si>
    <t>LUMINARIA TIPO TARTARUGA PARA AREA EXTERNA EM ALUMINIO, COM GRADE, PARA 1 LAMPADA, BASE E27, POTENCIA MAXIMA 40/60 W (NAO INCLUI LAMPADA)</t>
  </si>
  <si>
    <t>LUMINARIA PLAFON REDONDO COM VIDRO FOSCO DIAMETRO *30* CM, PARA 2 LAMPADAS, BASE E27, POTENCIA MAXIMA 40/60 W (NAO INCLUI LAMPADAS)</t>
  </si>
  <si>
    <t>CAIXA PVC 4" X 2" P/ ELETRODUTO</t>
  </si>
  <si>
    <t>ESPELHO / PLACA CEGA 4" X 4", PARA INSTALACAO DE TOMADAS E INTERRUPTORES</t>
  </si>
  <si>
    <t>ESPELHO / PLACA DE 2 POSTOS 4" X 4", PARA INSTALACAO DE TOMADAS E INTERRUPTORES</t>
  </si>
  <si>
    <t>ESPELHO / PLACA CEGA 4" X 2", PARA INSTALACAO DE TOMADAS E INTERRUPTORES</t>
  </si>
  <si>
    <t>ESPELHO / PLACA DE 1 POSTO 4" X 2", PARA INSTALACAO DE TOMADAS E INTERRUPTORES</t>
  </si>
  <si>
    <t>LAMPADA LED TIPO DICROICA BIVOLT, LUZ BRANCA, 5 W (BASE GU10)</t>
  </si>
  <si>
    <t>LAMPADA FLUORESCENTE COMPACTA 2U/3U BRANCA 9/10 W, BASE E27 (127/220 V)</t>
  </si>
  <si>
    <t>LAMPADA LED 6 W BIVOLT BRANCA, FORMATO TRADICIONAL (BASE E27)</t>
  </si>
  <si>
    <t>LAMPADA LED TUBULAR BIVOLT 18/20 W, BASE G13, 120CM</t>
  </si>
  <si>
    <t>LUMINARIA DE SOBREPOR EM CHAPA DE ACO PARA 2 LAMPADAS FLUORESCENTES DE *36*W, PERFIL COMERCIAL (NAO INCLUI REATOR E LAMPADAS) (modelo: intral LS802 ou similar)</t>
  </si>
  <si>
    <t>REATOR ELETRONICO BIVOLT PARA 1 LAMPADA FLUORESCENTE DE 18/20 W</t>
  </si>
  <si>
    <t>REATOR ELETRONICO BIVOLT PARA 1 LAMPADA FLUORESCENTE DE 36/40 W</t>
  </si>
  <si>
    <t>REATOR ELETRONICO BIVOLT PARA 2 LAMPADAS FLUORESCENTES DE 36/40 W</t>
  </si>
  <si>
    <t>SENSOR DE PRESENCA BIVOLT COM FOTOCELULA PARA QUALQUER TIPO DE LAMPADA, POTENCIA MAXIMA *1000* W, USO EXTERNO</t>
  </si>
  <si>
    <t>SENSOR DE PRESENCA BIVOLT DE PAREDE COM FOTOCELULA PARA QUALQUER TIPO DE LAMPADA POTENCIA MAXIMA *1000* W, USO INTERNO</t>
  </si>
  <si>
    <t>SENSOR DE PRESENCA BIVOLT DE PAREDE SEM FOTOCELULA PARA QUALQUER TIPO DE LAMPADA POTENCIA MAXIMA *1000* W, USO INTERNO</t>
  </si>
  <si>
    <t>Spot com lampadas de LEDs, min 3W, cromado, bivolt, redondo (D=7,5cm), para estante (ref.: angiko ou similar)</t>
  </si>
  <si>
    <t>TAMPA PARA CONDULETE, EM PVC, COM 1 MODULO RJ</t>
  </si>
  <si>
    <t>TAMPA PARA CONDULETE, EM PVC, COM TOMADA HEXAGONAL</t>
  </si>
  <si>
    <t>TORNEIRA CROMADA DE MESA PARA LAVATORIO TEMPORIZADA PRESSAO BICA BAIXA</t>
  </si>
  <si>
    <t>LAMPADA FLUORESCENTE TUBULAR T8 DE 32/36 W, BIVOLT</t>
  </si>
  <si>
    <t>TOTAL EM 20 MESES</t>
  </si>
  <si>
    <t>TOTAL GERAL (20 MESES)</t>
  </si>
  <si>
    <t>PARAFUSO ROSCA SOBERBA ZINCADO CABECA CHATA FENDA SIMPLES 5,5 X 65 MM (2.1/2 ")</t>
  </si>
  <si>
    <t>GUARNICAO/ ALIZAR/ VISTA MACICA, E= *1* CM, L= *4,5* CM, EM CEDRINHO/ ANGELIM COMERCIAL/ EUCALIPTO/ CURUPIXA/ PEROBA/ CUMARU OU EQUIVALENTE DA REGIAO</t>
  </si>
  <si>
    <t>PLACA DE VENTILACAO PARA TELHA DE FIBROCIMENTO, CANALETE 90 OU KALHETAO</t>
  </si>
  <si>
    <t>MANTA LIQUIDA DE BASE ASFALTICA MODIFICADA COM A ADICAO DE ELASTOMEROS</t>
  </si>
  <si>
    <t>TINTA A BASE DE RESINA ACRILICA, PARA SINALIZACAO HORIZONTAL VIARIA (NBR 11862)</t>
  </si>
  <si>
    <t>ENGENHEIRO PLENO</t>
  </si>
  <si>
    <t>Pintura/demarcação de faixas de 5 cm de largura para vagas com tinta para sinalização horizontal</t>
  </si>
  <si>
    <t>TINTA ACRILICA PREMIUM, COR BRANCO FOSCO</t>
  </si>
  <si>
    <t>CONTATOR TRIPOLAR, CORRENTE DE 32A, TENSAO NOMINAL DE 500V, CATEGORIA AC-2 E AC-3</t>
  </si>
  <si>
    <t>DISJUNTOR TIPO DIN/IEC, MONOPOLAR DE 6 ATE 32A</t>
  </si>
  <si>
    <t>DISJUNTOR TIPO NEMA, MONOPOLAR 10 ATE 30A, TENSAO MAXIMA DE 240 V</t>
  </si>
  <si>
    <t>DISJUNTOR TIPO NEMA, MONOPOLAR 35 ATE 50 A, TENSAO MAXIMA DE 240 V</t>
  </si>
  <si>
    <t>FUSIVEL NH 200 A 250 AMPERES, TAMANHO 1, CAPACIDADE DE INTERRUPCAO DE 120 KA, TENSAO NOMIMNAL DE 500 V</t>
  </si>
  <si>
    <t>INTERRUPTOR SIMPLES 10A, 250V, CONJUNTO MONTADO PARA EMBUTIR 4" X 2" (PLACA + SUPORTE + MODULO)</t>
  </si>
  <si>
    <t>INTERRUPTOR SIMPLES 10A, 250V, CONJUNTO MONTADO PARA SOBREPOR 4" X 2" (CAIXA + MODULO)</t>
  </si>
  <si>
    <t>TOMADA 2P+T 10A, 250V, CONJUNTO MONTADO PARA SOBREPOR 4" X 2" (CAIXA + MODULO)</t>
  </si>
  <si>
    <t>TOMADA 2P+T 10A, 250V, CONJUNTO MONTADO PARA EMBUTIR 4" X 2" (PLACA + SUPORTE + MODULO)</t>
  </si>
  <si>
    <t>TOMADA 2P+T 20A 250V, CONJUNTO MONTADO PARA EMBUTIR 4" X 2" (PLACA + SUPORTE + MODULO)</t>
  </si>
  <si>
    <t>SIFAO PLASTICO TIPO COPO PARA PIA AMERICANA 1.1/2 X 1.1/2 "</t>
  </si>
  <si>
    <t>TORNEIRA CROMADA SEM BICO PARA TANQUE 1/2 " OU 3/4 " (REF 1143)</t>
  </si>
  <si>
    <t>2.60</t>
  </si>
  <si>
    <t>2.76</t>
  </si>
  <si>
    <t>3.48</t>
  </si>
  <si>
    <t>3.51</t>
  </si>
  <si>
    <t>3.52</t>
  </si>
  <si>
    <t>3.62</t>
  </si>
  <si>
    <t>3.69</t>
  </si>
  <si>
    <t>3.81</t>
  </si>
  <si>
    <t>ISS</t>
  </si>
  <si>
    <t>Valor semestral para 3 funcionários (sendo 01 eletricista)</t>
  </si>
  <si>
    <t>Camisa gola polo com bolso e 2 botões, com emblema da empresa</t>
  </si>
  <si>
    <t>Conector "F" fêmea para painel/cabo coaxial (crimpar).</t>
  </si>
  <si>
    <t>Reator eletrônico PARA LAMPADAS T5 2 x 54/50W, 220V HO (partida rápida)</t>
  </si>
  <si>
    <t>Mangueira de incêndio 1 1/2", 30m.</t>
  </si>
  <si>
    <t>GÁS R-141B PARA LIMPEZA DO SISTEMA</t>
  </si>
  <si>
    <t>Turbina para condicionador de ar ACJ, Springer, 12.000 BTU</t>
  </si>
  <si>
    <t>Hélice para condicionador de ar  ACJ, Springer, 12.000 BTUs</t>
  </si>
  <si>
    <t>Turbina para condicionador de ar  ACJ, GREE, 18.000 BTU</t>
  </si>
  <si>
    <t>Hélice para  condicionador de ar ACJ, GREE 18.000 BTUs</t>
  </si>
  <si>
    <t>Compressor rotativo para  condicionador de ar ACJ, capacidade 12.000 BTUs</t>
  </si>
  <si>
    <t>Compressor rotativo para  condicionador de ar ACJ, capacidade 18.000 BTUs</t>
  </si>
  <si>
    <t>Válvula de serviço 1/4"</t>
  </si>
  <si>
    <t>Motor do ventilador para  condicionador de ar ACJ, Gree GJC18BM, 18.000 BTUs</t>
  </si>
  <si>
    <t>Motor do ventilador para  condicionador de ar ACJ, Springer MCC125BB, 12.000 BTUs</t>
  </si>
  <si>
    <t xml:space="preserve"> Processo:</t>
  </si>
  <si>
    <t>Pregão  n.º</t>
  </si>
  <si>
    <t>Data:</t>
  </si>
  <si>
    <t>DISCRIMINAÇÃO DOS SERVIÇOS - DADOS REFERENTES À CONTRATAÇÃO</t>
  </si>
  <si>
    <t>A - Data da Apresentação da Proposta</t>
  </si>
  <si>
    <t>F - N.º de Meses da Execução Contratual</t>
  </si>
  <si>
    <t>B - Munícipio/UF</t>
  </si>
  <si>
    <t>G - Categoria Profissional (vinculada à execução do contrato)</t>
  </si>
  <si>
    <t>C - SINDICATO (Acordo, Convenção Coletivo ou Sentença Normativa em Dissídio Coletivo)</t>
  </si>
  <si>
    <t>H - Data-base da categoria (dia/mês/ano)</t>
  </si>
  <si>
    <t>D - Número Registro M.T.E</t>
  </si>
  <si>
    <t>I - Salário-mínimo oficial vigente: piso da categoria</t>
  </si>
  <si>
    <t>E - Tipo de serviço</t>
  </si>
  <si>
    <t>J - Classificação Brasileira de Ocupações (CBO)</t>
  </si>
  <si>
    <t>REGIME DE TRIBUTAÇÃO DO PROPONENTE</t>
  </si>
  <si>
    <t>LUCRO PRESUMIDO</t>
  </si>
  <si>
    <t>LUCRO REAL</t>
  </si>
  <si>
    <t>SIMPLES</t>
  </si>
  <si>
    <t>MÓDULO 1 : COMPOSIÇÃO DA REMUNERAÇÃO</t>
  </si>
  <si>
    <t>Adicional de insalubridade</t>
  </si>
  <si>
    <t>Adicional de hora noturna reduzida</t>
  </si>
  <si>
    <t>Adicional de hora extra no feriado trabalhado</t>
  </si>
  <si>
    <t>MÓDULO 2: ENCARGOS E BENEFÍCIOS ANUAIS, MENSAIS E DIÁRIOS</t>
  </si>
  <si>
    <t>Submódulo 2.1 - 13º salário, férias e adicional de férias</t>
  </si>
  <si>
    <t>13º Salário, férias e adicional de férias</t>
  </si>
  <si>
    <t xml:space="preserve">A </t>
  </si>
  <si>
    <t>Décimo terceiro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</si>
  <si>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</si>
  <si>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</si>
  <si>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</si>
  <si>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Seguro acidente do trabalho</t>
  </si>
  <si>
    <t>Nota (1) - Os percentuais dos encargos previdenciários e FGTS são aqueles estabelecidos pela legislação vigente.</t>
  </si>
  <si>
    <t>Nota (2) - O SAT a depender do grau de risco do serviço irá varia entre 1%, para risco leve, de 2%, para risco médio, e de 3% para risco grave.</t>
  </si>
  <si>
    <t xml:space="preserve">Nota (3) - Esses percentuais incidem sobre o Módulo 1, o submódulo 2.1, o Módulo 3, Módulo 4 e Módulo 6. </t>
  </si>
  <si>
    <t>Submódulo 2.3 - Benefícios Mensais e Diários</t>
  </si>
  <si>
    <t>Assistência médica e familiar</t>
  </si>
  <si>
    <t>Nota 1: o valor informado deverá ser o custo real do insumo (descontado o valor eventualmente pago pelo empregado).</t>
  </si>
  <si>
    <t>Nota 2: Observar a previsão dos benefícios contidos em Acordos, Conveções e Dissídios Coletivos de Trabalho e atentar-se ao disposto no art. 6º da IN 05/2017.</t>
  </si>
  <si>
    <t>Quadro Resumo do Módulo 2 - Encagos e Benefícios anuais, mensais e diários</t>
  </si>
  <si>
    <t>Encargos e Benefícios anuais, mensais e diários</t>
  </si>
  <si>
    <t>Módulo 3 - Provisão para Rescisão</t>
  </si>
  <si>
    <t>Aviso Prévio Indenizado</t>
  </si>
  <si>
    <t>Incidência do submódulo 2.2 sobre aviso prévio trabalhado</t>
  </si>
  <si>
    <t>Base de Cálculo: modulo 1 + módulo 2</t>
  </si>
  <si>
    <t>Aviso prévio indenizado - Base de cálculo: modulo 1 + modulo 2 (sem GPS)</t>
  </si>
  <si>
    <t>Incidência do FGTS sobre aviso prévio indenizado - BC:  API + multa</t>
  </si>
  <si>
    <t>Multa do FGTS e CS sobre aviso prévio indenizado: BC: mod. 1 + mdo. 2.1</t>
  </si>
  <si>
    <t>Aviso prévio trabalhado - Base de cálculo: modulo 1 + módulo 2</t>
  </si>
  <si>
    <t>Multa do FGTS e CS sobre aviso prévio trabalhado: BC: mod. 1 + mdo. 2.1</t>
  </si>
  <si>
    <t>Custo da demissão com justa causa - BC: VM`13º + VMP adicional</t>
  </si>
  <si>
    <t>Módulo 4 – Custo de Reposição do Profissional Ausente</t>
  </si>
  <si>
    <t>Submódulo 4.1 - Ausências legais</t>
  </si>
  <si>
    <t>Submódulo 4.2 - Intrajornada</t>
  </si>
  <si>
    <t>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</si>
  <si>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</si>
  <si>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</si>
  <si>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</si>
  <si>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</si>
  <si>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 xml:space="preserve">Equipamentos </t>
  </si>
  <si>
    <t>Nota: Valores mensais por empregado.</t>
  </si>
  <si>
    <t>Módulo 6 - Custos Indiretos, Tributos e Lucro</t>
  </si>
  <si>
    <t xml:space="preserve">Custo Indireto (somatório da remuneração, beneficios mensais e diários, insumos diversos, encargos sociais e trabalhisas)  </t>
  </si>
  <si>
    <t xml:space="preserve"> Lucro (somatório da remuneração, beneficios mensais e diários, insumos diversos, encargos sociais e trabalhisas, custos indiretos) </t>
  </si>
  <si>
    <t>Esfera</t>
  </si>
  <si>
    <t>Sigla Tributo</t>
  </si>
  <si>
    <t>A - Tributos Federais  (especificar)</t>
  </si>
  <si>
    <t>Lucro Real  (PIS: 1,65)%</t>
  </si>
  <si>
    <t>B -Tributos Estaduais/Municipais (especificar)</t>
  </si>
  <si>
    <t>Lucro Real (ISS 5)%</t>
  </si>
  <si>
    <t>C - Outros tributos (especificar)</t>
  </si>
  <si>
    <t>SUBTOTAL DE TRIBUTOS DE CUSTOS FIXOS</t>
  </si>
  <si>
    <t>2. QUADRO-RESUMO CUSTO POR EMPREGADO</t>
  </si>
  <si>
    <t>Mão-de-obra vinculada à execução contratual (valor por empregado)</t>
  </si>
  <si>
    <t>MÓDULO 3: PROVISÃO PARA RESCISÃO</t>
  </si>
  <si>
    <t>MÓDULO 4: CUSTO DE REPOSIÇÃO DO PROFISSIONAL AUSENTE</t>
  </si>
  <si>
    <t>MÓDULO 5: INSUMOS DIVERSOS</t>
  </si>
  <si>
    <t>Subtotal (A+ B+ C+ D + E)</t>
  </si>
  <si>
    <t>MÓDULO 6: CUSTOS INDIRETOS, TRIBUTOS E LUCRO</t>
  </si>
  <si>
    <t>CATEGORIA PROFISSIONAL - Artífice</t>
  </si>
  <si>
    <t>CATEGORIA PROFISSIONAL - Téc. Eletricista</t>
  </si>
  <si>
    <t>CATEGORIA PROFISSIONAL - Téc. Refrigeração</t>
  </si>
  <si>
    <t>Outros (Especificar) - Seguro de vida</t>
  </si>
  <si>
    <t>Base de Cálculo: Remuneração + subtotal 2.1</t>
  </si>
  <si>
    <t>Transporte (Tarifa x 2 x 22 - 6% x SalBase)</t>
  </si>
  <si>
    <t>Auxílio alimentação (Vales café da manhã, cesta básica etc.)</t>
  </si>
  <si>
    <t>-</t>
  </si>
  <si>
    <r>
      <rPr>
        <b/>
        <sz val="10"/>
        <rFont val="Arial"/>
        <family val="2"/>
      </rPr>
      <t>Base de cálculo (</t>
    </r>
    <r>
      <rPr>
        <sz val="10"/>
        <rFont val="Arial"/>
        <family val="2"/>
      </rPr>
      <t>somatório da remuneração, beneficios mensais e diários, insumos diversos, encargos sociais e trabalhisas, custos indiretos e lucro)</t>
    </r>
  </si>
  <si>
    <t>a)</t>
  </si>
  <si>
    <t>b)</t>
  </si>
  <si>
    <t>c)</t>
  </si>
  <si>
    <t>Tributos % = To = .............................................................</t>
  </si>
  <si>
    <t>(Total dos Módulos 1, 2, 3, 4 e 5+ Custos indiretos + Lucro)= Po = ...................................</t>
  </si>
  <si>
    <t>Po / (1 - To) = P1 = ..............................................................................</t>
  </si>
  <si>
    <t>Valor dos Tributos = P1 - Po</t>
  </si>
  <si>
    <t>Base Cálculo Tributos</t>
  </si>
  <si>
    <t>Lucro P. (ISS)</t>
  </si>
  <si>
    <t>Lucro P. (COFINS)</t>
  </si>
  <si>
    <t>Lucro P. (PIS)</t>
  </si>
  <si>
    <t>CÁLCULO DO FATOR K:</t>
  </si>
  <si>
    <t>O Fator K é um parâmetro usual de mercado para se estimar o custo de um serviço com base na remuneração do profissional que prestaria o serviço. Não existe um percentual fixo para o Fator K, pois este depende da estrutura de composição de preço definida tanto por requisitos legais quanto estratégicos da empresa.</t>
  </si>
  <si>
    <t>Nesse contexto, o TCU, conforme Acórdãos nº 1.753/2008 e nº 289/2018 - Plenário, entre outros, destaca como referência de custo, o Fator K, indicador de economicidade aplicado aos dispêndios com serviços terceirizados de natureza continuada, que corresponde à razão entre o custo total de um trabalhador (remuneração, encargos sociais, insumos, reserva técnica, despesas operacionais/administrativas, lucro e tributos) e sua própria remuneração. O Fator K, portanto, indica quantos reais são pagos pela Administração à contratada para cada real pago por esta ao trabalhador.</t>
  </si>
  <si>
    <t>Lucro (PIS)</t>
  </si>
  <si>
    <t>Lucro(COFINS)</t>
  </si>
  <si>
    <t>Lucro (ISS)</t>
  </si>
  <si>
    <t>Lucro (COFINS)</t>
  </si>
  <si>
    <t>1 - Para definir o custo estimado da mão de obra a Administração preencheu as planilhas de custo e formação de preços tendo por base os salários e benefícios definidos para a categoria na Convenção Coletiva de Trabalho - SINDUSCON/PE 2019/2021.</t>
  </si>
  <si>
    <t>Outras</t>
  </si>
  <si>
    <t>MATERIAIS/MDO: SINAPI - Relatório de preços de insumos  - Fevereiro/março de 2021 (exceto materiais/serviços marcados com asterisco)</t>
  </si>
  <si>
    <r>
      <t xml:space="preserve">                          </t>
    </r>
    <r>
      <rPr>
        <b/>
        <sz val="14"/>
        <rFont val="Calibri"/>
        <family val="2"/>
      </rPr>
      <t xml:space="preserve">ANEXO B.II - EQUIPAMENTOS E FERRAMENTAS </t>
    </r>
  </si>
  <si>
    <r>
      <t>* O coeficiente adotado foi de 6x10</t>
    </r>
    <r>
      <rPr>
        <vertAlign val="superscript"/>
        <sz val="8"/>
        <rFont val="Calibri"/>
        <family val="2"/>
      </rPr>
      <t>-5</t>
    </r>
    <r>
      <rPr>
        <sz val="8"/>
        <rFont val="Calibri"/>
        <family val="2"/>
      </rPr>
      <t>, com base no TCPO (Ed. Pini) para equipamentos de pequeno porte (~1,5HP), com utilização, em média, de 83 h/mês.</t>
    </r>
  </si>
  <si>
    <t xml:space="preserve">1. Conforme previsto no Acórdão 2.622/2013-P foi adotada uma taxa de BDI normal para materiais e equipamentos tendo em vista que os materiais e equipamentos constante deste processo trata de equipamentos básicos e materiais secundários e auxiliares para execução de serviços comuns - item 286 do referido documento. Além disso, a Câmara Brasileira de Indústria da Construção - CBIC sugere que a aplicação do BDI diferenciado deve ser condicionada à representatividade dei 20% dos contratos administrativos, e somente para as contratações acima de R$ 30 milhoes. </t>
  </si>
  <si>
    <t xml:space="preserve">2. Para definição do percentual de BDI foi utilizado os valores médios definidos para construção de edifícios no Acórdão 2.622/2013-P, tendo em vista o disposto no item 332 do referido instrumento que agrupou no mesmo BDI obras de construção e reforma de edifícios. </t>
  </si>
  <si>
    <t>SINAPI - Insumos JAN/2020</t>
  </si>
  <si>
    <t>SINAPI - Insumos JAN/2020 (16/01/2021)</t>
  </si>
  <si>
    <t>SINAPI - Insumos</t>
  </si>
  <si>
    <r>
      <t xml:space="preserve">                          </t>
    </r>
    <r>
      <rPr>
        <b/>
        <sz val="14"/>
        <rFont val="Calibri"/>
        <family val="2"/>
      </rPr>
      <t>ANEXO B.V - MATERIAIS DE CONSUMO E REPOSIÇÃO</t>
    </r>
  </si>
  <si>
    <t>2.8</t>
  </si>
  <si>
    <t>2.30</t>
  </si>
  <si>
    <t>2.36</t>
  </si>
  <si>
    <t>2.40</t>
  </si>
  <si>
    <t>2.43</t>
  </si>
  <si>
    <t>2.46</t>
  </si>
  <si>
    <t>2.47</t>
  </si>
  <si>
    <t>2.50</t>
  </si>
  <si>
    <t>2.55</t>
  </si>
  <si>
    <t>2.56</t>
  </si>
  <si>
    <t>2.57</t>
  </si>
  <si>
    <t>2.58</t>
  </si>
  <si>
    <t>2.61</t>
  </si>
  <si>
    <t>2.63</t>
  </si>
  <si>
    <t>2.68</t>
  </si>
  <si>
    <t>2.69</t>
  </si>
  <si>
    <t>2.70</t>
  </si>
  <si>
    <t>2.75</t>
  </si>
  <si>
    <t>3.55</t>
  </si>
  <si>
    <t>3.56</t>
  </si>
  <si>
    <t>3.57</t>
  </si>
  <si>
    <t>3.63</t>
  </si>
  <si>
    <t>3.72</t>
  </si>
  <si>
    <t>3.73</t>
  </si>
  <si>
    <t>3.77</t>
  </si>
  <si>
    <t>3.79</t>
  </si>
  <si>
    <t>3.80</t>
  </si>
  <si>
    <t>3.83</t>
  </si>
  <si>
    <t>3.84</t>
  </si>
  <si>
    <t>3.87</t>
  </si>
  <si>
    <t>4.9</t>
  </si>
  <si>
    <t>4.28</t>
  </si>
  <si>
    <t>4.29</t>
  </si>
  <si>
    <t>4.35</t>
  </si>
  <si>
    <t>6.22</t>
  </si>
  <si>
    <t>BDI (18,35%)</t>
  </si>
  <si>
    <t>Incidência do FGTS sobre Aviso Prévio Indenizado</t>
  </si>
  <si>
    <t>Incidência de GPS, FGTS e outras contribuições sobre o Aviso Prévio Trabalhado</t>
  </si>
  <si>
    <t>Multa sobre FGTS e contribuição social sobre o aviso prévio indenizado e sobre o aviso prévio trabalhado  (Percentual obrigatório conforme Anexo XII - IN 5/17)</t>
  </si>
  <si>
    <t>Aviso prévio indenizado</t>
  </si>
  <si>
    <t>Aviso prévio trabalhado</t>
  </si>
  <si>
    <t>[(1/12)X5]=0,417%</t>
  </si>
  <si>
    <t>Art. 7º, XXI, CF/88, 477, 487 e 491 CLT. Estimativa de que 5% dos empregados serão substítuidos durante o ano.</t>
  </si>
  <si>
    <t>(8% X 0,42%) = 0,03%</t>
  </si>
  <si>
    <t>Leis nºs 8.036/90 e 9.491/97.</t>
  </si>
  <si>
    <t>{[(7/30)/12]x100} = 1,94%</t>
  </si>
  <si>
    <t>Art. 7º, XXI, CF/88, 477, 487 e 491 CLT. Redução de 7 dias ou 2 horas por dia.</t>
  </si>
  <si>
    <t>[(Total submódulo 2.2 x 1,94%) x 100]</t>
  </si>
  <si>
    <t>Retenção de 4% - Conta Vinculada</t>
  </si>
  <si>
    <t>Leis nºs 8.036/90, 9.491/97 e 13.932/2019.
INSTRUÇÃO NORMATIVA Nº 5, DE 26 DE MAIO DE 2017 - ANEXO XII.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</si>
  <si>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</si>
  <si>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</si>
  <si>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</si>
  <si>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</si>
  <si>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</si>
  <si>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</si>
  <si>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 (1/12/12) + (1/12/12) + (1/12/12/3)</t>
  </si>
  <si>
    <t>Art. 7º, VIII, CF/88- Dec. 57.115/65.
Férias, 13º e Adicional de 1/3</t>
  </si>
  <si>
    <t>{[(1/30)/12]x100} = 0,277%</t>
  </si>
  <si>
    <t>Art. 473 da CLT. Estimativa de 1 ausênia por ano.</t>
  </si>
  <si>
    <t>{[(5/30)/12]X0,015}X100=0,02%</t>
  </si>
  <si>
    <t>(Art. 7º, XIX, CFRB c/c art. 10, §1º. 
Estimativa de 1,5% dos funcionários usufruindo 5 dias da licença por ano.</t>
  </si>
  <si>
    <t>{[(15/30)/12]x0,08}x100= 0,333%</t>
  </si>
  <si>
    <t>Art. 19 a 23 da Lei 8.213/91, ART. 473, CLT .
Estimativa de 1 licença de 15 dias por ano para 8% dos funcionários.</t>
  </si>
  <si>
    <t>[(4 x 8,33%) + (4 x 2,78%) / 12 x 2% = 0,07%</t>
  </si>
  <si>
    <t>Art. 7º, VIII, CF/88, Art. 392, CLT e Lei 11.770/2008. 
Estimativa de 2% dos empregados usufruindo de 4 meses de liceça por ano.</t>
  </si>
  <si>
    <t>Base de cálculo (mod.1)</t>
  </si>
  <si>
    <t>Referência Acórdão 2622/2013 do TCU. Aplica-se a alíquota do CI sobre o total dos custos diretos (somatório dos módulos 1 a 5)</t>
  </si>
  <si>
    <t>Valor</t>
  </si>
  <si>
    <t xml:space="preserve"> SERVIÇOS EVENTUAIS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</si>
</sst>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&quot;R$ &quot;* #,##0.00_);_(&quot;R$ &quot;* \(#,##0.00\);_(&quot;R$ &quot;* &quot;-&quot;??_);_(@_)"/>
    <numFmt numFmtId="168" formatCode="&quot;R$&quot;\ #,##0.00"/>
    <numFmt numFmtId="169" formatCode="0.0%"/>
    <numFmt numFmtId="170" formatCode="_-* #,##0.0000_-;\-* #,##0.0000_-;_-* &quot;-&quot;????_-;_-@_-"/>
    <numFmt numFmtId="171" formatCode="0.000%"/>
    <numFmt numFmtId="172" formatCode="&quot;R$&quot;#,##0.00"/>
    <numFmt numFmtId="173" formatCode="0.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sz val="14"/>
      <color rgb="FFFF0000"/>
      <name val="Mistral"/>
      <family val="4"/>
    </font>
    <font>
      <sz val="8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4"/>
      <name val="Mistral"/>
      <family val="4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Verdana"/>
      <family val="2"/>
    </font>
    <font>
      <sz val="8"/>
      <name val="Times New Roman"/>
      <family val="1"/>
    </font>
    <font>
      <b/>
      <sz val="20"/>
      <name val="Calibri"/>
      <family val="2"/>
      <scheme val="minor"/>
    </font>
    <font>
      <b/>
      <sz val="18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8"/>
      <name val="Calibri"/>
      <family val="2"/>
    </font>
    <font>
      <b/>
      <i/>
      <sz val="9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vertAlign val="superscript"/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66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9" fillId="5" borderId="4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8" fillId="5" borderId="10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5" borderId="2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168" fontId="12" fillId="0" borderId="0" xfId="0" applyNumberFormat="1" applyFont="1"/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 applyProtection="1">
      <alignment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6" fontId="21" fillId="0" borderId="1" xfId="0" applyNumberFormat="1" applyFont="1" applyFill="1" applyBorder="1" applyAlignment="1" applyProtection="1">
      <alignment horizontal="left" vertical="center" wrapText="1"/>
    </xf>
    <xf numFmtId="167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44" fontId="16" fillId="0" borderId="1" xfId="2" applyFont="1" applyBorder="1" applyAlignment="1">
      <alignment vertical="center" wrapText="1"/>
    </xf>
    <xf numFmtId="44" fontId="16" fillId="0" borderId="29" xfId="2" applyFont="1" applyBorder="1" applyAlignment="1">
      <alignment vertical="center" wrapText="1"/>
    </xf>
    <xf numFmtId="44" fontId="16" fillId="0" borderId="1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3" fillId="8" borderId="10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164" fontId="23" fillId="8" borderId="29" xfId="0" applyNumberFormat="1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10" fontId="3" fillId="0" borderId="0" xfId="4" applyNumberFormat="1" applyFont="1" applyAlignment="1">
      <alignment vertical="center"/>
    </xf>
    <xf numFmtId="0" fontId="5" fillId="0" borderId="0" xfId="7" applyFont="1"/>
    <xf numFmtId="43" fontId="5" fillId="0" borderId="0" xfId="7" applyNumberFormat="1" applyFont="1"/>
    <xf numFmtId="0" fontId="23" fillId="8" borderId="29" xfId="0" applyFont="1" applyFill="1" applyBorder="1" applyAlignment="1">
      <alignment horizontal="center" vertical="center" wrapText="1"/>
    </xf>
    <xf numFmtId="43" fontId="5" fillId="8" borderId="0" xfId="7" applyNumberFormat="1" applyFont="1" applyFill="1"/>
    <xf numFmtId="0" fontId="5" fillId="8" borderId="0" xfId="7" applyFont="1" applyFill="1"/>
    <xf numFmtId="170" fontId="5" fillId="0" borderId="0" xfId="7" applyNumberFormat="1" applyFont="1"/>
    <xf numFmtId="167" fontId="23" fillId="8" borderId="29" xfId="0" applyNumberFormat="1" applyFont="1" applyFill="1" applyBorder="1" applyAlignment="1">
      <alignment vertical="center" wrapText="1"/>
    </xf>
    <xf numFmtId="44" fontId="5" fillId="0" borderId="0" xfId="7" applyNumberFormat="1" applyFont="1"/>
    <xf numFmtId="10" fontId="5" fillId="0" borderId="0" xfId="7" applyNumberFormat="1" applyFont="1"/>
    <xf numFmtId="10" fontId="5" fillId="0" borderId="0" xfId="4" applyNumberFormat="1" applyFont="1"/>
    <xf numFmtId="43" fontId="5" fillId="0" borderId="0" xfId="6" applyFont="1"/>
    <xf numFmtId="0" fontId="23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wrapText="1"/>
    </xf>
    <xf numFmtId="164" fontId="23" fillId="8" borderId="0" xfId="0" applyNumberFormat="1" applyFont="1" applyFill="1" applyBorder="1" applyAlignment="1">
      <alignment vertical="center" wrapText="1"/>
    </xf>
    <xf numFmtId="0" fontId="5" fillId="8" borderId="0" xfId="7" applyFont="1" applyFill="1" applyBorder="1"/>
    <xf numFmtId="0" fontId="21" fillId="0" borderId="1" xfId="0" applyFont="1" applyFill="1" applyBorder="1" applyAlignment="1" applyProtection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169" fontId="21" fillId="5" borderId="1" xfId="4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16" fillId="0" borderId="1" xfId="4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44" fontId="16" fillId="0" borderId="1" xfId="2" applyNumberFormat="1" applyFont="1" applyBorder="1" applyAlignment="1">
      <alignment vertical="center" wrapText="1"/>
    </xf>
    <xf numFmtId="10" fontId="21" fillId="5" borderId="1" xfId="4" applyNumberFormat="1" applyFont="1" applyFill="1" applyBorder="1" applyAlignment="1">
      <alignment horizontal="center" vertical="center" wrapText="1"/>
    </xf>
    <xf numFmtId="10" fontId="21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vertical="center" wrapText="1"/>
    </xf>
    <xf numFmtId="0" fontId="16" fillId="0" borderId="0" xfId="7" applyFont="1"/>
    <xf numFmtId="164" fontId="16" fillId="0" borderId="1" xfId="0" applyNumberFormat="1" applyFont="1" applyFill="1" applyBorder="1" applyAlignment="1">
      <alignment horizontal="left" vertical="center" wrapText="1"/>
    </xf>
    <xf numFmtId="167" fontId="21" fillId="5" borderId="1" xfId="0" applyNumberFormat="1" applyFont="1" applyFill="1" applyBorder="1" applyAlignment="1">
      <alignment vertical="center" wrapText="1"/>
    </xf>
    <xf numFmtId="10" fontId="21" fillId="0" borderId="1" xfId="6" applyNumberFormat="1" applyFont="1" applyFill="1" applyBorder="1" applyAlignment="1" applyProtection="1">
      <alignment horizontal="center" vertical="center"/>
      <protection locked="0"/>
    </xf>
    <xf numFmtId="43" fontId="16" fillId="0" borderId="1" xfId="0" applyNumberFormat="1" applyFont="1" applyFill="1" applyBorder="1" applyAlignment="1" applyProtection="1">
      <alignment vertical="center" wrapText="1"/>
    </xf>
    <xf numFmtId="43" fontId="16" fillId="0" borderId="1" xfId="6" applyFont="1" applyFill="1" applyBorder="1" applyAlignment="1" applyProtection="1">
      <alignment vertical="center"/>
    </xf>
    <xf numFmtId="10" fontId="21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10" fontId="16" fillId="0" borderId="1" xfId="6" applyNumberFormat="1" applyFont="1" applyFill="1" applyBorder="1" applyAlignment="1" applyProtection="1">
      <alignment horizontal="center" vertical="center" wrapText="1"/>
      <protection locked="0"/>
    </xf>
    <xf numFmtId="44" fontId="16" fillId="0" borderId="1" xfId="3" applyNumberFormat="1" applyFont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7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left" vertical="center" wrapText="1"/>
    </xf>
    <xf numFmtId="0" fontId="5" fillId="0" borderId="0" xfId="7" applyFont="1" applyAlignment="1">
      <alignment horizontal="left"/>
    </xf>
    <xf numFmtId="10" fontId="16" fillId="0" borderId="42" xfId="6" applyNumberFormat="1" applyFont="1" applyFill="1" applyBorder="1" applyAlignment="1" applyProtection="1">
      <alignment horizontal="center" vertical="center" wrapText="1"/>
      <protection locked="0"/>
    </xf>
    <xf numFmtId="43" fontId="16" fillId="0" borderId="42" xfId="6" applyFont="1" applyFill="1" applyBorder="1" applyAlignment="1" applyProtection="1">
      <alignment vertical="center"/>
    </xf>
    <xf numFmtId="43" fontId="21" fillId="5" borderId="66" xfId="6" applyFont="1" applyFill="1" applyBorder="1" applyAlignment="1">
      <alignment horizontal="center" vertical="center"/>
    </xf>
    <xf numFmtId="0" fontId="21" fillId="0" borderId="54" xfId="7" applyFont="1" applyBorder="1" applyAlignment="1">
      <alignment horizontal="center" vertical="center"/>
    </xf>
    <xf numFmtId="10" fontId="21" fillId="0" borderId="55" xfId="7" applyNumberFormat="1" applyFont="1" applyBorder="1" applyAlignment="1">
      <alignment horizontal="center" vertical="center" wrapText="1"/>
    </xf>
    <xf numFmtId="0" fontId="21" fillId="0" borderId="55" xfId="7" applyFont="1" applyBorder="1" applyAlignment="1">
      <alignment vertical="center" wrapText="1"/>
    </xf>
    <xf numFmtId="10" fontId="21" fillId="0" borderId="56" xfId="7" applyNumberFormat="1" applyFont="1" applyBorder="1" applyAlignment="1">
      <alignment horizontal="center" vertical="center" wrapText="1"/>
    </xf>
    <xf numFmtId="0" fontId="21" fillId="0" borderId="0" xfId="7" applyFont="1" applyBorder="1" applyAlignment="1">
      <alignment vertical="center" wrapText="1"/>
    </xf>
    <xf numFmtId="0" fontId="21" fillId="0" borderId="57" xfId="7" applyFont="1" applyBorder="1" applyAlignment="1">
      <alignment horizontal="center" vertical="center"/>
    </xf>
    <xf numFmtId="0" fontId="21" fillId="0" borderId="0" xfId="7" applyNumberFormat="1" applyFont="1" applyBorder="1" applyAlignment="1">
      <alignment vertical="center" wrapText="1"/>
    </xf>
    <xf numFmtId="0" fontId="21" fillId="0" borderId="58" xfId="7" applyFont="1" applyBorder="1" applyAlignment="1">
      <alignment horizontal="center" vertical="center" wrapText="1"/>
    </xf>
    <xf numFmtId="0" fontId="16" fillId="0" borderId="57" xfId="7" applyFont="1" applyBorder="1" applyAlignment="1">
      <alignment vertical="center"/>
    </xf>
    <xf numFmtId="0" fontId="21" fillId="0" borderId="0" xfId="7" applyFont="1" applyBorder="1" applyAlignment="1">
      <alignment horizontal="left" vertical="center" wrapText="1"/>
    </xf>
    <xf numFmtId="4" fontId="21" fillId="0" borderId="58" xfId="7" applyNumberFormat="1" applyFont="1" applyBorder="1" applyAlignment="1">
      <alignment horizontal="center" vertical="center" wrapText="1"/>
    </xf>
    <xf numFmtId="0" fontId="21" fillId="0" borderId="0" xfId="7" applyFont="1" applyBorder="1" applyAlignment="1">
      <alignment horizontal="left" vertical="center"/>
    </xf>
    <xf numFmtId="0" fontId="21" fillId="0" borderId="58" xfId="7" applyFont="1" applyBorder="1" applyAlignment="1">
      <alignment horizontal="left" vertical="center"/>
    </xf>
    <xf numFmtId="0" fontId="21" fillId="0" borderId="60" xfId="7" applyFont="1" applyBorder="1" applyAlignment="1">
      <alignment vertical="center"/>
    </xf>
    <xf numFmtId="0" fontId="21" fillId="0" borderId="61" xfId="7" applyFont="1" applyBorder="1" applyAlignment="1">
      <alignment vertical="center"/>
    </xf>
    <xf numFmtId="0" fontId="21" fillId="0" borderId="6" xfId="7" applyFont="1" applyBorder="1" applyAlignment="1">
      <alignment vertical="center"/>
    </xf>
    <xf numFmtId="164" fontId="16" fillId="0" borderId="1" xfId="0" applyNumberFormat="1" applyFont="1" applyBorder="1" applyAlignment="1">
      <alignment vertical="center" wrapText="1"/>
    </xf>
    <xf numFmtId="0" fontId="21" fillId="4" borderId="1" xfId="7" applyFont="1" applyFill="1" applyBorder="1" applyAlignment="1">
      <alignment vertical="center"/>
    </xf>
    <xf numFmtId="164" fontId="21" fillId="8" borderId="29" xfId="0" applyNumberFormat="1" applyFont="1" applyFill="1" applyBorder="1" applyAlignment="1">
      <alignment vertical="center" wrapText="1"/>
    </xf>
    <xf numFmtId="10" fontId="16" fillId="0" borderId="29" xfId="4" applyNumberFormat="1" applyFont="1" applyBorder="1" applyAlignment="1">
      <alignment vertical="center" wrapText="1"/>
    </xf>
    <xf numFmtId="43" fontId="16" fillId="0" borderId="1" xfId="0" applyNumberFormat="1" applyFont="1" applyBorder="1" applyAlignment="1">
      <alignment vertical="center" wrapText="1"/>
    </xf>
    <xf numFmtId="0" fontId="21" fillId="8" borderId="29" xfId="0" applyFont="1" applyFill="1" applyBorder="1" applyAlignment="1">
      <alignment horizontal="center" vertical="center" wrapText="1"/>
    </xf>
    <xf numFmtId="43" fontId="21" fillId="5" borderId="1" xfId="0" applyNumberFormat="1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left" vertical="center" wrapText="1"/>
    </xf>
    <xf numFmtId="167" fontId="21" fillId="8" borderId="29" xfId="0" applyNumberFormat="1" applyFont="1" applyFill="1" applyBorder="1" applyAlignment="1">
      <alignment vertical="center" wrapText="1"/>
    </xf>
    <xf numFmtId="44" fontId="16" fillId="0" borderId="1" xfId="0" applyNumberFormat="1" applyFont="1" applyBorder="1" applyAlignment="1">
      <alignment vertical="center" wrapText="1"/>
    </xf>
    <xf numFmtId="169" fontId="16" fillId="0" borderId="1" xfId="4" applyNumberFormat="1" applyFont="1" applyBorder="1" applyAlignment="1">
      <alignment horizontal="center" vertical="center" wrapText="1"/>
    </xf>
    <xf numFmtId="44" fontId="16" fillId="0" borderId="1" xfId="4" applyNumberFormat="1" applyFont="1" applyBorder="1" applyAlignment="1">
      <alignment vertical="center" wrapText="1"/>
    </xf>
    <xf numFmtId="9" fontId="16" fillId="0" borderId="1" xfId="4" applyFont="1" applyBorder="1" applyAlignment="1">
      <alignment horizontal="center" vertical="center" wrapText="1"/>
    </xf>
    <xf numFmtId="10" fontId="21" fillId="8" borderId="2" xfId="0" applyNumberFormat="1" applyFont="1" applyFill="1" applyBorder="1" applyAlignment="1">
      <alignment horizontal="center" vertical="center" wrapText="1"/>
    </xf>
    <xf numFmtId="168" fontId="16" fillId="0" borderId="1" xfId="0" applyNumberFormat="1" applyFont="1" applyBorder="1" applyAlignment="1">
      <alignment vertical="center" wrapText="1"/>
    </xf>
    <xf numFmtId="0" fontId="16" fillId="0" borderId="0" xfId="7" applyFont="1" applyBorder="1" applyAlignment="1">
      <alignment vertical="center"/>
    </xf>
    <xf numFmtId="172" fontId="16" fillId="0" borderId="1" xfId="0" applyNumberFormat="1" applyFont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/>
    </xf>
    <xf numFmtId="10" fontId="21" fillId="8" borderId="0" xfId="4" applyNumberFormat="1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left" vertical="center" wrapText="1"/>
    </xf>
    <xf numFmtId="0" fontId="21" fillId="8" borderId="54" xfId="0" applyFon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vertical="center"/>
    </xf>
    <xf numFmtId="10" fontId="21" fillId="8" borderId="55" xfId="4" applyNumberFormat="1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43" fontId="23" fillId="8" borderId="58" xfId="6" applyFont="1" applyFill="1" applyBorder="1" applyAlignment="1">
      <alignment horizontal="center" vertical="center"/>
    </xf>
    <xf numFmtId="0" fontId="5" fillId="8" borderId="59" xfId="0" applyFont="1" applyFill="1" applyBorder="1" applyAlignment="1">
      <alignment horizontal="left" vertical="center" wrapText="1"/>
    </xf>
    <xf numFmtId="0" fontId="5" fillId="8" borderId="60" xfId="0" applyFont="1" applyFill="1" applyBorder="1" applyAlignment="1">
      <alignment horizontal="left" vertical="center" wrapText="1"/>
    </xf>
    <xf numFmtId="0" fontId="5" fillId="8" borderId="61" xfId="0" applyFont="1" applyFill="1" applyBorder="1" applyAlignment="1">
      <alignment horizontal="left" vertical="center" wrapText="1"/>
    </xf>
    <xf numFmtId="0" fontId="16" fillId="8" borderId="60" xfId="0" applyFont="1" applyFill="1" applyBorder="1" applyAlignment="1">
      <alignment horizontal="left" vertical="center" wrapText="1"/>
    </xf>
    <xf numFmtId="43" fontId="21" fillId="8" borderId="58" xfId="6" applyFont="1" applyFill="1" applyBorder="1" applyAlignment="1">
      <alignment horizontal="center" vertical="center"/>
    </xf>
    <xf numFmtId="10" fontId="21" fillId="8" borderId="56" xfId="6" applyNumberFormat="1" applyFont="1" applyFill="1" applyBorder="1" applyAlignment="1">
      <alignment horizontal="center" vertical="center"/>
    </xf>
    <xf numFmtId="43" fontId="21" fillId="5" borderId="1" xfId="6" applyFont="1" applyFill="1" applyBorder="1" applyAlignment="1">
      <alignment horizontal="center" vertical="center"/>
    </xf>
    <xf numFmtId="43" fontId="21" fillId="8" borderId="0" xfId="6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vertical="center" wrapText="1"/>
    </xf>
    <xf numFmtId="164" fontId="21" fillId="8" borderId="0" xfId="0" applyNumberFormat="1" applyFont="1" applyFill="1" applyBorder="1" applyAlignment="1">
      <alignment vertical="center" wrapText="1"/>
    </xf>
    <xf numFmtId="167" fontId="16" fillId="0" borderId="1" xfId="0" applyNumberFormat="1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72" fontId="16" fillId="0" borderId="1" xfId="2" applyNumberFormat="1" applyFont="1" applyBorder="1" applyAlignment="1">
      <alignment vertical="center" wrapText="1"/>
    </xf>
    <xf numFmtId="172" fontId="16" fillId="0" borderId="1" xfId="6" applyNumberFormat="1" applyFont="1" applyFill="1" applyBorder="1" applyAlignment="1" applyProtection="1">
      <alignment horizontal="center" vertical="center"/>
    </xf>
    <xf numFmtId="172" fontId="21" fillId="13" borderId="1" xfId="0" applyNumberFormat="1" applyFont="1" applyFill="1" applyBorder="1" applyAlignment="1">
      <alignment horizontal="center" vertical="center" wrapText="1"/>
    </xf>
    <xf numFmtId="172" fontId="16" fillId="0" borderId="1" xfId="3" applyNumberFormat="1" applyFont="1" applyBorder="1" applyAlignment="1">
      <alignment horizontal="center" vertical="center" wrapText="1"/>
    </xf>
    <xf numFmtId="172" fontId="21" fillId="5" borderId="1" xfId="6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justify" vertical="center" wrapText="1"/>
    </xf>
    <xf numFmtId="0" fontId="25" fillId="0" borderId="21" xfId="0" applyFont="1" applyBorder="1" applyAlignment="1">
      <alignment horizontal="center" vertical="center" wrapText="1"/>
    </xf>
    <xf numFmtId="4" fontId="30" fillId="0" borderId="21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horizontal="center" vertical="center"/>
    </xf>
    <xf numFmtId="0" fontId="31" fillId="2" borderId="10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/>
    </xf>
    <xf numFmtId="0" fontId="31" fillId="2" borderId="29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25" fillId="7" borderId="1" xfId="0" applyNumberFormat="1" applyFont="1" applyFill="1" applyBorder="1" applyAlignment="1">
      <alignment horizontal="right" vertical="center" wrapText="1"/>
    </xf>
    <xf numFmtId="10" fontId="30" fillId="0" borderId="1" xfId="4" applyNumberFormat="1" applyFont="1" applyBorder="1"/>
    <xf numFmtId="168" fontId="25" fillId="0" borderId="1" xfId="0" applyNumberFormat="1" applyFont="1" applyBorder="1" applyAlignment="1">
      <alignment horizontal="right" vertical="center" wrapText="1"/>
    </xf>
    <xf numFmtId="168" fontId="26" fillId="5" borderId="1" xfId="0" applyNumberFormat="1" applyFont="1" applyFill="1" applyBorder="1" applyAlignment="1">
      <alignment horizontal="right" vertical="center" wrapText="1"/>
    </xf>
    <xf numFmtId="10" fontId="13" fillId="5" borderId="1" xfId="4" applyNumberFormat="1" applyFont="1" applyFill="1" applyBorder="1"/>
    <xf numFmtId="168" fontId="12" fillId="0" borderId="0" xfId="0" applyNumberFormat="1" applyFont="1" applyAlignment="1">
      <alignment vertical="center"/>
    </xf>
    <xf numFmtId="0" fontId="32" fillId="0" borderId="6" xfId="0" applyFont="1" applyBorder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1" fillId="5" borderId="42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4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165" fontId="35" fillId="4" borderId="45" xfId="1" applyNumberFormat="1" applyFont="1" applyFill="1" applyBorder="1" applyAlignment="1">
      <alignment horizontal="center" vertical="center" wrapText="1"/>
    </xf>
    <xf numFmtId="165" fontId="35" fillId="4" borderId="40" xfId="1" applyNumberFormat="1" applyFont="1" applyFill="1" applyBorder="1" applyAlignment="1">
      <alignment horizontal="center" vertical="center" wrapText="1"/>
    </xf>
    <xf numFmtId="166" fontId="35" fillId="3" borderId="28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5" fillId="6" borderId="17" xfId="0" applyFont="1" applyFill="1" applyBorder="1" applyAlignment="1">
      <alignment vertical="center"/>
    </xf>
    <xf numFmtId="0" fontId="35" fillId="6" borderId="18" xfId="0" applyFont="1" applyFill="1" applyBorder="1" applyAlignment="1">
      <alignment vertical="center"/>
    </xf>
    <xf numFmtId="0" fontId="35" fillId="6" borderId="19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44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35" fillId="5" borderId="30" xfId="0" applyFont="1" applyFill="1" applyBorder="1" applyAlignment="1" applyProtection="1">
      <alignment horizontal="center" vertical="center"/>
      <protection locked="0"/>
    </xf>
    <xf numFmtId="0" fontId="35" fillId="5" borderId="31" xfId="0" applyFont="1" applyFill="1" applyBorder="1" applyAlignment="1" applyProtection="1">
      <alignment vertical="center"/>
      <protection locked="0"/>
    </xf>
    <xf numFmtId="0" fontId="35" fillId="5" borderId="32" xfId="0" applyFont="1" applyFill="1" applyBorder="1" applyAlignment="1" applyProtection="1">
      <alignment horizontal="center" vertical="center"/>
      <protection locked="0"/>
    </xf>
    <xf numFmtId="0" fontId="35" fillId="0" borderId="33" xfId="0" applyFont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vertical="center"/>
      <protection locked="0"/>
    </xf>
    <xf numFmtId="10" fontId="12" fillId="8" borderId="35" xfId="4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12" fillId="8" borderId="37" xfId="0" applyFont="1" applyFill="1" applyBorder="1" applyAlignment="1" applyProtection="1">
      <alignment vertical="center"/>
      <protection locked="0"/>
    </xf>
    <xf numFmtId="10" fontId="12" fillId="8" borderId="38" xfId="4" applyNumberFormat="1" applyFont="1" applyFill="1" applyBorder="1" applyAlignment="1" applyProtection="1">
      <alignment horizontal="center" vertical="center"/>
      <protection locked="0"/>
    </xf>
    <xf numFmtId="0" fontId="35" fillId="8" borderId="10" xfId="0" applyFont="1" applyFill="1" applyBorder="1" applyAlignment="1" applyProtection="1">
      <alignment horizontal="center" vertical="center"/>
      <protection locked="0"/>
    </xf>
    <xf numFmtId="0" fontId="35" fillId="8" borderId="11" xfId="0" applyFont="1" applyFill="1" applyBorder="1" applyAlignment="1" applyProtection="1">
      <alignment horizontal="center" vertical="center"/>
      <protection locked="0"/>
    </xf>
    <xf numFmtId="10" fontId="35" fillId="0" borderId="29" xfId="4" applyNumberFormat="1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4" fillId="0" borderId="0" xfId="5" applyFont="1"/>
    <xf numFmtId="0" fontId="35" fillId="8" borderId="36" xfId="0" applyFont="1" applyFill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10" fontId="12" fillId="0" borderId="35" xfId="4" applyNumberFormat="1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vertical="center" wrapText="1"/>
      <protection locked="0"/>
    </xf>
    <xf numFmtId="0" fontId="12" fillId="0" borderId="37" xfId="0" applyFont="1" applyBorder="1" applyAlignment="1" applyProtection="1">
      <alignment vertical="center" wrapText="1"/>
      <protection locked="0"/>
    </xf>
    <xf numFmtId="10" fontId="12" fillId="0" borderId="38" xfId="4" applyNumberFormat="1" applyFont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10" fontId="35" fillId="0" borderId="2" xfId="4" applyNumberFormat="1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vertical="center"/>
      <protection locked="0"/>
    </xf>
    <xf numFmtId="10" fontId="12" fillId="0" borderId="38" xfId="4" applyNumberFormat="1" applyFont="1" applyBorder="1" applyAlignment="1" applyProtection="1">
      <alignment horizontal="center" vertical="center"/>
      <protection locked="0"/>
    </xf>
    <xf numFmtId="10" fontId="12" fillId="0" borderId="0" xfId="0" applyNumberFormat="1" applyFont="1"/>
    <xf numFmtId="10" fontId="35" fillId="3" borderId="9" xfId="4" applyNumberFormat="1" applyFont="1" applyFill="1" applyBorder="1" applyAlignment="1">
      <alignment horizontal="center"/>
    </xf>
    <xf numFmtId="0" fontId="36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10" fontId="35" fillId="0" borderId="0" xfId="4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2" fontId="35" fillId="0" borderId="1" xfId="0" applyNumberFormat="1" applyFont="1" applyBorder="1" applyAlignment="1">
      <alignment horizontal="center"/>
    </xf>
    <xf numFmtId="0" fontId="35" fillId="11" borderId="1" xfId="0" applyFont="1" applyFill="1" applyBorder="1" applyAlignment="1">
      <alignment horizontal="left"/>
    </xf>
    <xf numFmtId="0" fontId="35" fillId="11" borderId="1" xfId="0" applyFont="1" applyFill="1" applyBorder="1" applyAlignment="1">
      <alignment horizontal="center"/>
    </xf>
    <xf numFmtId="2" fontId="35" fillId="11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35" fillId="11" borderId="1" xfId="0" applyFont="1" applyFill="1" applyBorder="1"/>
    <xf numFmtId="0" fontId="12" fillId="11" borderId="1" xfId="0" applyFont="1" applyFill="1" applyBorder="1"/>
    <xf numFmtId="0" fontId="38" fillId="0" borderId="1" xfId="0" applyFont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39" fillId="11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35" fillId="0" borderId="1" xfId="0" applyFont="1" applyBorder="1"/>
    <xf numFmtId="10" fontId="12" fillId="0" borderId="1" xfId="0" applyNumberFormat="1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5" fillId="0" borderId="20" xfId="0" applyFont="1" applyFill="1" applyBorder="1" applyAlignment="1">
      <alignment vertical="center" wrapText="1"/>
    </xf>
    <xf numFmtId="0" fontId="41" fillId="0" borderId="20" xfId="0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vertical="center" wrapText="1"/>
    </xf>
    <xf numFmtId="0" fontId="41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35" fillId="9" borderId="47" xfId="0" applyFont="1" applyFill="1" applyBorder="1" applyAlignment="1">
      <alignment horizontal="right" vertical="center"/>
    </xf>
    <xf numFmtId="0" fontId="35" fillId="9" borderId="15" xfId="0" applyFont="1" applyFill="1" applyBorder="1" applyAlignment="1">
      <alignment vertical="center"/>
    </xf>
    <xf numFmtId="165" fontId="35" fillId="9" borderId="48" xfId="0" applyNumberFormat="1" applyFont="1" applyFill="1" applyBorder="1" applyAlignment="1">
      <alignment vertical="center"/>
    </xf>
    <xf numFmtId="0" fontId="12" fillId="9" borderId="22" xfId="0" applyFont="1" applyFill="1" applyBorder="1" applyAlignment="1">
      <alignment horizontal="right" vertical="center"/>
    </xf>
    <xf numFmtId="0" fontId="12" fillId="9" borderId="23" xfId="0" applyFont="1" applyFill="1" applyBorder="1" applyAlignment="1">
      <alignment horizontal="center" vertical="center"/>
    </xf>
    <xf numFmtId="10" fontId="11" fillId="9" borderId="23" xfId="0" applyNumberFormat="1" applyFont="1" applyFill="1" applyBorder="1" applyAlignment="1">
      <alignment horizontal="center" vertical="center"/>
    </xf>
    <xf numFmtId="165" fontId="12" fillId="9" borderId="24" xfId="0" applyNumberFormat="1" applyFont="1" applyFill="1" applyBorder="1" applyAlignment="1">
      <alignment vertical="center"/>
    </xf>
    <xf numFmtId="0" fontId="35" fillId="9" borderId="22" xfId="0" applyFont="1" applyFill="1" applyBorder="1" applyAlignment="1">
      <alignment horizontal="right" vertical="center"/>
    </xf>
    <xf numFmtId="0" fontId="35" fillId="9" borderId="23" xfId="0" applyFont="1" applyFill="1" applyBorder="1" applyAlignment="1">
      <alignment vertical="center"/>
    </xf>
    <xf numFmtId="165" fontId="35" fillId="9" borderId="24" xfId="0" applyNumberFormat="1" applyFont="1" applyFill="1" applyBorder="1" applyAlignment="1">
      <alignment vertical="center"/>
    </xf>
    <xf numFmtId="0" fontId="35" fillId="9" borderId="49" xfId="0" applyFont="1" applyFill="1" applyBorder="1" applyAlignment="1">
      <alignment horizontal="right" vertical="center" wrapText="1"/>
    </xf>
    <xf numFmtId="0" fontId="35" fillId="9" borderId="18" xfId="0" applyFont="1" applyFill="1" applyBorder="1" applyAlignment="1">
      <alignment vertical="center" wrapText="1"/>
    </xf>
    <xf numFmtId="165" fontId="35" fillId="9" borderId="50" xfId="0" applyNumberFormat="1" applyFont="1" applyFill="1" applyBorder="1" applyAlignment="1">
      <alignment vertical="center"/>
    </xf>
    <xf numFmtId="0" fontId="12" fillId="0" borderId="0" xfId="0" applyFont="1" applyFill="1"/>
    <xf numFmtId="0" fontId="17" fillId="0" borderId="0" xfId="0" applyFont="1" applyAlignment="1">
      <alignment vertical="center"/>
    </xf>
    <xf numFmtId="0" fontId="44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46" fillId="0" borderId="0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4" fontId="44" fillId="0" borderId="1" xfId="0" applyNumberFormat="1" applyFont="1" applyBorder="1" applyAlignment="1">
      <alignment horizontal="center" vertical="center"/>
    </xf>
    <xf numFmtId="4" fontId="44" fillId="0" borderId="1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>
      <alignment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2" fontId="36" fillId="0" borderId="0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2" fontId="17" fillId="0" borderId="5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/>
    </xf>
    <xf numFmtId="43" fontId="44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wrapText="1"/>
    </xf>
    <xf numFmtId="4" fontId="12" fillId="0" borderId="0" xfId="0" applyNumberFormat="1" applyFont="1"/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9" fontId="44" fillId="0" borderId="8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" fontId="15" fillId="0" borderId="8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8" fontId="34" fillId="4" borderId="9" xfId="0" applyNumberFormat="1" applyFont="1" applyFill="1" applyBorder="1" applyAlignment="1">
      <alignment horizontal="center" vertical="center"/>
    </xf>
    <xf numFmtId="8" fontId="44" fillId="0" borderId="9" xfId="0" applyNumberFormat="1" applyFont="1" applyBorder="1" applyAlignment="1">
      <alignment horizontal="center" vertical="center"/>
    </xf>
    <xf numFmtId="8" fontId="17" fillId="0" borderId="9" xfId="0" applyNumberFormat="1" applyFont="1" applyBorder="1" applyAlignment="1">
      <alignment horizontal="center" vertical="center"/>
    </xf>
    <xf numFmtId="8" fontId="34" fillId="0" borderId="9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8" fontId="39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 applyBorder="1"/>
    <xf numFmtId="4" fontId="15" fillId="0" borderId="1" xfId="0" applyNumberFormat="1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 applyProtection="1">
      <alignment horizontal="center" vertical="center"/>
      <protection locked="0"/>
    </xf>
    <xf numFmtId="2" fontId="15" fillId="0" borderId="1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9" xfId="0" applyFont="1" applyBorder="1" applyAlignment="1" applyProtection="1">
      <alignment horizontal="center" vertical="center"/>
      <protection locked="0"/>
    </xf>
    <xf numFmtId="4" fontId="15" fillId="0" borderId="2" xfId="0" applyNumberFormat="1" applyFont="1" applyFill="1" applyBorder="1" applyAlignment="1">
      <alignment horizontal="center" vertical="center"/>
    </xf>
    <xf numFmtId="0" fontId="27" fillId="0" borderId="0" xfId="0" applyFont="1"/>
    <xf numFmtId="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5" fillId="8" borderId="20" xfId="0" applyNumberFormat="1" applyFont="1" applyFill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 wrapText="1"/>
    </xf>
    <xf numFmtId="0" fontId="15" fillId="8" borderId="20" xfId="0" applyFont="1" applyFill="1" applyBorder="1" applyAlignment="1">
      <alignment vertical="center" wrapText="1"/>
    </xf>
    <xf numFmtId="4" fontId="15" fillId="8" borderId="21" xfId="0" applyNumberFormat="1" applyFont="1" applyFill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0" fontId="15" fillId="8" borderId="21" xfId="0" applyFont="1" applyFill="1" applyBorder="1" applyAlignment="1">
      <alignment vertical="center" wrapText="1"/>
    </xf>
    <xf numFmtId="0" fontId="12" fillId="8" borderId="0" xfId="0" applyFont="1" applyFill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Border="1"/>
    <xf numFmtId="0" fontId="12" fillId="0" borderId="0" xfId="0" applyFont="1" applyFill="1" applyAlignment="1">
      <alignment wrapText="1"/>
    </xf>
    <xf numFmtId="167" fontId="12" fillId="0" borderId="0" xfId="0" applyNumberFormat="1" applyFont="1" applyAlignment="1">
      <alignment vertical="center"/>
    </xf>
    <xf numFmtId="0" fontId="35" fillId="0" borderId="1" xfId="0" applyFont="1" applyFill="1" applyBorder="1" applyAlignment="1">
      <alignment horizontal="center"/>
    </xf>
    <xf numFmtId="44" fontId="12" fillId="0" borderId="1" xfId="2" applyFont="1" applyBorder="1"/>
    <xf numFmtId="44" fontId="12" fillId="0" borderId="1" xfId="2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2" fontId="12" fillId="11" borderId="1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11" borderId="1" xfId="0" applyFont="1" applyFill="1" applyBorder="1" applyAlignment="1">
      <alignment horizontal="center"/>
    </xf>
    <xf numFmtId="44" fontId="12" fillId="0" borderId="1" xfId="0" applyNumberFormat="1" applyFont="1" applyBorder="1"/>
    <xf numFmtId="44" fontId="12" fillId="0" borderId="0" xfId="0" applyNumberFormat="1" applyFont="1"/>
    <xf numFmtId="44" fontId="12" fillId="11" borderId="1" xfId="2" applyFont="1" applyFill="1" applyBorder="1"/>
    <xf numFmtId="44" fontId="12" fillId="11" borderId="1" xfId="0" applyNumberFormat="1" applyFont="1" applyFill="1" applyBorder="1"/>
    <xf numFmtId="0" fontId="21" fillId="5" borderId="1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44" fontId="12" fillId="0" borderId="1" xfId="2" applyFont="1" applyBorder="1" applyAlignment="1">
      <alignment vertical="center"/>
    </xf>
    <xf numFmtId="44" fontId="12" fillId="0" borderId="1" xfId="0" applyNumberFormat="1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3" fontId="16" fillId="0" borderId="0" xfId="7" applyNumberFormat="1" applyFont="1"/>
    <xf numFmtId="44" fontId="16" fillId="0" borderId="52" xfId="2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7" fontId="11" fillId="0" borderId="35" xfId="3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164" fontId="16" fillId="0" borderId="1" xfId="0" applyNumberFormat="1" applyFont="1" applyFill="1" applyBorder="1" applyAlignment="1">
      <alignment vertical="center" wrapText="1"/>
    </xf>
    <xf numFmtId="44" fontId="12" fillId="0" borderId="1" xfId="0" applyNumberFormat="1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44" fontId="35" fillId="0" borderId="1" xfId="0" applyNumberFormat="1" applyFont="1" applyBorder="1"/>
    <xf numFmtId="4" fontId="35" fillId="0" borderId="1" xfId="0" applyNumberFormat="1" applyFont="1" applyBorder="1"/>
    <xf numFmtId="44" fontId="35" fillId="11" borderId="1" xfId="0" applyNumberFormat="1" applyFont="1" applyFill="1" applyBorder="1"/>
    <xf numFmtId="0" fontId="21" fillId="5" borderId="10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10" fontId="21" fillId="5" borderId="1" xfId="0" applyNumberFormat="1" applyFont="1" applyFill="1" applyBorder="1" applyAlignment="1">
      <alignment vertical="center" wrapText="1"/>
    </xf>
    <xf numFmtId="173" fontId="16" fillId="0" borderId="1" xfId="4" applyNumberFormat="1" applyFont="1" applyBorder="1" applyAlignment="1">
      <alignment horizontal="center" vertical="center" wrapText="1"/>
    </xf>
    <xf numFmtId="44" fontId="16" fillId="0" borderId="0" xfId="7" applyNumberFormat="1" applyFont="1"/>
    <xf numFmtId="0" fontId="5" fillId="0" borderId="0" xfId="7" applyFont="1" applyBorder="1" applyAlignment="1">
      <alignment vertical="center"/>
    </xf>
    <xf numFmtId="10" fontId="16" fillId="0" borderId="1" xfId="0" applyNumberFormat="1" applyFont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71" fontId="12" fillId="0" borderId="1" xfId="0" applyNumberFormat="1" applyFont="1" applyFill="1" applyBorder="1" applyAlignment="1">
      <alignment horizontal="center" vertical="center"/>
    </xf>
    <xf numFmtId="10" fontId="21" fillId="5" borderId="29" xfId="0" applyNumberFormat="1" applyFont="1" applyFill="1" applyBorder="1" applyAlignment="1">
      <alignment vertical="center" wrapText="1"/>
    </xf>
    <xf numFmtId="0" fontId="49" fillId="0" borderId="1" xfId="0" applyFont="1" applyBorder="1" applyAlignment="1">
      <alignment horizontal="justify" vertical="center"/>
    </xf>
    <xf numFmtId="0" fontId="49" fillId="0" borderId="1" xfId="0" applyFont="1" applyBorder="1" applyAlignment="1">
      <alignment horizontal="justify" vertical="center" wrapText="1"/>
    </xf>
    <xf numFmtId="10" fontId="16" fillId="0" borderId="0" xfId="7" applyNumberFormat="1" applyFont="1"/>
    <xf numFmtId="0" fontId="16" fillId="8" borderId="0" xfId="7" applyFont="1" applyFill="1"/>
    <xf numFmtId="172" fontId="21" fillId="5" borderId="29" xfId="0" applyNumberFormat="1" applyFont="1" applyFill="1" applyBorder="1" applyAlignment="1">
      <alignment wrapText="1"/>
    </xf>
    <xf numFmtId="0" fontId="16" fillId="0" borderId="0" xfId="7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1" fillId="4" borderId="10" xfId="7" applyFont="1" applyFill="1" applyBorder="1" applyAlignment="1">
      <alignment horizontal="center" vertical="center"/>
    </xf>
    <xf numFmtId="0" fontId="21" fillId="4" borderId="2" xfId="7" applyFont="1" applyFill="1" applyBorder="1" applyAlignment="1">
      <alignment horizontal="center" vertical="center"/>
    </xf>
    <xf numFmtId="0" fontId="16" fillId="0" borderId="1" xfId="7" applyFont="1" applyBorder="1" applyAlignment="1">
      <alignment horizontal="center" vertical="center" wrapText="1"/>
    </xf>
    <xf numFmtId="0" fontId="21" fillId="0" borderId="55" xfId="7" applyFont="1" applyBorder="1" applyAlignment="1">
      <alignment horizontal="center" vertical="center" wrapText="1"/>
    </xf>
    <xf numFmtId="0" fontId="21" fillId="0" borderId="0" xfId="7" applyFont="1" applyBorder="1" applyAlignment="1">
      <alignment horizontal="center" vertical="center" wrapText="1"/>
    </xf>
    <xf numFmtId="0" fontId="21" fillId="0" borderId="60" xfId="7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22" fillId="5" borderId="1" xfId="7" applyFont="1" applyFill="1" applyBorder="1" applyAlignment="1">
      <alignment horizontal="center"/>
    </xf>
    <xf numFmtId="0" fontId="21" fillId="5" borderId="1" xfId="0" applyFont="1" applyFill="1" applyBorder="1" applyAlignment="1" applyProtection="1">
      <alignment horizontal="center" vertical="center"/>
    </xf>
    <xf numFmtId="9" fontId="16" fillId="0" borderId="2" xfId="4" applyFont="1" applyBorder="1" applyAlignment="1">
      <alignment horizontal="center" vertical="center" wrapText="1"/>
    </xf>
    <xf numFmtId="9" fontId="16" fillId="0" borderId="29" xfId="4" applyFont="1" applyBorder="1" applyAlignment="1">
      <alignment horizontal="center" vertical="center" wrapText="1"/>
    </xf>
    <xf numFmtId="0" fontId="21" fillId="0" borderId="51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2" fillId="5" borderId="1" xfId="0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2" fillId="12" borderId="10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16" fillId="0" borderId="10" xfId="0" applyFont="1" applyFill="1" applyBorder="1" applyAlignment="1" applyProtection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10" fontId="16" fillId="0" borderId="10" xfId="4" applyNumberFormat="1" applyFont="1" applyFill="1" applyBorder="1" applyAlignment="1" applyProtection="1">
      <alignment horizontal="center" vertical="center" wrapText="1"/>
    </xf>
    <xf numFmtId="10" fontId="27" fillId="0" borderId="29" xfId="4" applyNumberFormat="1" applyFont="1" applyBorder="1" applyAlignment="1">
      <alignment horizontal="center" vertical="center" wrapText="1"/>
    </xf>
    <xf numFmtId="0" fontId="16" fillId="0" borderId="43" xfId="0" applyFont="1" applyFill="1" applyBorder="1" applyAlignment="1" applyProtection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10" fontId="16" fillId="0" borderId="43" xfId="4" applyNumberFormat="1" applyFont="1" applyFill="1" applyBorder="1" applyAlignment="1" applyProtection="1">
      <alignment horizontal="center" vertical="center" wrapText="1"/>
    </xf>
    <xf numFmtId="10" fontId="27" fillId="0" borderId="53" xfId="4" applyNumberFormat="1" applyFont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/>
    </xf>
    <xf numFmtId="0" fontId="21" fillId="5" borderId="65" xfId="0" applyFont="1" applyFill="1" applyBorder="1" applyAlignment="1">
      <alignment horizontal="center" vertical="center"/>
    </xf>
    <xf numFmtId="10" fontId="21" fillId="5" borderId="65" xfId="4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6" fillId="0" borderId="29" xfId="0" applyFont="1" applyFill="1" applyBorder="1" applyAlignment="1" applyProtection="1">
      <alignment horizontal="left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10" fontId="21" fillId="5" borderId="1" xfId="4" applyNumberFormat="1" applyFont="1" applyFill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 wrapText="1"/>
    </xf>
    <xf numFmtId="9" fontId="5" fillId="0" borderId="2" xfId="4" applyFont="1" applyBorder="1" applyAlignment="1">
      <alignment horizontal="center" vertical="center" wrapText="1"/>
    </xf>
    <xf numFmtId="9" fontId="5" fillId="0" borderId="29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29" fillId="0" borderId="6" xfId="0" applyFont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left" vertical="center"/>
    </xf>
    <xf numFmtId="0" fontId="31" fillId="2" borderId="19" xfId="0" applyFont="1" applyFill="1" applyBorder="1" applyAlignment="1">
      <alignment horizontal="left" vertical="center"/>
    </xf>
    <xf numFmtId="0" fontId="30" fillId="0" borderId="14" xfId="0" applyNumberFormat="1" applyFont="1" applyBorder="1" applyAlignment="1">
      <alignment horizontal="justify" vertical="center" wrapText="1"/>
    </xf>
    <xf numFmtId="0" fontId="30" fillId="0" borderId="15" xfId="0" applyNumberFormat="1" applyFont="1" applyBorder="1" applyAlignment="1">
      <alignment horizontal="justify" vertical="center" wrapText="1"/>
    </xf>
    <xf numFmtId="0" fontId="30" fillId="0" borderId="16" xfId="0" applyNumberFormat="1" applyFont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13" xfId="0" applyFont="1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34" fillId="0" borderId="7" xfId="0" applyFont="1" applyBorder="1" applyAlignment="1">
      <alignment horizontal="right" vertical="center"/>
    </xf>
    <xf numFmtId="0" fontId="34" fillId="0" borderId="8" xfId="0" applyFont="1" applyBorder="1" applyAlignment="1">
      <alignment horizontal="right" vertical="center"/>
    </xf>
    <xf numFmtId="0" fontId="33" fillId="4" borderId="10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/>
    </xf>
    <xf numFmtId="0" fontId="44" fillId="0" borderId="7" xfId="0" applyFont="1" applyBorder="1" applyAlignment="1">
      <alignment horizontal="right" vertical="center"/>
    </xf>
    <xf numFmtId="0" fontId="44" fillId="0" borderId="8" xfId="0" applyFont="1" applyBorder="1" applyAlignment="1">
      <alignment horizontal="right" vertical="center"/>
    </xf>
    <xf numFmtId="0" fontId="35" fillId="4" borderId="22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 wrapText="1"/>
    </xf>
    <xf numFmtId="4" fontId="12" fillId="0" borderId="42" xfId="0" applyNumberFormat="1" applyFont="1" applyBorder="1" applyAlignment="1">
      <alignment horizontal="center" vertical="center" wrapText="1"/>
    </xf>
    <xf numFmtId="4" fontId="12" fillId="0" borderId="46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3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5" fillId="4" borderId="47" xfId="0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35" fillId="4" borderId="48" xfId="0" applyFont="1" applyFill="1" applyBorder="1" applyAlignment="1">
      <alignment horizontal="center" vertical="center" wrapText="1"/>
    </xf>
    <xf numFmtId="0" fontId="35" fillId="3" borderId="25" xfId="0" applyFont="1" applyFill="1" applyBorder="1" applyAlignment="1">
      <alignment horizontal="center" vertical="center" wrapText="1"/>
    </xf>
    <xf numFmtId="0" fontId="35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3" borderId="7" xfId="0" applyFont="1" applyFill="1" applyBorder="1" applyAlignment="1" applyProtection="1">
      <alignment horizontal="right" vertical="center"/>
      <protection locked="0"/>
    </xf>
    <xf numFmtId="0" fontId="35" fillId="3" borderId="8" xfId="0" applyFont="1" applyFill="1" applyBorder="1" applyAlignment="1" applyProtection="1">
      <alignment horizontal="right" vertical="center"/>
      <protection locked="0"/>
    </xf>
    <xf numFmtId="0" fontId="35" fillId="4" borderId="17" xfId="0" applyFont="1" applyFill="1" applyBorder="1" applyAlignment="1">
      <alignment horizontal="left" vertical="center"/>
    </xf>
    <xf numFmtId="0" fontId="35" fillId="4" borderId="18" xfId="0" applyFont="1" applyFill="1" applyBorder="1" applyAlignment="1">
      <alignment horizontal="left" vertical="center"/>
    </xf>
    <xf numFmtId="0" fontId="35" fillId="4" borderId="19" xfId="0" applyFont="1" applyFill="1" applyBorder="1" applyAlignment="1">
      <alignment horizontal="left" vertical="center"/>
    </xf>
    <xf numFmtId="0" fontId="35" fillId="6" borderId="17" xfId="0" applyFont="1" applyFill="1" applyBorder="1" applyAlignment="1">
      <alignment horizontal="left" vertical="center"/>
    </xf>
    <xf numFmtId="0" fontId="35" fillId="6" borderId="18" xfId="0" applyFont="1" applyFill="1" applyBorder="1" applyAlignment="1">
      <alignment horizontal="left" vertical="center"/>
    </xf>
    <xf numFmtId="0" fontId="35" fillId="6" borderId="19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65" fontId="35" fillId="9" borderId="23" xfId="0" applyNumberFormat="1" applyFont="1" applyFill="1" applyBorder="1" applyAlignment="1">
      <alignment horizontal="center" vertical="center"/>
    </xf>
    <xf numFmtId="165" fontId="35" fillId="9" borderId="15" xfId="0" applyNumberFormat="1" applyFont="1" applyFill="1" applyBorder="1" applyAlignment="1">
      <alignment horizontal="center" vertical="center"/>
    </xf>
    <xf numFmtId="165" fontId="12" fillId="9" borderId="23" xfId="0" applyNumberFormat="1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2" fillId="4" borderId="29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6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7" fillId="2" borderId="0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left" vertical="center"/>
    </xf>
    <xf numFmtId="2" fontId="19" fillId="0" borderId="2" xfId="0" applyNumberFormat="1" applyFont="1" applyBorder="1" applyAlignment="1" applyProtection="1">
      <alignment horizontal="right" vertical="center"/>
      <protection locked="0"/>
    </xf>
    <xf numFmtId="0" fontId="34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5" fillId="0" borderId="20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4" fontId="15" fillId="0" borderId="28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8" borderId="20" xfId="0" applyFont="1" applyFill="1" applyBorder="1" applyAlignment="1">
      <alignment horizontal="left"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15" fillId="8" borderId="28" xfId="0" applyFont="1" applyFill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</cellXfs>
  <cellStyles count="8">
    <cellStyle name="Hiperlink" xfId="5" builtinId="8"/>
    <cellStyle name="Moeda" xfId="2" builtinId="4"/>
    <cellStyle name="Moeda 2" xfId="3" xr:uid="{00000000-0005-0000-0000-000002000000}"/>
    <cellStyle name="Normal" xfId="0" builtinId="0"/>
    <cellStyle name="Normal 2" xfId="7" xr:uid="{00000000-0005-0000-0000-000004000000}"/>
    <cellStyle name="Porcentagem" xfId="4" builtinId="5"/>
    <cellStyle name="Vírgula" xfId="6" builtinId="3"/>
    <cellStyle name="Vírgula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66675</xdr:rowOff>
    </xdr:from>
    <xdr:to>
      <xdr:col>1</xdr:col>
      <xdr:colOff>781050</xdr:colOff>
      <xdr:row>3</xdr:row>
      <xdr:rowOff>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90575"/>
          <a:ext cx="1133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352425</xdr:rowOff>
    </xdr:from>
    <xdr:to>
      <xdr:col>0</xdr:col>
      <xdr:colOff>1257300</xdr:colOff>
      <xdr:row>1</xdr:row>
      <xdr:rowOff>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238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806450</xdr:colOff>
      <xdr:row>1</xdr:row>
      <xdr:rowOff>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114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0</xdr:col>
      <xdr:colOff>1447800</xdr:colOff>
      <xdr:row>0</xdr:row>
      <xdr:rowOff>523875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09600"/>
          <a:ext cx="1285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542925</xdr:colOff>
      <xdr:row>1</xdr:row>
      <xdr:rowOff>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38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657225</xdr:colOff>
      <xdr:row>0</xdr:row>
      <xdr:rowOff>476250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114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771525</xdr:colOff>
      <xdr:row>0</xdr:row>
      <xdr:rowOff>443430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85850" cy="40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1</xdr:col>
      <xdr:colOff>1028700</xdr:colOff>
      <xdr:row>0</xdr:row>
      <xdr:rowOff>542925</xdr:rowOff>
    </xdr:to>
    <xdr:pic>
      <xdr:nvPicPr>
        <xdr:cNvPr id="2" name="Imagem 0" descr="anac_comp_horz_esp-cor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285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57151</xdr:rowOff>
    </xdr:from>
    <xdr:to>
      <xdr:col>1</xdr:col>
      <xdr:colOff>901700</xdr:colOff>
      <xdr:row>0</xdr:row>
      <xdr:rowOff>465656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7151"/>
          <a:ext cx="1085850" cy="40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cdf1003\File%20Server%201\TrabGGCP\URSP\Acesso%20Restrito\Log&#237;stica\GEST&#195;O%20CONTRATOS\CONTRATOS%20E%20ADITIVOS\2013\01.2013%20COTTAR\DOCS\REP3\REP3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Uniforme"/>
      <sheetName val="CT Uniforme Retificado"/>
      <sheetName val="CT Equip.Ferram"/>
      <sheetName val="CT. Equip.Ferram. Retificado"/>
      <sheetName val="REP3 Artifice"/>
      <sheetName val="REP3 Téc. Eletric."/>
      <sheetName val="REP3 Téc. Hidro."/>
      <sheetName val="REP3 Téc. Refrig."/>
      <sheetName val="REP3 Eng."/>
      <sheetName val="REP3 RESUMO MDO"/>
      <sheetName val="REP3 CUSTO TOTAL"/>
      <sheetName val="BDI"/>
      <sheetName val="RETROATIVO"/>
      <sheetName val="Cronograma REP3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1856.1399999999999</v>
          </cell>
          <cell r="H7">
            <v>2022.02</v>
          </cell>
          <cell r="J7">
            <v>2022.02</v>
          </cell>
          <cell r="N7">
            <v>2170.04</v>
          </cell>
          <cell r="P7">
            <v>2170.04</v>
          </cell>
          <cell r="R7">
            <v>2343.64</v>
          </cell>
          <cell r="V7">
            <v>2343.64</v>
          </cell>
        </row>
      </sheetData>
      <sheetData sheetId="6">
        <row r="5">
          <cell r="R5">
            <v>1802.8</v>
          </cell>
        </row>
        <row r="6">
          <cell r="D6">
            <v>1427.8</v>
          </cell>
          <cell r="H6">
            <v>1555.4</v>
          </cell>
          <cell r="J6">
            <v>1555.4</v>
          </cell>
          <cell r="N6">
            <v>1669.26</v>
          </cell>
          <cell r="P6">
            <v>1669.26</v>
          </cell>
          <cell r="V6">
            <v>1802.8</v>
          </cell>
        </row>
      </sheetData>
      <sheetData sheetId="7">
        <row r="6">
          <cell r="D6">
            <v>1427.8</v>
          </cell>
          <cell r="H6">
            <v>1555.4</v>
          </cell>
          <cell r="J6">
            <v>1555.4</v>
          </cell>
          <cell r="N6">
            <v>1669.26</v>
          </cell>
          <cell r="P6">
            <v>1669.26</v>
          </cell>
          <cell r="R6">
            <v>1802.8</v>
          </cell>
          <cell r="V6">
            <v>1802.8</v>
          </cell>
        </row>
      </sheetData>
      <sheetData sheetId="8">
        <row r="7">
          <cell r="D7">
            <v>233.38</v>
          </cell>
          <cell r="H7">
            <v>249.24</v>
          </cell>
          <cell r="J7">
            <v>249.22</v>
          </cell>
          <cell r="P7">
            <v>254.39</v>
          </cell>
          <cell r="R7">
            <v>274.73971499999999</v>
          </cell>
          <cell r="T7">
            <v>274.74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0"/>
  <sheetViews>
    <sheetView tabSelected="1" zoomScaleNormal="100" workbookViewId="0">
      <selection activeCell="J12" sqref="J12"/>
    </sheetView>
  </sheetViews>
  <sheetFormatPr defaultRowHeight="14.5" x14ac:dyDescent="0.35"/>
  <cols>
    <col min="1" max="1" width="6.453125" style="20" customWidth="1"/>
    <col min="2" max="2" width="43.453125" style="20" customWidth="1"/>
    <col min="3" max="3" width="17.26953125" style="20" customWidth="1"/>
    <col min="4" max="4" width="19.1796875" style="20" customWidth="1"/>
    <col min="5" max="5" width="17.26953125" style="20" hidden="1" customWidth="1"/>
    <col min="6" max="6" width="19.1796875" style="20" hidden="1" customWidth="1"/>
    <col min="7" max="7" width="13.54296875" style="19" hidden="1" customWidth="1"/>
    <col min="8" max="8" width="9.1796875" style="19"/>
    <col min="9" max="9" width="11.7265625" style="19" bestFit="1" customWidth="1"/>
    <col min="10" max="10" width="12.7265625" style="19" bestFit="1" customWidth="1"/>
    <col min="11" max="257" width="9.1796875" style="19"/>
    <col min="258" max="258" width="6.453125" style="19" customWidth="1"/>
    <col min="259" max="259" width="41.81640625" style="19" customWidth="1"/>
    <col min="260" max="260" width="17.26953125" style="19" customWidth="1"/>
    <col min="261" max="261" width="19.1796875" style="19" customWidth="1"/>
    <col min="262" max="513" width="9.1796875" style="19"/>
    <col min="514" max="514" width="6.453125" style="19" customWidth="1"/>
    <col min="515" max="515" width="41.81640625" style="19" customWidth="1"/>
    <col min="516" max="516" width="17.26953125" style="19" customWidth="1"/>
    <col min="517" max="517" width="19.1796875" style="19" customWidth="1"/>
    <col min="518" max="769" width="9.1796875" style="19"/>
    <col min="770" max="770" width="6.453125" style="19" customWidth="1"/>
    <col min="771" max="771" width="41.81640625" style="19" customWidth="1"/>
    <col min="772" max="772" width="17.26953125" style="19" customWidth="1"/>
    <col min="773" max="773" width="19.1796875" style="19" customWidth="1"/>
    <col min="774" max="1025" width="9.1796875" style="19"/>
    <col min="1026" max="1026" width="6.453125" style="19" customWidth="1"/>
    <col min="1027" max="1027" width="41.81640625" style="19" customWidth="1"/>
    <col min="1028" max="1028" width="17.26953125" style="19" customWidth="1"/>
    <col min="1029" max="1029" width="19.1796875" style="19" customWidth="1"/>
    <col min="1030" max="1281" width="9.1796875" style="19"/>
    <col min="1282" max="1282" width="6.453125" style="19" customWidth="1"/>
    <col min="1283" max="1283" width="41.81640625" style="19" customWidth="1"/>
    <col min="1284" max="1284" width="17.26953125" style="19" customWidth="1"/>
    <col min="1285" max="1285" width="19.1796875" style="19" customWidth="1"/>
    <col min="1286" max="1537" width="9.1796875" style="19"/>
    <col min="1538" max="1538" width="6.453125" style="19" customWidth="1"/>
    <col min="1539" max="1539" width="41.81640625" style="19" customWidth="1"/>
    <col min="1540" max="1540" width="17.26953125" style="19" customWidth="1"/>
    <col min="1541" max="1541" width="19.1796875" style="19" customWidth="1"/>
    <col min="1542" max="1793" width="9.1796875" style="19"/>
    <col min="1794" max="1794" width="6.453125" style="19" customWidth="1"/>
    <col min="1795" max="1795" width="41.81640625" style="19" customWidth="1"/>
    <col min="1796" max="1796" width="17.26953125" style="19" customWidth="1"/>
    <col min="1797" max="1797" width="19.1796875" style="19" customWidth="1"/>
    <col min="1798" max="2049" width="9.1796875" style="19"/>
    <col min="2050" max="2050" width="6.453125" style="19" customWidth="1"/>
    <col min="2051" max="2051" width="41.81640625" style="19" customWidth="1"/>
    <col min="2052" max="2052" width="17.26953125" style="19" customWidth="1"/>
    <col min="2053" max="2053" width="19.1796875" style="19" customWidth="1"/>
    <col min="2054" max="2305" width="9.1796875" style="19"/>
    <col min="2306" max="2306" width="6.453125" style="19" customWidth="1"/>
    <col min="2307" max="2307" width="41.81640625" style="19" customWidth="1"/>
    <col min="2308" max="2308" width="17.26953125" style="19" customWidth="1"/>
    <col min="2309" max="2309" width="19.1796875" style="19" customWidth="1"/>
    <col min="2310" max="2561" width="9.1796875" style="19"/>
    <col min="2562" max="2562" width="6.453125" style="19" customWidth="1"/>
    <col min="2563" max="2563" width="41.81640625" style="19" customWidth="1"/>
    <col min="2564" max="2564" width="17.26953125" style="19" customWidth="1"/>
    <col min="2565" max="2565" width="19.1796875" style="19" customWidth="1"/>
    <col min="2566" max="2817" width="9.1796875" style="19"/>
    <col min="2818" max="2818" width="6.453125" style="19" customWidth="1"/>
    <col min="2819" max="2819" width="41.81640625" style="19" customWidth="1"/>
    <col min="2820" max="2820" width="17.26953125" style="19" customWidth="1"/>
    <col min="2821" max="2821" width="19.1796875" style="19" customWidth="1"/>
    <col min="2822" max="3073" width="9.1796875" style="19"/>
    <col min="3074" max="3074" width="6.453125" style="19" customWidth="1"/>
    <col min="3075" max="3075" width="41.81640625" style="19" customWidth="1"/>
    <col min="3076" max="3076" width="17.26953125" style="19" customWidth="1"/>
    <col min="3077" max="3077" width="19.1796875" style="19" customWidth="1"/>
    <col min="3078" max="3329" width="9.1796875" style="19"/>
    <col min="3330" max="3330" width="6.453125" style="19" customWidth="1"/>
    <col min="3331" max="3331" width="41.81640625" style="19" customWidth="1"/>
    <col min="3332" max="3332" width="17.26953125" style="19" customWidth="1"/>
    <col min="3333" max="3333" width="19.1796875" style="19" customWidth="1"/>
    <col min="3334" max="3585" width="9.1796875" style="19"/>
    <col min="3586" max="3586" width="6.453125" style="19" customWidth="1"/>
    <col min="3587" max="3587" width="41.81640625" style="19" customWidth="1"/>
    <col min="3588" max="3588" width="17.26953125" style="19" customWidth="1"/>
    <col min="3589" max="3589" width="19.1796875" style="19" customWidth="1"/>
    <col min="3590" max="3841" width="9.1796875" style="19"/>
    <col min="3842" max="3842" width="6.453125" style="19" customWidth="1"/>
    <col min="3843" max="3843" width="41.81640625" style="19" customWidth="1"/>
    <col min="3844" max="3844" width="17.26953125" style="19" customWidth="1"/>
    <col min="3845" max="3845" width="19.1796875" style="19" customWidth="1"/>
    <col min="3846" max="4097" width="9.1796875" style="19"/>
    <col min="4098" max="4098" width="6.453125" style="19" customWidth="1"/>
    <col min="4099" max="4099" width="41.81640625" style="19" customWidth="1"/>
    <col min="4100" max="4100" width="17.26953125" style="19" customWidth="1"/>
    <col min="4101" max="4101" width="19.1796875" style="19" customWidth="1"/>
    <col min="4102" max="4353" width="9.1796875" style="19"/>
    <col min="4354" max="4354" width="6.453125" style="19" customWidth="1"/>
    <col min="4355" max="4355" width="41.81640625" style="19" customWidth="1"/>
    <col min="4356" max="4356" width="17.26953125" style="19" customWidth="1"/>
    <col min="4357" max="4357" width="19.1796875" style="19" customWidth="1"/>
    <col min="4358" max="4609" width="9.1796875" style="19"/>
    <col min="4610" max="4610" width="6.453125" style="19" customWidth="1"/>
    <col min="4611" max="4611" width="41.81640625" style="19" customWidth="1"/>
    <col min="4612" max="4612" width="17.26953125" style="19" customWidth="1"/>
    <col min="4613" max="4613" width="19.1796875" style="19" customWidth="1"/>
    <col min="4614" max="4865" width="9.1796875" style="19"/>
    <col min="4866" max="4866" width="6.453125" style="19" customWidth="1"/>
    <col min="4867" max="4867" width="41.81640625" style="19" customWidth="1"/>
    <col min="4868" max="4868" width="17.26953125" style="19" customWidth="1"/>
    <col min="4869" max="4869" width="19.1796875" style="19" customWidth="1"/>
    <col min="4870" max="5121" width="9.1796875" style="19"/>
    <col min="5122" max="5122" width="6.453125" style="19" customWidth="1"/>
    <col min="5123" max="5123" width="41.81640625" style="19" customWidth="1"/>
    <col min="5124" max="5124" width="17.26953125" style="19" customWidth="1"/>
    <col min="5125" max="5125" width="19.1796875" style="19" customWidth="1"/>
    <col min="5126" max="5377" width="9.1796875" style="19"/>
    <col min="5378" max="5378" width="6.453125" style="19" customWidth="1"/>
    <col min="5379" max="5379" width="41.81640625" style="19" customWidth="1"/>
    <col min="5380" max="5380" width="17.26953125" style="19" customWidth="1"/>
    <col min="5381" max="5381" width="19.1796875" style="19" customWidth="1"/>
    <col min="5382" max="5633" width="9.1796875" style="19"/>
    <col min="5634" max="5634" width="6.453125" style="19" customWidth="1"/>
    <col min="5635" max="5635" width="41.81640625" style="19" customWidth="1"/>
    <col min="5636" max="5636" width="17.26953125" style="19" customWidth="1"/>
    <col min="5637" max="5637" width="19.1796875" style="19" customWidth="1"/>
    <col min="5638" max="5889" width="9.1796875" style="19"/>
    <col min="5890" max="5890" width="6.453125" style="19" customWidth="1"/>
    <col min="5891" max="5891" width="41.81640625" style="19" customWidth="1"/>
    <col min="5892" max="5892" width="17.26953125" style="19" customWidth="1"/>
    <col min="5893" max="5893" width="19.1796875" style="19" customWidth="1"/>
    <col min="5894" max="6145" width="9.1796875" style="19"/>
    <col min="6146" max="6146" width="6.453125" style="19" customWidth="1"/>
    <col min="6147" max="6147" width="41.81640625" style="19" customWidth="1"/>
    <col min="6148" max="6148" width="17.26953125" style="19" customWidth="1"/>
    <col min="6149" max="6149" width="19.1796875" style="19" customWidth="1"/>
    <col min="6150" max="6401" width="9.1796875" style="19"/>
    <col min="6402" max="6402" width="6.453125" style="19" customWidth="1"/>
    <col min="6403" max="6403" width="41.81640625" style="19" customWidth="1"/>
    <col min="6404" max="6404" width="17.26953125" style="19" customWidth="1"/>
    <col min="6405" max="6405" width="19.1796875" style="19" customWidth="1"/>
    <col min="6406" max="6657" width="9.1796875" style="19"/>
    <col min="6658" max="6658" width="6.453125" style="19" customWidth="1"/>
    <col min="6659" max="6659" width="41.81640625" style="19" customWidth="1"/>
    <col min="6660" max="6660" width="17.26953125" style="19" customWidth="1"/>
    <col min="6661" max="6661" width="19.1796875" style="19" customWidth="1"/>
    <col min="6662" max="6913" width="9.1796875" style="19"/>
    <col min="6914" max="6914" width="6.453125" style="19" customWidth="1"/>
    <col min="6915" max="6915" width="41.81640625" style="19" customWidth="1"/>
    <col min="6916" max="6916" width="17.26953125" style="19" customWidth="1"/>
    <col min="6917" max="6917" width="19.1796875" style="19" customWidth="1"/>
    <col min="6918" max="7169" width="9.1796875" style="19"/>
    <col min="7170" max="7170" width="6.453125" style="19" customWidth="1"/>
    <col min="7171" max="7171" width="41.81640625" style="19" customWidth="1"/>
    <col min="7172" max="7172" width="17.26953125" style="19" customWidth="1"/>
    <col min="7173" max="7173" width="19.1796875" style="19" customWidth="1"/>
    <col min="7174" max="7425" width="9.1796875" style="19"/>
    <col min="7426" max="7426" width="6.453125" style="19" customWidth="1"/>
    <col min="7427" max="7427" width="41.81640625" style="19" customWidth="1"/>
    <col min="7428" max="7428" width="17.26953125" style="19" customWidth="1"/>
    <col min="7429" max="7429" width="19.1796875" style="19" customWidth="1"/>
    <col min="7430" max="7681" width="9.1796875" style="19"/>
    <col min="7682" max="7682" width="6.453125" style="19" customWidth="1"/>
    <col min="7683" max="7683" width="41.81640625" style="19" customWidth="1"/>
    <col min="7684" max="7684" width="17.26953125" style="19" customWidth="1"/>
    <col min="7685" max="7685" width="19.1796875" style="19" customWidth="1"/>
    <col min="7686" max="7937" width="9.1796875" style="19"/>
    <col min="7938" max="7938" width="6.453125" style="19" customWidth="1"/>
    <col min="7939" max="7939" width="41.81640625" style="19" customWidth="1"/>
    <col min="7940" max="7940" width="17.26953125" style="19" customWidth="1"/>
    <col min="7941" max="7941" width="19.1796875" style="19" customWidth="1"/>
    <col min="7942" max="8193" width="9.1796875" style="19"/>
    <col min="8194" max="8194" width="6.453125" style="19" customWidth="1"/>
    <col min="8195" max="8195" width="41.81640625" style="19" customWidth="1"/>
    <col min="8196" max="8196" width="17.26953125" style="19" customWidth="1"/>
    <col min="8197" max="8197" width="19.1796875" style="19" customWidth="1"/>
    <col min="8198" max="8449" width="9.1796875" style="19"/>
    <col min="8450" max="8450" width="6.453125" style="19" customWidth="1"/>
    <col min="8451" max="8451" width="41.81640625" style="19" customWidth="1"/>
    <col min="8452" max="8452" width="17.26953125" style="19" customWidth="1"/>
    <col min="8453" max="8453" width="19.1796875" style="19" customWidth="1"/>
    <col min="8454" max="8705" width="9.1796875" style="19"/>
    <col min="8706" max="8706" width="6.453125" style="19" customWidth="1"/>
    <col min="8707" max="8707" width="41.81640625" style="19" customWidth="1"/>
    <col min="8708" max="8708" width="17.26953125" style="19" customWidth="1"/>
    <col min="8709" max="8709" width="19.1796875" style="19" customWidth="1"/>
    <col min="8710" max="8961" width="9.1796875" style="19"/>
    <col min="8962" max="8962" width="6.453125" style="19" customWidth="1"/>
    <col min="8963" max="8963" width="41.81640625" style="19" customWidth="1"/>
    <col min="8964" max="8964" width="17.26953125" style="19" customWidth="1"/>
    <col min="8965" max="8965" width="19.1796875" style="19" customWidth="1"/>
    <col min="8966" max="9217" width="9.1796875" style="19"/>
    <col min="9218" max="9218" width="6.453125" style="19" customWidth="1"/>
    <col min="9219" max="9219" width="41.81640625" style="19" customWidth="1"/>
    <col min="9220" max="9220" width="17.26953125" style="19" customWidth="1"/>
    <col min="9221" max="9221" width="19.1796875" style="19" customWidth="1"/>
    <col min="9222" max="9473" width="9.1796875" style="19"/>
    <col min="9474" max="9474" width="6.453125" style="19" customWidth="1"/>
    <col min="9475" max="9475" width="41.81640625" style="19" customWidth="1"/>
    <col min="9476" max="9476" width="17.26953125" style="19" customWidth="1"/>
    <col min="9477" max="9477" width="19.1796875" style="19" customWidth="1"/>
    <col min="9478" max="9729" width="9.1796875" style="19"/>
    <col min="9730" max="9730" width="6.453125" style="19" customWidth="1"/>
    <col min="9731" max="9731" width="41.81640625" style="19" customWidth="1"/>
    <col min="9732" max="9732" width="17.26953125" style="19" customWidth="1"/>
    <col min="9733" max="9733" width="19.1796875" style="19" customWidth="1"/>
    <col min="9734" max="9985" width="9.1796875" style="19"/>
    <col min="9986" max="9986" width="6.453125" style="19" customWidth="1"/>
    <col min="9987" max="9987" width="41.81640625" style="19" customWidth="1"/>
    <col min="9988" max="9988" width="17.26953125" style="19" customWidth="1"/>
    <col min="9989" max="9989" width="19.1796875" style="19" customWidth="1"/>
    <col min="9990" max="10241" width="9.1796875" style="19"/>
    <col min="10242" max="10242" width="6.453125" style="19" customWidth="1"/>
    <col min="10243" max="10243" width="41.81640625" style="19" customWidth="1"/>
    <col min="10244" max="10244" width="17.26953125" style="19" customWidth="1"/>
    <col min="10245" max="10245" width="19.1796875" style="19" customWidth="1"/>
    <col min="10246" max="10497" width="9.1796875" style="19"/>
    <col min="10498" max="10498" width="6.453125" style="19" customWidth="1"/>
    <col min="10499" max="10499" width="41.81640625" style="19" customWidth="1"/>
    <col min="10500" max="10500" width="17.26953125" style="19" customWidth="1"/>
    <col min="10501" max="10501" width="19.1796875" style="19" customWidth="1"/>
    <col min="10502" max="10753" width="9.1796875" style="19"/>
    <col min="10754" max="10754" width="6.453125" style="19" customWidth="1"/>
    <col min="10755" max="10755" width="41.81640625" style="19" customWidth="1"/>
    <col min="10756" max="10756" width="17.26953125" style="19" customWidth="1"/>
    <col min="10757" max="10757" width="19.1796875" style="19" customWidth="1"/>
    <col min="10758" max="11009" width="9.1796875" style="19"/>
    <col min="11010" max="11010" width="6.453125" style="19" customWidth="1"/>
    <col min="11011" max="11011" width="41.81640625" style="19" customWidth="1"/>
    <col min="11012" max="11012" width="17.26953125" style="19" customWidth="1"/>
    <col min="11013" max="11013" width="19.1796875" style="19" customWidth="1"/>
    <col min="11014" max="11265" width="9.1796875" style="19"/>
    <col min="11266" max="11266" width="6.453125" style="19" customWidth="1"/>
    <col min="11267" max="11267" width="41.81640625" style="19" customWidth="1"/>
    <col min="11268" max="11268" width="17.26953125" style="19" customWidth="1"/>
    <col min="11269" max="11269" width="19.1796875" style="19" customWidth="1"/>
    <col min="11270" max="11521" width="9.1796875" style="19"/>
    <col min="11522" max="11522" width="6.453125" style="19" customWidth="1"/>
    <col min="11523" max="11523" width="41.81640625" style="19" customWidth="1"/>
    <col min="11524" max="11524" width="17.26953125" style="19" customWidth="1"/>
    <col min="11525" max="11525" width="19.1796875" style="19" customWidth="1"/>
    <col min="11526" max="11777" width="9.1796875" style="19"/>
    <col min="11778" max="11778" width="6.453125" style="19" customWidth="1"/>
    <col min="11779" max="11779" width="41.81640625" style="19" customWidth="1"/>
    <col min="11780" max="11780" width="17.26953125" style="19" customWidth="1"/>
    <col min="11781" max="11781" width="19.1796875" style="19" customWidth="1"/>
    <col min="11782" max="12033" width="9.1796875" style="19"/>
    <col min="12034" max="12034" width="6.453125" style="19" customWidth="1"/>
    <col min="12035" max="12035" width="41.81640625" style="19" customWidth="1"/>
    <col min="12036" max="12036" width="17.26953125" style="19" customWidth="1"/>
    <col min="12037" max="12037" width="19.1796875" style="19" customWidth="1"/>
    <col min="12038" max="12289" width="9.1796875" style="19"/>
    <col min="12290" max="12290" width="6.453125" style="19" customWidth="1"/>
    <col min="12291" max="12291" width="41.81640625" style="19" customWidth="1"/>
    <col min="12292" max="12292" width="17.26953125" style="19" customWidth="1"/>
    <col min="12293" max="12293" width="19.1796875" style="19" customWidth="1"/>
    <col min="12294" max="12545" width="9.1796875" style="19"/>
    <col min="12546" max="12546" width="6.453125" style="19" customWidth="1"/>
    <col min="12547" max="12547" width="41.81640625" style="19" customWidth="1"/>
    <col min="12548" max="12548" width="17.26953125" style="19" customWidth="1"/>
    <col min="12549" max="12549" width="19.1796875" style="19" customWidth="1"/>
    <col min="12550" max="12801" width="9.1796875" style="19"/>
    <col min="12802" max="12802" width="6.453125" style="19" customWidth="1"/>
    <col min="12803" max="12803" width="41.81640625" style="19" customWidth="1"/>
    <col min="12804" max="12804" width="17.26953125" style="19" customWidth="1"/>
    <col min="12805" max="12805" width="19.1796875" style="19" customWidth="1"/>
    <col min="12806" max="13057" width="9.1796875" style="19"/>
    <col min="13058" max="13058" width="6.453125" style="19" customWidth="1"/>
    <col min="13059" max="13059" width="41.81640625" style="19" customWidth="1"/>
    <col min="13060" max="13060" width="17.26953125" style="19" customWidth="1"/>
    <col min="13061" max="13061" width="19.1796875" style="19" customWidth="1"/>
    <col min="13062" max="13313" width="9.1796875" style="19"/>
    <col min="13314" max="13314" width="6.453125" style="19" customWidth="1"/>
    <col min="13315" max="13315" width="41.81640625" style="19" customWidth="1"/>
    <col min="13316" max="13316" width="17.26953125" style="19" customWidth="1"/>
    <col min="13317" max="13317" width="19.1796875" style="19" customWidth="1"/>
    <col min="13318" max="13569" width="9.1796875" style="19"/>
    <col min="13570" max="13570" width="6.453125" style="19" customWidth="1"/>
    <col min="13571" max="13571" width="41.81640625" style="19" customWidth="1"/>
    <col min="13572" max="13572" width="17.26953125" style="19" customWidth="1"/>
    <col min="13573" max="13573" width="19.1796875" style="19" customWidth="1"/>
    <col min="13574" max="13825" width="9.1796875" style="19"/>
    <col min="13826" max="13826" width="6.453125" style="19" customWidth="1"/>
    <col min="13827" max="13827" width="41.81640625" style="19" customWidth="1"/>
    <col min="13828" max="13828" width="17.26953125" style="19" customWidth="1"/>
    <col min="13829" max="13829" width="19.1796875" style="19" customWidth="1"/>
    <col min="13830" max="14081" width="9.1796875" style="19"/>
    <col min="14082" max="14082" width="6.453125" style="19" customWidth="1"/>
    <col min="14083" max="14083" width="41.81640625" style="19" customWidth="1"/>
    <col min="14084" max="14084" width="17.26953125" style="19" customWidth="1"/>
    <col min="14085" max="14085" width="19.1796875" style="19" customWidth="1"/>
    <col min="14086" max="14337" width="9.1796875" style="19"/>
    <col min="14338" max="14338" width="6.453125" style="19" customWidth="1"/>
    <col min="14339" max="14339" width="41.81640625" style="19" customWidth="1"/>
    <col min="14340" max="14340" width="17.26953125" style="19" customWidth="1"/>
    <col min="14341" max="14341" width="19.1796875" style="19" customWidth="1"/>
    <col min="14342" max="14593" width="9.1796875" style="19"/>
    <col min="14594" max="14594" width="6.453125" style="19" customWidth="1"/>
    <col min="14595" max="14595" width="41.81640625" style="19" customWidth="1"/>
    <col min="14596" max="14596" width="17.26953125" style="19" customWidth="1"/>
    <col min="14597" max="14597" width="19.1796875" style="19" customWidth="1"/>
    <col min="14598" max="14849" width="9.1796875" style="19"/>
    <col min="14850" max="14850" width="6.453125" style="19" customWidth="1"/>
    <col min="14851" max="14851" width="41.81640625" style="19" customWidth="1"/>
    <col min="14852" max="14852" width="17.26953125" style="19" customWidth="1"/>
    <col min="14853" max="14853" width="19.1796875" style="19" customWidth="1"/>
    <col min="14854" max="15105" width="9.1796875" style="19"/>
    <col min="15106" max="15106" width="6.453125" style="19" customWidth="1"/>
    <col min="15107" max="15107" width="41.81640625" style="19" customWidth="1"/>
    <col min="15108" max="15108" width="17.26953125" style="19" customWidth="1"/>
    <col min="15109" max="15109" width="19.1796875" style="19" customWidth="1"/>
    <col min="15110" max="15361" width="9.1796875" style="19"/>
    <col min="15362" max="15362" width="6.453125" style="19" customWidth="1"/>
    <col min="15363" max="15363" width="41.81640625" style="19" customWidth="1"/>
    <col min="15364" max="15364" width="17.26953125" style="19" customWidth="1"/>
    <col min="15365" max="15365" width="19.1796875" style="19" customWidth="1"/>
    <col min="15366" max="15617" width="9.1796875" style="19"/>
    <col min="15618" max="15618" width="6.453125" style="19" customWidth="1"/>
    <col min="15619" max="15619" width="41.81640625" style="19" customWidth="1"/>
    <col min="15620" max="15620" width="17.26953125" style="19" customWidth="1"/>
    <col min="15621" max="15621" width="19.1796875" style="19" customWidth="1"/>
    <col min="15622" max="15873" width="9.1796875" style="19"/>
    <col min="15874" max="15874" width="6.453125" style="19" customWidth="1"/>
    <col min="15875" max="15875" width="41.81640625" style="19" customWidth="1"/>
    <col min="15876" max="15876" width="17.26953125" style="19" customWidth="1"/>
    <col min="15877" max="15877" width="19.1796875" style="19" customWidth="1"/>
    <col min="15878" max="16129" width="9.1796875" style="19"/>
    <col min="16130" max="16130" width="6.453125" style="19" customWidth="1"/>
    <col min="16131" max="16131" width="41.81640625" style="19" customWidth="1"/>
    <col min="16132" max="16132" width="17.26953125" style="19" customWidth="1"/>
    <col min="16133" max="16133" width="19.1796875" style="19" customWidth="1"/>
    <col min="16134" max="16384" width="9.1796875" style="19"/>
  </cols>
  <sheetData>
    <row r="1" spans="1:10" ht="28.5" customHeight="1" x14ac:dyDescent="0.35">
      <c r="A1" s="461"/>
      <c r="B1" s="461"/>
      <c r="C1" s="461"/>
      <c r="D1" s="461"/>
      <c r="E1" s="45"/>
      <c r="F1" s="45"/>
    </row>
    <row r="2" spans="1:10" ht="28.5" customHeight="1" x14ac:dyDescent="0.35">
      <c r="A2" s="19"/>
      <c r="B2" s="19"/>
      <c r="C2" s="19"/>
      <c r="D2" s="19"/>
      <c r="E2" s="19"/>
      <c r="F2" s="19"/>
    </row>
    <row r="3" spans="1:10" ht="37.5" customHeight="1" x14ac:dyDescent="0.35">
      <c r="A3" s="19"/>
      <c r="B3" s="19"/>
      <c r="C3" s="19"/>
      <c r="D3" s="19"/>
      <c r="E3" s="19"/>
      <c r="F3" s="19"/>
    </row>
    <row r="4" spans="1:10" ht="43.5" customHeight="1" x14ac:dyDescent="0.35">
      <c r="A4" s="462" t="s">
        <v>682</v>
      </c>
      <c r="B4" s="462"/>
      <c r="C4" s="462"/>
      <c r="D4" s="462"/>
      <c r="E4" s="179"/>
      <c r="F4" s="179"/>
    </row>
    <row r="5" spans="1:10" ht="15.5" x14ac:dyDescent="0.35">
      <c r="A5" s="459" t="s">
        <v>8</v>
      </c>
      <c r="B5" s="459" t="s">
        <v>9</v>
      </c>
      <c r="C5" s="459" t="s">
        <v>788</v>
      </c>
      <c r="D5" s="459"/>
      <c r="E5" s="459" t="s">
        <v>790</v>
      </c>
      <c r="F5" s="459"/>
      <c r="G5" s="459" t="s">
        <v>796</v>
      </c>
    </row>
    <row r="6" spans="1:10" ht="15.5" x14ac:dyDescent="0.35">
      <c r="A6" s="459"/>
      <c r="B6" s="459"/>
      <c r="C6" s="180" t="s">
        <v>683</v>
      </c>
      <c r="D6" s="180" t="s">
        <v>694</v>
      </c>
      <c r="E6" s="180" t="s">
        <v>683</v>
      </c>
      <c r="F6" s="180" t="s">
        <v>694</v>
      </c>
      <c r="G6" s="459"/>
    </row>
    <row r="7" spans="1:10" ht="15.5" x14ac:dyDescent="0.35">
      <c r="A7" s="93" t="s">
        <v>684</v>
      </c>
      <c r="B7" s="460" t="s">
        <v>685</v>
      </c>
      <c r="C7" s="460"/>
      <c r="D7" s="460"/>
      <c r="E7" s="460"/>
      <c r="F7" s="460"/>
      <c r="G7" s="460"/>
    </row>
    <row r="8" spans="1:10" ht="15.5" x14ac:dyDescent="0.35">
      <c r="A8" s="94" t="s">
        <v>686</v>
      </c>
      <c r="B8" s="95" t="s">
        <v>687</v>
      </c>
      <c r="C8" s="204">
        <f>D8/20</f>
        <v>12315.720972134257</v>
      </c>
      <c r="D8" s="204">
        <f>'Anexo BI - Custo MOB'!F7</f>
        <v>246314.41944268515</v>
      </c>
      <c r="E8" s="204">
        <v>18812.39</v>
      </c>
      <c r="F8" s="204">
        <v>376247.81</v>
      </c>
      <c r="G8" s="205">
        <f>1-(D8/F8)</f>
        <v>0.34533992518737811</v>
      </c>
      <c r="I8" s="49"/>
      <c r="J8" s="49"/>
    </row>
    <row r="9" spans="1:10" ht="15.5" x14ac:dyDescent="0.35">
      <c r="A9" s="94" t="s">
        <v>688</v>
      </c>
      <c r="B9" s="95" t="s">
        <v>689</v>
      </c>
      <c r="C9" s="204">
        <f>D9/20</f>
        <v>3324.7869524579919</v>
      </c>
      <c r="D9" s="204">
        <f>'Anexo BV - Materiais reposição'!G280</f>
        <v>66495.739049159834</v>
      </c>
      <c r="E9" s="204" t="e">
        <f>#REF!</f>
        <v>#REF!</v>
      </c>
      <c r="F9" s="204" t="e">
        <f>E9*20</f>
        <v>#REF!</v>
      </c>
      <c r="G9" s="205" t="e">
        <f>1-(D9/F9)</f>
        <v>#REF!</v>
      </c>
      <c r="I9" s="49"/>
      <c r="J9" s="49"/>
    </row>
    <row r="10" spans="1:10" ht="15.5" x14ac:dyDescent="0.35">
      <c r="A10" s="93" t="s">
        <v>690</v>
      </c>
      <c r="B10" s="460" t="s">
        <v>691</v>
      </c>
      <c r="C10" s="460"/>
      <c r="D10" s="460"/>
      <c r="E10" s="460"/>
      <c r="F10" s="460"/>
      <c r="G10" s="460"/>
    </row>
    <row r="11" spans="1:10" ht="15.5" x14ac:dyDescent="0.35">
      <c r="A11" s="94" t="s">
        <v>692</v>
      </c>
      <c r="B11" s="95" t="s">
        <v>693</v>
      </c>
      <c r="C11" s="206">
        <f>'Anexo BVI - Serviços Eventuais'!E43</f>
        <v>3357.2149577250088</v>
      </c>
      <c r="D11" s="206">
        <f>C11*20</f>
        <v>67144.299154500171</v>
      </c>
      <c r="E11" s="206" t="e">
        <f>'Anexo BVI - Serviços Eventuais'!G43</f>
        <v>#REF!</v>
      </c>
      <c r="F11" s="206" t="e">
        <f>E11*20</f>
        <v>#REF!</v>
      </c>
      <c r="G11" s="205" t="e">
        <f>1-(D11/F11)</f>
        <v>#REF!</v>
      </c>
    </row>
    <row r="12" spans="1:10" ht="19.5" customHeight="1" x14ac:dyDescent="0.45">
      <c r="A12" s="463" t="s">
        <v>694</v>
      </c>
      <c r="B12" s="463"/>
      <c r="C12" s="207">
        <f>SUM(C11,C9,C8)</f>
        <v>18997.722882317255</v>
      </c>
      <c r="D12" s="207">
        <f>SUM(D8,D9,D11)</f>
        <v>379954.4576463452</v>
      </c>
      <c r="E12" s="207" t="e">
        <f>SUM(E11,E9,E8)</f>
        <v>#REF!</v>
      </c>
      <c r="F12" s="207" t="e">
        <f>SUM(F8:F9,F11)</f>
        <v>#REF!</v>
      </c>
      <c r="G12" s="208" t="e">
        <f>1-(D12/F12)</f>
        <v>#REF!</v>
      </c>
      <c r="H12" s="19" t="s">
        <v>164</v>
      </c>
    </row>
    <row r="13" spans="1:10" ht="28.5" customHeight="1" x14ac:dyDescent="0.35">
      <c r="C13" s="209"/>
    </row>
    <row r="14" spans="1:10" ht="19.5" customHeight="1" x14ac:dyDescent="0.35">
      <c r="A14" s="2"/>
      <c r="B14" s="67"/>
      <c r="C14" s="2"/>
      <c r="D14" s="74" t="s">
        <v>164</v>
      </c>
      <c r="E14" s="2" t="s">
        <v>164</v>
      </c>
      <c r="F14" s="2"/>
      <c r="G14" s="1"/>
    </row>
    <row r="15" spans="1:10" ht="19.5" customHeight="1" x14ac:dyDescent="0.35">
      <c r="B15" s="18"/>
    </row>
    <row r="16" spans="1:10" ht="19.5" customHeight="1" x14ac:dyDescent="0.35">
      <c r="B16" s="18"/>
    </row>
    <row r="17" spans="2:2" ht="19.5" customHeight="1" x14ac:dyDescent="0.35">
      <c r="B17" s="46"/>
    </row>
    <row r="18" spans="2:2" ht="19.5" customHeight="1" x14ac:dyDescent="0.35">
      <c r="B18" s="46"/>
    </row>
    <row r="19" spans="2:2" ht="19.5" customHeight="1" x14ac:dyDescent="0.5">
      <c r="B19" s="47"/>
    </row>
    <row r="20" spans="2:2" ht="19.5" customHeight="1" x14ac:dyDescent="0.35">
      <c r="B20" s="48"/>
    </row>
  </sheetData>
  <mergeCells count="10">
    <mergeCell ref="A12:B12"/>
    <mergeCell ref="B5:B6"/>
    <mergeCell ref="A5:A6"/>
    <mergeCell ref="C5:D5"/>
    <mergeCell ref="G5:G6"/>
    <mergeCell ref="B7:G7"/>
    <mergeCell ref="B10:G10"/>
    <mergeCell ref="E5:F5"/>
    <mergeCell ref="A1:D1"/>
    <mergeCell ref="A4:D4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headerFooter>
    <oddHeader>&amp;C27</oddHeader>
    <oddFooter>&amp;C27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IV60"/>
  <sheetViews>
    <sheetView topLeftCell="A31" zoomScaleNormal="100" workbookViewId="0">
      <selection activeCell="J12" sqref="J12"/>
    </sheetView>
  </sheetViews>
  <sheetFormatPr defaultRowHeight="14.5" x14ac:dyDescent="0.35"/>
  <cols>
    <col min="1" max="1" width="4.7265625" style="19" customWidth="1"/>
    <col min="2" max="2" width="73.1796875" style="19" customWidth="1"/>
    <col min="3" max="3" width="5" style="404" customWidth="1"/>
    <col min="4" max="4" width="7.1796875" style="19" customWidth="1"/>
    <col min="5" max="5" width="6.81640625" style="19" customWidth="1"/>
    <col min="6" max="6" width="8.7265625" style="19" customWidth="1"/>
    <col min="7" max="7" width="15.453125" style="19" hidden="1" customWidth="1"/>
    <col min="8" max="8" width="18.26953125" style="19" hidden="1" customWidth="1"/>
    <col min="9" max="9" width="9" style="358" customWidth="1"/>
    <col min="10" max="10" width="29.7265625" style="20" customWidth="1"/>
    <col min="11" max="11" width="9.1796875" style="19" customWidth="1"/>
    <col min="12" max="256" width="9.1796875" style="19"/>
    <col min="257" max="257" width="4.7265625" style="19" customWidth="1"/>
    <col min="258" max="258" width="73.1796875" style="19" customWidth="1"/>
    <col min="259" max="259" width="5" style="19" customWidth="1"/>
    <col min="260" max="260" width="7.1796875" style="19" customWidth="1"/>
    <col min="261" max="261" width="6.81640625" style="19" customWidth="1"/>
    <col min="262" max="262" width="8.7265625" style="19" customWidth="1"/>
    <col min="263" max="263" width="9" style="19" customWidth="1"/>
    <col min="264" max="264" width="24.26953125" style="19" customWidth="1"/>
    <col min="265" max="266" width="9.1796875" style="19"/>
    <col min="267" max="267" width="9.81640625" style="19" bestFit="1" customWidth="1"/>
    <col min="268" max="268" width="11" style="19" bestFit="1" customWidth="1"/>
    <col min="269" max="512" width="9.1796875" style="19"/>
    <col min="513" max="513" width="4.7265625" style="19" customWidth="1"/>
    <col min="514" max="514" width="73.1796875" style="19" customWidth="1"/>
    <col min="515" max="515" width="5" style="19" customWidth="1"/>
    <col min="516" max="516" width="7.1796875" style="19" customWidth="1"/>
    <col min="517" max="517" width="6.81640625" style="19" customWidth="1"/>
    <col min="518" max="518" width="8.7265625" style="19" customWidth="1"/>
    <col min="519" max="519" width="9" style="19" customWidth="1"/>
    <col min="520" max="520" width="24.26953125" style="19" customWidth="1"/>
    <col min="521" max="522" width="9.1796875" style="19"/>
    <col min="523" max="523" width="9.81640625" style="19" bestFit="1" customWidth="1"/>
    <col min="524" max="524" width="11" style="19" bestFit="1" customWidth="1"/>
    <col min="525" max="768" width="9.1796875" style="19"/>
    <col min="769" max="769" width="4.7265625" style="19" customWidth="1"/>
    <col min="770" max="770" width="73.1796875" style="19" customWidth="1"/>
    <col min="771" max="771" width="5" style="19" customWidth="1"/>
    <col min="772" max="772" width="7.1796875" style="19" customWidth="1"/>
    <col min="773" max="773" width="6.81640625" style="19" customWidth="1"/>
    <col min="774" max="774" width="8.7265625" style="19" customWidth="1"/>
    <col min="775" max="775" width="9" style="19" customWidth="1"/>
    <col min="776" max="776" width="24.26953125" style="19" customWidth="1"/>
    <col min="777" max="778" width="9.1796875" style="19"/>
    <col min="779" max="779" width="9.81640625" style="19" bestFit="1" customWidth="1"/>
    <col min="780" max="780" width="11" style="19" bestFit="1" customWidth="1"/>
    <col min="781" max="1024" width="9.1796875" style="19"/>
    <col min="1025" max="1025" width="4.7265625" style="19" customWidth="1"/>
    <col min="1026" max="1026" width="73.1796875" style="19" customWidth="1"/>
    <col min="1027" max="1027" width="5" style="19" customWidth="1"/>
    <col min="1028" max="1028" width="7.1796875" style="19" customWidth="1"/>
    <col min="1029" max="1029" width="6.81640625" style="19" customWidth="1"/>
    <col min="1030" max="1030" width="8.7265625" style="19" customWidth="1"/>
    <col min="1031" max="1031" width="9" style="19" customWidth="1"/>
    <col min="1032" max="1032" width="24.26953125" style="19" customWidth="1"/>
    <col min="1033" max="1034" width="9.1796875" style="19"/>
    <col min="1035" max="1035" width="9.81640625" style="19" bestFit="1" customWidth="1"/>
    <col min="1036" max="1036" width="11" style="19" bestFit="1" customWidth="1"/>
    <col min="1037" max="1280" width="9.1796875" style="19"/>
    <col min="1281" max="1281" width="4.7265625" style="19" customWidth="1"/>
    <col min="1282" max="1282" width="73.1796875" style="19" customWidth="1"/>
    <col min="1283" max="1283" width="5" style="19" customWidth="1"/>
    <col min="1284" max="1284" width="7.1796875" style="19" customWidth="1"/>
    <col min="1285" max="1285" width="6.81640625" style="19" customWidth="1"/>
    <col min="1286" max="1286" width="8.7265625" style="19" customWidth="1"/>
    <col min="1287" max="1287" width="9" style="19" customWidth="1"/>
    <col min="1288" max="1288" width="24.26953125" style="19" customWidth="1"/>
    <col min="1289" max="1290" width="9.1796875" style="19"/>
    <col min="1291" max="1291" width="9.81640625" style="19" bestFit="1" customWidth="1"/>
    <col min="1292" max="1292" width="11" style="19" bestFit="1" customWidth="1"/>
    <col min="1293" max="1536" width="9.1796875" style="19"/>
    <col min="1537" max="1537" width="4.7265625" style="19" customWidth="1"/>
    <col min="1538" max="1538" width="73.1796875" style="19" customWidth="1"/>
    <col min="1539" max="1539" width="5" style="19" customWidth="1"/>
    <col min="1540" max="1540" width="7.1796875" style="19" customWidth="1"/>
    <col min="1541" max="1541" width="6.81640625" style="19" customWidth="1"/>
    <col min="1542" max="1542" width="8.7265625" style="19" customWidth="1"/>
    <col min="1543" max="1543" width="9" style="19" customWidth="1"/>
    <col min="1544" max="1544" width="24.26953125" style="19" customWidth="1"/>
    <col min="1545" max="1546" width="9.1796875" style="19"/>
    <col min="1547" max="1547" width="9.81640625" style="19" bestFit="1" customWidth="1"/>
    <col min="1548" max="1548" width="11" style="19" bestFit="1" customWidth="1"/>
    <col min="1549" max="1792" width="9.1796875" style="19"/>
    <col min="1793" max="1793" width="4.7265625" style="19" customWidth="1"/>
    <col min="1794" max="1794" width="73.1796875" style="19" customWidth="1"/>
    <col min="1795" max="1795" width="5" style="19" customWidth="1"/>
    <col min="1796" max="1796" width="7.1796875" style="19" customWidth="1"/>
    <col min="1797" max="1797" width="6.81640625" style="19" customWidth="1"/>
    <col min="1798" max="1798" width="8.7265625" style="19" customWidth="1"/>
    <col min="1799" max="1799" width="9" style="19" customWidth="1"/>
    <col min="1800" max="1800" width="24.26953125" style="19" customWidth="1"/>
    <col min="1801" max="1802" width="9.1796875" style="19"/>
    <col min="1803" max="1803" width="9.81640625" style="19" bestFit="1" customWidth="1"/>
    <col min="1804" max="1804" width="11" style="19" bestFit="1" customWidth="1"/>
    <col min="1805" max="2048" width="9.1796875" style="19"/>
    <col min="2049" max="2049" width="4.7265625" style="19" customWidth="1"/>
    <col min="2050" max="2050" width="73.1796875" style="19" customWidth="1"/>
    <col min="2051" max="2051" width="5" style="19" customWidth="1"/>
    <col min="2052" max="2052" width="7.1796875" style="19" customWidth="1"/>
    <col min="2053" max="2053" width="6.81640625" style="19" customWidth="1"/>
    <col min="2054" max="2054" width="8.7265625" style="19" customWidth="1"/>
    <col min="2055" max="2055" width="9" style="19" customWidth="1"/>
    <col min="2056" max="2056" width="24.26953125" style="19" customWidth="1"/>
    <col min="2057" max="2058" width="9.1796875" style="19"/>
    <col min="2059" max="2059" width="9.81640625" style="19" bestFit="1" customWidth="1"/>
    <col min="2060" max="2060" width="11" style="19" bestFit="1" customWidth="1"/>
    <col min="2061" max="2304" width="9.1796875" style="19"/>
    <col min="2305" max="2305" width="4.7265625" style="19" customWidth="1"/>
    <col min="2306" max="2306" width="73.1796875" style="19" customWidth="1"/>
    <col min="2307" max="2307" width="5" style="19" customWidth="1"/>
    <col min="2308" max="2308" width="7.1796875" style="19" customWidth="1"/>
    <col min="2309" max="2309" width="6.81640625" style="19" customWidth="1"/>
    <col min="2310" max="2310" width="8.7265625" style="19" customWidth="1"/>
    <col min="2311" max="2311" width="9" style="19" customWidth="1"/>
    <col min="2312" max="2312" width="24.26953125" style="19" customWidth="1"/>
    <col min="2313" max="2314" width="9.1796875" style="19"/>
    <col min="2315" max="2315" width="9.81640625" style="19" bestFit="1" customWidth="1"/>
    <col min="2316" max="2316" width="11" style="19" bestFit="1" customWidth="1"/>
    <col min="2317" max="2560" width="9.1796875" style="19"/>
    <col min="2561" max="2561" width="4.7265625" style="19" customWidth="1"/>
    <col min="2562" max="2562" width="73.1796875" style="19" customWidth="1"/>
    <col min="2563" max="2563" width="5" style="19" customWidth="1"/>
    <col min="2564" max="2564" width="7.1796875" style="19" customWidth="1"/>
    <col min="2565" max="2565" width="6.81640625" style="19" customWidth="1"/>
    <col min="2566" max="2566" width="8.7265625" style="19" customWidth="1"/>
    <col min="2567" max="2567" width="9" style="19" customWidth="1"/>
    <col min="2568" max="2568" width="24.26953125" style="19" customWidth="1"/>
    <col min="2569" max="2570" width="9.1796875" style="19"/>
    <col min="2571" max="2571" width="9.81640625" style="19" bestFit="1" customWidth="1"/>
    <col min="2572" max="2572" width="11" style="19" bestFit="1" customWidth="1"/>
    <col min="2573" max="2816" width="9.1796875" style="19"/>
    <col min="2817" max="2817" width="4.7265625" style="19" customWidth="1"/>
    <col min="2818" max="2818" width="73.1796875" style="19" customWidth="1"/>
    <col min="2819" max="2819" width="5" style="19" customWidth="1"/>
    <col min="2820" max="2820" width="7.1796875" style="19" customWidth="1"/>
    <col min="2821" max="2821" width="6.81640625" style="19" customWidth="1"/>
    <col min="2822" max="2822" width="8.7265625" style="19" customWidth="1"/>
    <col min="2823" max="2823" width="9" style="19" customWidth="1"/>
    <col min="2824" max="2824" width="24.26953125" style="19" customWidth="1"/>
    <col min="2825" max="2826" width="9.1796875" style="19"/>
    <col min="2827" max="2827" width="9.81640625" style="19" bestFit="1" customWidth="1"/>
    <col min="2828" max="2828" width="11" style="19" bestFit="1" customWidth="1"/>
    <col min="2829" max="3072" width="9.1796875" style="19"/>
    <col min="3073" max="3073" width="4.7265625" style="19" customWidth="1"/>
    <col min="3074" max="3074" width="73.1796875" style="19" customWidth="1"/>
    <col min="3075" max="3075" width="5" style="19" customWidth="1"/>
    <col min="3076" max="3076" width="7.1796875" style="19" customWidth="1"/>
    <col min="3077" max="3077" width="6.81640625" style="19" customWidth="1"/>
    <col min="3078" max="3078" width="8.7265625" style="19" customWidth="1"/>
    <col min="3079" max="3079" width="9" style="19" customWidth="1"/>
    <col min="3080" max="3080" width="24.26953125" style="19" customWidth="1"/>
    <col min="3081" max="3082" width="9.1796875" style="19"/>
    <col min="3083" max="3083" width="9.81640625" style="19" bestFit="1" customWidth="1"/>
    <col min="3084" max="3084" width="11" style="19" bestFit="1" customWidth="1"/>
    <col min="3085" max="3328" width="9.1796875" style="19"/>
    <col min="3329" max="3329" width="4.7265625" style="19" customWidth="1"/>
    <col min="3330" max="3330" width="73.1796875" style="19" customWidth="1"/>
    <col min="3331" max="3331" width="5" style="19" customWidth="1"/>
    <col min="3332" max="3332" width="7.1796875" style="19" customWidth="1"/>
    <col min="3333" max="3333" width="6.81640625" style="19" customWidth="1"/>
    <col min="3334" max="3334" width="8.7265625" style="19" customWidth="1"/>
    <col min="3335" max="3335" width="9" style="19" customWidth="1"/>
    <col min="3336" max="3336" width="24.26953125" style="19" customWidth="1"/>
    <col min="3337" max="3338" width="9.1796875" style="19"/>
    <col min="3339" max="3339" width="9.81640625" style="19" bestFit="1" customWidth="1"/>
    <col min="3340" max="3340" width="11" style="19" bestFit="1" customWidth="1"/>
    <col min="3341" max="3584" width="9.1796875" style="19"/>
    <col min="3585" max="3585" width="4.7265625" style="19" customWidth="1"/>
    <col min="3586" max="3586" width="73.1796875" style="19" customWidth="1"/>
    <col min="3587" max="3587" width="5" style="19" customWidth="1"/>
    <col min="3588" max="3588" width="7.1796875" style="19" customWidth="1"/>
    <col min="3589" max="3589" width="6.81640625" style="19" customWidth="1"/>
    <col min="3590" max="3590" width="8.7265625" style="19" customWidth="1"/>
    <col min="3591" max="3591" width="9" style="19" customWidth="1"/>
    <col min="3592" max="3592" width="24.26953125" style="19" customWidth="1"/>
    <col min="3593" max="3594" width="9.1796875" style="19"/>
    <col min="3595" max="3595" width="9.81640625" style="19" bestFit="1" customWidth="1"/>
    <col min="3596" max="3596" width="11" style="19" bestFit="1" customWidth="1"/>
    <col min="3597" max="3840" width="9.1796875" style="19"/>
    <col min="3841" max="3841" width="4.7265625" style="19" customWidth="1"/>
    <col min="3842" max="3842" width="73.1796875" style="19" customWidth="1"/>
    <col min="3843" max="3843" width="5" style="19" customWidth="1"/>
    <col min="3844" max="3844" width="7.1796875" style="19" customWidth="1"/>
    <col min="3845" max="3845" width="6.81640625" style="19" customWidth="1"/>
    <col min="3846" max="3846" width="8.7265625" style="19" customWidth="1"/>
    <col min="3847" max="3847" width="9" style="19" customWidth="1"/>
    <col min="3848" max="3848" width="24.26953125" style="19" customWidth="1"/>
    <col min="3849" max="3850" width="9.1796875" style="19"/>
    <col min="3851" max="3851" width="9.81640625" style="19" bestFit="1" customWidth="1"/>
    <col min="3852" max="3852" width="11" style="19" bestFit="1" customWidth="1"/>
    <col min="3853" max="4096" width="9.1796875" style="19"/>
    <col min="4097" max="4097" width="4.7265625" style="19" customWidth="1"/>
    <col min="4098" max="4098" width="73.1796875" style="19" customWidth="1"/>
    <col min="4099" max="4099" width="5" style="19" customWidth="1"/>
    <col min="4100" max="4100" width="7.1796875" style="19" customWidth="1"/>
    <col min="4101" max="4101" width="6.81640625" style="19" customWidth="1"/>
    <col min="4102" max="4102" width="8.7265625" style="19" customWidth="1"/>
    <col min="4103" max="4103" width="9" style="19" customWidth="1"/>
    <col min="4104" max="4104" width="24.26953125" style="19" customWidth="1"/>
    <col min="4105" max="4106" width="9.1796875" style="19"/>
    <col min="4107" max="4107" width="9.81640625" style="19" bestFit="1" customWidth="1"/>
    <col min="4108" max="4108" width="11" style="19" bestFit="1" customWidth="1"/>
    <col min="4109" max="4352" width="9.1796875" style="19"/>
    <col min="4353" max="4353" width="4.7265625" style="19" customWidth="1"/>
    <col min="4354" max="4354" width="73.1796875" style="19" customWidth="1"/>
    <col min="4355" max="4355" width="5" style="19" customWidth="1"/>
    <col min="4356" max="4356" width="7.1796875" style="19" customWidth="1"/>
    <col min="4357" max="4357" width="6.81640625" style="19" customWidth="1"/>
    <col min="4358" max="4358" width="8.7265625" style="19" customWidth="1"/>
    <col min="4359" max="4359" width="9" style="19" customWidth="1"/>
    <col min="4360" max="4360" width="24.26953125" style="19" customWidth="1"/>
    <col min="4361" max="4362" width="9.1796875" style="19"/>
    <col min="4363" max="4363" width="9.81640625" style="19" bestFit="1" customWidth="1"/>
    <col min="4364" max="4364" width="11" style="19" bestFit="1" customWidth="1"/>
    <col min="4365" max="4608" width="9.1796875" style="19"/>
    <col min="4609" max="4609" width="4.7265625" style="19" customWidth="1"/>
    <col min="4610" max="4610" width="73.1796875" style="19" customWidth="1"/>
    <col min="4611" max="4611" width="5" style="19" customWidth="1"/>
    <col min="4612" max="4612" width="7.1796875" style="19" customWidth="1"/>
    <col min="4613" max="4613" width="6.81640625" style="19" customWidth="1"/>
    <col min="4614" max="4614" width="8.7265625" style="19" customWidth="1"/>
    <col min="4615" max="4615" width="9" style="19" customWidth="1"/>
    <col min="4616" max="4616" width="24.26953125" style="19" customWidth="1"/>
    <col min="4617" max="4618" width="9.1796875" style="19"/>
    <col min="4619" max="4619" width="9.81640625" style="19" bestFit="1" customWidth="1"/>
    <col min="4620" max="4620" width="11" style="19" bestFit="1" customWidth="1"/>
    <col min="4621" max="4864" width="9.1796875" style="19"/>
    <col min="4865" max="4865" width="4.7265625" style="19" customWidth="1"/>
    <col min="4866" max="4866" width="73.1796875" style="19" customWidth="1"/>
    <col min="4867" max="4867" width="5" style="19" customWidth="1"/>
    <col min="4868" max="4868" width="7.1796875" style="19" customWidth="1"/>
    <col min="4869" max="4869" width="6.81640625" style="19" customWidth="1"/>
    <col min="4870" max="4870" width="8.7265625" style="19" customWidth="1"/>
    <col min="4871" max="4871" width="9" style="19" customWidth="1"/>
    <col min="4872" max="4872" width="24.26953125" style="19" customWidth="1"/>
    <col min="4873" max="4874" width="9.1796875" style="19"/>
    <col min="4875" max="4875" width="9.81640625" style="19" bestFit="1" customWidth="1"/>
    <col min="4876" max="4876" width="11" style="19" bestFit="1" customWidth="1"/>
    <col min="4877" max="5120" width="9.1796875" style="19"/>
    <col min="5121" max="5121" width="4.7265625" style="19" customWidth="1"/>
    <col min="5122" max="5122" width="73.1796875" style="19" customWidth="1"/>
    <col min="5123" max="5123" width="5" style="19" customWidth="1"/>
    <col min="5124" max="5124" width="7.1796875" style="19" customWidth="1"/>
    <col min="5125" max="5125" width="6.81640625" style="19" customWidth="1"/>
    <col min="5126" max="5126" width="8.7265625" style="19" customWidth="1"/>
    <col min="5127" max="5127" width="9" style="19" customWidth="1"/>
    <col min="5128" max="5128" width="24.26953125" style="19" customWidth="1"/>
    <col min="5129" max="5130" width="9.1796875" style="19"/>
    <col min="5131" max="5131" width="9.81640625" style="19" bestFit="1" customWidth="1"/>
    <col min="5132" max="5132" width="11" style="19" bestFit="1" customWidth="1"/>
    <col min="5133" max="5376" width="9.1796875" style="19"/>
    <col min="5377" max="5377" width="4.7265625" style="19" customWidth="1"/>
    <col min="5378" max="5378" width="73.1796875" style="19" customWidth="1"/>
    <col min="5379" max="5379" width="5" style="19" customWidth="1"/>
    <col min="5380" max="5380" width="7.1796875" style="19" customWidth="1"/>
    <col min="5381" max="5381" width="6.81640625" style="19" customWidth="1"/>
    <col min="5382" max="5382" width="8.7265625" style="19" customWidth="1"/>
    <col min="5383" max="5383" width="9" style="19" customWidth="1"/>
    <col min="5384" max="5384" width="24.26953125" style="19" customWidth="1"/>
    <col min="5385" max="5386" width="9.1796875" style="19"/>
    <col min="5387" max="5387" width="9.81640625" style="19" bestFit="1" customWidth="1"/>
    <col min="5388" max="5388" width="11" style="19" bestFit="1" customWidth="1"/>
    <col min="5389" max="5632" width="9.1796875" style="19"/>
    <col min="5633" max="5633" width="4.7265625" style="19" customWidth="1"/>
    <col min="5634" max="5634" width="73.1796875" style="19" customWidth="1"/>
    <col min="5635" max="5635" width="5" style="19" customWidth="1"/>
    <col min="5636" max="5636" width="7.1796875" style="19" customWidth="1"/>
    <col min="5637" max="5637" width="6.81640625" style="19" customWidth="1"/>
    <col min="5638" max="5638" width="8.7265625" style="19" customWidth="1"/>
    <col min="5639" max="5639" width="9" style="19" customWidth="1"/>
    <col min="5640" max="5640" width="24.26953125" style="19" customWidth="1"/>
    <col min="5641" max="5642" width="9.1796875" style="19"/>
    <col min="5643" max="5643" width="9.81640625" style="19" bestFit="1" customWidth="1"/>
    <col min="5644" max="5644" width="11" style="19" bestFit="1" customWidth="1"/>
    <col min="5645" max="5888" width="9.1796875" style="19"/>
    <col min="5889" max="5889" width="4.7265625" style="19" customWidth="1"/>
    <col min="5890" max="5890" width="73.1796875" style="19" customWidth="1"/>
    <col min="5891" max="5891" width="5" style="19" customWidth="1"/>
    <col min="5892" max="5892" width="7.1796875" style="19" customWidth="1"/>
    <col min="5893" max="5893" width="6.81640625" style="19" customWidth="1"/>
    <col min="5894" max="5894" width="8.7265625" style="19" customWidth="1"/>
    <col min="5895" max="5895" width="9" style="19" customWidth="1"/>
    <col min="5896" max="5896" width="24.26953125" style="19" customWidth="1"/>
    <col min="5897" max="5898" width="9.1796875" style="19"/>
    <col min="5899" max="5899" width="9.81640625" style="19" bestFit="1" customWidth="1"/>
    <col min="5900" max="5900" width="11" style="19" bestFit="1" customWidth="1"/>
    <col min="5901" max="6144" width="9.1796875" style="19"/>
    <col min="6145" max="6145" width="4.7265625" style="19" customWidth="1"/>
    <col min="6146" max="6146" width="73.1796875" style="19" customWidth="1"/>
    <col min="6147" max="6147" width="5" style="19" customWidth="1"/>
    <col min="6148" max="6148" width="7.1796875" style="19" customWidth="1"/>
    <col min="6149" max="6149" width="6.81640625" style="19" customWidth="1"/>
    <col min="6150" max="6150" width="8.7265625" style="19" customWidth="1"/>
    <col min="6151" max="6151" width="9" style="19" customWidth="1"/>
    <col min="6152" max="6152" width="24.26953125" style="19" customWidth="1"/>
    <col min="6153" max="6154" width="9.1796875" style="19"/>
    <col min="6155" max="6155" width="9.81640625" style="19" bestFit="1" customWidth="1"/>
    <col min="6156" max="6156" width="11" style="19" bestFit="1" customWidth="1"/>
    <col min="6157" max="6400" width="9.1796875" style="19"/>
    <col min="6401" max="6401" width="4.7265625" style="19" customWidth="1"/>
    <col min="6402" max="6402" width="73.1796875" style="19" customWidth="1"/>
    <col min="6403" max="6403" width="5" style="19" customWidth="1"/>
    <col min="6404" max="6404" width="7.1796875" style="19" customWidth="1"/>
    <col min="6405" max="6405" width="6.81640625" style="19" customWidth="1"/>
    <col min="6406" max="6406" width="8.7265625" style="19" customWidth="1"/>
    <col min="6407" max="6407" width="9" style="19" customWidth="1"/>
    <col min="6408" max="6408" width="24.26953125" style="19" customWidth="1"/>
    <col min="6409" max="6410" width="9.1796875" style="19"/>
    <col min="6411" max="6411" width="9.81640625" style="19" bestFit="1" customWidth="1"/>
    <col min="6412" max="6412" width="11" style="19" bestFit="1" customWidth="1"/>
    <col min="6413" max="6656" width="9.1796875" style="19"/>
    <col min="6657" max="6657" width="4.7265625" style="19" customWidth="1"/>
    <col min="6658" max="6658" width="73.1796875" style="19" customWidth="1"/>
    <col min="6659" max="6659" width="5" style="19" customWidth="1"/>
    <col min="6660" max="6660" width="7.1796875" style="19" customWidth="1"/>
    <col min="6661" max="6661" width="6.81640625" style="19" customWidth="1"/>
    <col min="6662" max="6662" width="8.7265625" style="19" customWidth="1"/>
    <col min="6663" max="6663" width="9" style="19" customWidth="1"/>
    <col min="6664" max="6664" width="24.26953125" style="19" customWidth="1"/>
    <col min="6665" max="6666" width="9.1796875" style="19"/>
    <col min="6667" max="6667" width="9.81640625" style="19" bestFit="1" customWidth="1"/>
    <col min="6668" max="6668" width="11" style="19" bestFit="1" customWidth="1"/>
    <col min="6669" max="6912" width="9.1796875" style="19"/>
    <col min="6913" max="6913" width="4.7265625" style="19" customWidth="1"/>
    <col min="6914" max="6914" width="73.1796875" style="19" customWidth="1"/>
    <col min="6915" max="6915" width="5" style="19" customWidth="1"/>
    <col min="6916" max="6916" width="7.1796875" style="19" customWidth="1"/>
    <col min="6917" max="6917" width="6.81640625" style="19" customWidth="1"/>
    <col min="6918" max="6918" width="8.7265625" style="19" customWidth="1"/>
    <col min="6919" max="6919" width="9" style="19" customWidth="1"/>
    <col min="6920" max="6920" width="24.26953125" style="19" customWidth="1"/>
    <col min="6921" max="6922" width="9.1796875" style="19"/>
    <col min="6923" max="6923" width="9.81640625" style="19" bestFit="1" customWidth="1"/>
    <col min="6924" max="6924" width="11" style="19" bestFit="1" customWidth="1"/>
    <col min="6925" max="7168" width="9.1796875" style="19"/>
    <col min="7169" max="7169" width="4.7265625" style="19" customWidth="1"/>
    <col min="7170" max="7170" width="73.1796875" style="19" customWidth="1"/>
    <col min="7171" max="7171" width="5" style="19" customWidth="1"/>
    <col min="7172" max="7172" width="7.1796875" style="19" customWidth="1"/>
    <col min="7173" max="7173" width="6.81640625" style="19" customWidth="1"/>
    <col min="7174" max="7174" width="8.7265625" style="19" customWidth="1"/>
    <col min="7175" max="7175" width="9" style="19" customWidth="1"/>
    <col min="7176" max="7176" width="24.26953125" style="19" customWidth="1"/>
    <col min="7177" max="7178" width="9.1796875" style="19"/>
    <col min="7179" max="7179" width="9.81640625" style="19" bestFit="1" customWidth="1"/>
    <col min="7180" max="7180" width="11" style="19" bestFit="1" customWidth="1"/>
    <col min="7181" max="7424" width="9.1796875" style="19"/>
    <col min="7425" max="7425" width="4.7265625" style="19" customWidth="1"/>
    <col min="7426" max="7426" width="73.1796875" style="19" customWidth="1"/>
    <col min="7427" max="7427" width="5" style="19" customWidth="1"/>
    <col min="7428" max="7428" width="7.1796875" style="19" customWidth="1"/>
    <col min="7429" max="7429" width="6.81640625" style="19" customWidth="1"/>
    <col min="7430" max="7430" width="8.7265625" style="19" customWidth="1"/>
    <col min="7431" max="7431" width="9" style="19" customWidth="1"/>
    <col min="7432" max="7432" width="24.26953125" style="19" customWidth="1"/>
    <col min="7433" max="7434" width="9.1796875" style="19"/>
    <col min="7435" max="7435" width="9.81640625" style="19" bestFit="1" customWidth="1"/>
    <col min="7436" max="7436" width="11" style="19" bestFit="1" customWidth="1"/>
    <col min="7437" max="7680" width="9.1796875" style="19"/>
    <col min="7681" max="7681" width="4.7265625" style="19" customWidth="1"/>
    <col min="7682" max="7682" width="73.1796875" style="19" customWidth="1"/>
    <col min="7683" max="7683" width="5" style="19" customWidth="1"/>
    <col min="7684" max="7684" width="7.1796875" style="19" customWidth="1"/>
    <col min="7685" max="7685" width="6.81640625" style="19" customWidth="1"/>
    <col min="7686" max="7686" width="8.7265625" style="19" customWidth="1"/>
    <col min="7687" max="7687" width="9" style="19" customWidth="1"/>
    <col min="7688" max="7688" width="24.26953125" style="19" customWidth="1"/>
    <col min="7689" max="7690" width="9.1796875" style="19"/>
    <col min="7691" max="7691" width="9.81640625" style="19" bestFit="1" customWidth="1"/>
    <col min="7692" max="7692" width="11" style="19" bestFit="1" customWidth="1"/>
    <col min="7693" max="7936" width="9.1796875" style="19"/>
    <col min="7937" max="7937" width="4.7265625" style="19" customWidth="1"/>
    <col min="7938" max="7938" width="73.1796875" style="19" customWidth="1"/>
    <col min="7939" max="7939" width="5" style="19" customWidth="1"/>
    <col min="7940" max="7940" width="7.1796875" style="19" customWidth="1"/>
    <col min="7941" max="7941" width="6.81640625" style="19" customWidth="1"/>
    <col min="7942" max="7942" width="8.7265625" style="19" customWidth="1"/>
    <col min="7943" max="7943" width="9" style="19" customWidth="1"/>
    <col min="7944" max="7944" width="24.26953125" style="19" customWidth="1"/>
    <col min="7945" max="7946" width="9.1796875" style="19"/>
    <col min="7947" max="7947" width="9.81640625" style="19" bestFit="1" customWidth="1"/>
    <col min="7948" max="7948" width="11" style="19" bestFit="1" customWidth="1"/>
    <col min="7949" max="8192" width="9.1796875" style="19"/>
    <col min="8193" max="8193" width="4.7265625" style="19" customWidth="1"/>
    <col min="8194" max="8194" width="73.1796875" style="19" customWidth="1"/>
    <col min="8195" max="8195" width="5" style="19" customWidth="1"/>
    <col min="8196" max="8196" width="7.1796875" style="19" customWidth="1"/>
    <col min="8197" max="8197" width="6.81640625" style="19" customWidth="1"/>
    <col min="8198" max="8198" width="8.7265625" style="19" customWidth="1"/>
    <col min="8199" max="8199" width="9" style="19" customWidth="1"/>
    <col min="8200" max="8200" width="24.26953125" style="19" customWidth="1"/>
    <col min="8201" max="8202" width="9.1796875" style="19"/>
    <col min="8203" max="8203" width="9.81640625" style="19" bestFit="1" customWidth="1"/>
    <col min="8204" max="8204" width="11" style="19" bestFit="1" customWidth="1"/>
    <col min="8205" max="8448" width="9.1796875" style="19"/>
    <col min="8449" max="8449" width="4.7265625" style="19" customWidth="1"/>
    <col min="8450" max="8450" width="73.1796875" style="19" customWidth="1"/>
    <col min="8451" max="8451" width="5" style="19" customWidth="1"/>
    <col min="8452" max="8452" width="7.1796875" style="19" customWidth="1"/>
    <col min="8453" max="8453" width="6.81640625" style="19" customWidth="1"/>
    <col min="8454" max="8454" width="8.7265625" style="19" customWidth="1"/>
    <col min="8455" max="8455" width="9" style="19" customWidth="1"/>
    <col min="8456" max="8456" width="24.26953125" style="19" customWidth="1"/>
    <col min="8457" max="8458" width="9.1796875" style="19"/>
    <col min="8459" max="8459" width="9.81640625" style="19" bestFit="1" customWidth="1"/>
    <col min="8460" max="8460" width="11" style="19" bestFit="1" customWidth="1"/>
    <col min="8461" max="8704" width="9.1796875" style="19"/>
    <col min="8705" max="8705" width="4.7265625" style="19" customWidth="1"/>
    <col min="8706" max="8706" width="73.1796875" style="19" customWidth="1"/>
    <col min="8707" max="8707" width="5" style="19" customWidth="1"/>
    <col min="8708" max="8708" width="7.1796875" style="19" customWidth="1"/>
    <col min="8709" max="8709" width="6.81640625" style="19" customWidth="1"/>
    <col min="8710" max="8710" width="8.7265625" style="19" customWidth="1"/>
    <col min="8711" max="8711" width="9" style="19" customWidth="1"/>
    <col min="8712" max="8712" width="24.26953125" style="19" customWidth="1"/>
    <col min="8713" max="8714" width="9.1796875" style="19"/>
    <col min="8715" max="8715" width="9.81640625" style="19" bestFit="1" customWidth="1"/>
    <col min="8716" max="8716" width="11" style="19" bestFit="1" customWidth="1"/>
    <col min="8717" max="8960" width="9.1796875" style="19"/>
    <col min="8961" max="8961" width="4.7265625" style="19" customWidth="1"/>
    <col min="8962" max="8962" width="73.1796875" style="19" customWidth="1"/>
    <col min="8963" max="8963" width="5" style="19" customWidth="1"/>
    <col min="8964" max="8964" width="7.1796875" style="19" customWidth="1"/>
    <col min="8965" max="8965" width="6.81640625" style="19" customWidth="1"/>
    <col min="8966" max="8966" width="8.7265625" style="19" customWidth="1"/>
    <col min="8967" max="8967" width="9" style="19" customWidth="1"/>
    <col min="8968" max="8968" width="24.26953125" style="19" customWidth="1"/>
    <col min="8969" max="8970" width="9.1796875" style="19"/>
    <col min="8971" max="8971" width="9.81640625" style="19" bestFit="1" customWidth="1"/>
    <col min="8972" max="8972" width="11" style="19" bestFit="1" customWidth="1"/>
    <col min="8973" max="9216" width="9.1796875" style="19"/>
    <col min="9217" max="9217" width="4.7265625" style="19" customWidth="1"/>
    <col min="9218" max="9218" width="73.1796875" style="19" customWidth="1"/>
    <col min="9219" max="9219" width="5" style="19" customWidth="1"/>
    <col min="9220" max="9220" width="7.1796875" style="19" customWidth="1"/>
    <col min="9221" max="9221" width="6.81640625" style="19" customWidth="1"/>
    <col min="9222" max="9222" width="8.7265625" style="19" customWidth="1"/>
    <col min="9223" max="9223" width="9" style="19" customWidth="1"/>
    <col min="9224" max="9224" width="24.26953125" style="19" customWidth="1"/>
    <col min="9225" max="9226" width="9.1796875" style="19"/>
    <col min="9227" max="9227" width="9.81640625" style="19" bestFit="1" customWidth="1"/>
    <col min="9228" max="9228" width="11" style="19" bestFit="1" customWidth="1"/>
    <col min="9229" max="9472" width="9.1796875" style="19"/>
    <col min="9473" max="9473" width="4.7265625" style="19" customWidth="1"/>
    <col min="9474" max="9474" width="73.1796875" style="19" customWidth="1"/>
    <col min="9475" max="9475" width="5" style="19" customWidth="1"/>
    <col min="9476" max="9476" width="7.1796875" style="19" customWidth="1"/>
    <col min="9477" max="9477" width="6.81640625" style="19" customWidth="1"/>
    <col min="9478" max="9478" width="8.7265625" style="19" customWidth="1"/>
    <col min="9479" max="9479" width="9" style="19" customWidth="1"/>
    <col min="9480" max="9480" width="24.26953125" style="19" customWidth="1"/>
    <col min="9481" max="9482" width="9.1796875" style="19"/>
    <col min="9483" max="9483" width="9.81640625" style="19" bestFit="1" customWidth="1"/>
    <col min="9484" max="9484" width="11" style="19" bestFit="1" customWidth="1"/>
    <col min="9485" max="9728" width="9.1796875" style="19"/>
    <col min="9729" max="9729" width="4.7265625" style="19" customWidth="1"/>
    <col min="9730" max="9730" width="73.1796875" style="19" customWidth="1"/>
    <col min="9731" max="9731" width="5" style="19" customWidth="1"/>
    <col min="9732" max="9732" width="7.1796875" style="19" customWidth="1"/>
    <col min="9733" max="9733" width="6.81640625" style="19" customWidth="1"/>
    <col min="9734" max="9734" width="8.7265625" style="19" customWidth="1"/>
    <col min="9735" max="9735" width="9" style="19" customWidth="1"/>
    <col min="9736" max="9736" width="24.26953125" style="19" customWidth="1"/>
    <col min="9737" max="9738" width="9.1796875" style="19"/>
    <col min="9739" max="9739" width="9.81640625" style="19" bestFit="1" customWidth="1"/>
    <col min="9740" max="9740" width="11" style="19" bestFit="1" customWidth="1"/>
    <col min="9741" max="9984" width="9.1796875" style="19"/>
    <col min="9985" max="9985" width="4.7265625" style="19" customWidth="1"/>
    <col min="9986" max="9986" width="73.1796875" style="19" customWidth="1"/>
    <col min="9987" max="9987" width="5" style="19" customWidth="1"/>
    <col min="9988" max="9988" width="7.1796875" style="19" customWidth="1"/>
    <col min="9989" max="9989" width="6.81640625" style="19" customWidth="1"/>
    <col min="9990" max="9990" width="8.7265625" style="19" customWidth="1"/>
    <col min="9991" max="9991" width="9" style="19" customWidth="1"/>
    <col min="9992" max="9992" width="24.26953125" style="19" customWidth="1"/>
    <col min="9993" max="9994" width="9.1796875" style="19"/>
    <col min="9995" max="9995" width="9.81640625" style="19" bestFit="1" customWidth="1"/>
    <col min="9996" max="9996" width="11" style="19" bestFit="1" customWidth="1"/>
    <col min="9997" max="10240" width="9.1796875" style="19"/>
    <col min="10241" max="10241" width="4.7265625" style="19" customWidth="1"/>
    <col min="10242" max="10242" width="73.1796875" style="19" customWidth="1"/>
    <col min="10243" max="10243" width="5" style="19" customWidth="1"/>
    <col min="10244" max="10244" width="7.1796875" style="19" customWidth="1"/>
    <col min="10245" max="10245" width="6.81640625" style="19" customWidth="1"/>
    <col min="10246" max="10246" width="8.7265625" style="19" customWidth="1"/>
    <col min="10247" max="10247" width="9" style="19" customWidth="1"/>
    <col min="10248" max="10248" width="24.26953125" style="19" customWidth="1"/>
    <col min="10249" max="10250" width="9.1796875" style="19"/>
    <col min="10251" max="10251" width="9.81640625" style="19" bestFit="1" customWidth="1"/>
    <col min="10252" max="10252" width="11" style="19" bestFit="1" customWidth="1"/>
    <col min="10253" max="10496" width="9.1796875" style="19"/>
    <col min="10497" max="10497" width="4.7265625" style="19" customWidth="1"/>
    <col min="10498" max="10498" width="73.1796875" style="19" customWidth="1"/>
    <col min="10499" max="10499" width="5" style="19" customWidth="1"/>
    <col min="10500" max="10500" width="7.1796875" style="19" customWidth="1"/>
    <col min="10501" max="10501" width="6.81640625" style="19" customWidth="1"/>
    <col min="10502" max="10502" width="8.7265625" style="19" customWidth="1"/>
    <col min="10503" max="10503" width="9" style="19" customWidth="1"/>
    <col min="10504" max="10504" width="24.26953125" style="19" customWidth="1"/>
    <col min="10505" max="10506" width="9.1796875" style="19"/>
    <col min="10507" max="10507" width="9.81640625" style="19" bestFit="1" customWidth="1"/>
    <col min="10508" max="10508" width="11" style="19" bestFit="1" customWidth="1"/>
    <col min="10509" max="10752" width="9.1796875" style="19"/>
    <col min="10753" max="10753" width="4.7265625" style="19" customWidth="1"/>
    <col min="10754" max="10754" width="73.1796875" style="19" customWidth="1"/>
    <col min="10755" max="10755" width="5" style="19" customWidth="1"/>
    <col min="10756" max="10756" width="7.1796875" style="19" customWidth="1"/>
    <col min="10757" max="10757" width="6.81640625" style="19" customWidth="1"/>
    <col min="10758" max="10758" width="8.7265625" style="19" customWidth="1"/>
    <col min="10759" max="10759" width="9" style="19" customWidth="1"/>
    <col min="10760" max="10760" width="24.26953125" style="19" customWidth="1"/>
    <col min="10761" max="10762" width="9.1796875" style="19"/>
    <col min="10763" max="10763" width="9.81640625" style="19" bestFit="1" customWidth="1"/>
    <col min="10764" max="10764" width="11" style="19" bestFit="1" customWidth="1"/>
    <col min="10765" max="11008" width="9.1796875" style="19"/>
    <col min="11009" max="11009" width="4.7265625" style="19" customWidth="1"/>
    <col min="11010" max="11010" width="73.1796875" style="19" customWidth="1"/>
    <col min="11011" max="11011" width="5" style="19" customWidth="1"/>
    <col min="11012" max="11012" width="7.1796875" style="19" customWidth="1"/>
    <col min="11013" max="11013" width="6.81640625" style="19" customWidth="1"/>
    <col min="11014" max="11014" width="8.7265625" style="19" customWidth="1"/>
    <col min="11015" max="11015" width="9" style="19" customWidth="1"/>
    <col min="11016" max="11016" width="24.26953125" style="19" customWidth="1"/>
    <col min="11017" max="11018" width="9.1796875" style="19"/>
    <col min="11019" max="11019" width="9.81640625" style="19" bestFit="1" customWidth="1"/>
    <col min="11020" max="11020" width="11" style="19" bestFit="1" customWidth="1"/>
    <col min="11021" max="11264" width="9.1796875" style="19"/>
    <col min="11265" max="11265" width="4.7265625" style="19" customWidth="1"/>
    <col min="11266" max="11266" width="73.1796875" style="19" customWidth="1"/>
    <col min="11267" max="11267" width="5" style="19" customWidth="1"/>
    <col min="11268" max="11268" width="7.1796875" style="19" customWidth="1"/>
    <col min="11269" max="11269" width="6.81640625" style="19" customWidth="1"/>
    <col min="11270" max="11270" width="8.7265625" style="19" customWidth="1"/>
    <col min="11271" max="11271" width="9" style="19" customWidth="1"/>
    <col min="11272" max="11272" width="24.26953125" style="19" customWidth="1"/>
    <col min="11273" max="11274" width="9.1796875" style="19"/>
    <col min="11275" max="11275" width="9.81640625" style="19" bestFit="1" customWidth="1"/>
    <col min="11276" max="11276" width="11" style="19" bestFit="1" customWidth="1"/>
    <col min="11277" max="11520" width="9.1796875" style="19"/>
    <col min="11521" max="11521" width="4.7265625" style="19" customWidth="1"/>
    <col min="11522" max="11522" width="73.1796875" style="19" customWidth="1"/>
    <col min="11523" max="11523" width="5" style="19" customWidth="1"/>
    <col min="11524" max="11524" width="7.1796875" style="19" customWidth="1"/>
    <col min="11525" max="11525" width="6.81640625" style="19" customWidth="1"/>
    <col min="11526" max="11526" width="8.7265625" style="19" customWidth="1"/>
    <col min="11527" max="11527" width="9" style="19" customWidth="1"/>
    <col min="11528" max="11528" width="24.26953125" style="19" customWidth="1"/>
    <col min="11529" max="11530" width="9.1796875" style="19"/>
    <col min="11531" max="11531" width="9.81640625" style="19" bestFit="1" customWidth="1"/>
    <col min="11532" max="11532" width="11" style="19" bestFit="1" customWidth="1"/>
    <col min="11533" max="11776" width="9.1796875" style="19"/>
    <col min="11777" max="11777" width="4.7265625" style="19" customWidth="1"/>
    <col min="11778" max="11778" width="73.1796875" style="19" customWidth="1"/>
    <col min="11779" max="11779" width="5" style="19" customWidth="1"/>
    <col min="11780" max="11780" width="7.1796875" style="19" customWidth="1"/>
    <col min="11781" max="11781" width="6.81640625" style="19" customWidth="1"/>
    <col min="11782" max="11782" width="8.7265625" style="19" customWidth="1"/>
    <col min="11783" max="11783" width="9" style="19" customWidth="1"/>
    <col min="11784" max="11784" width="24.26953125" style="19" customWidth="1"/>
    <col min="11785" max="11786" width="9.1796875" style="19"/>
    <col min="11787" max="11787" width="9.81640625" style="19" bestFit="1" customWidth="1"/>
    <col min="11788" max="11788" width="11" style="19" bestFit="1" customWidth="1"/>
    <col min="11789" max="12032" width="9.1796875" style="19"/>
    <col min="12033" max="12033" width="4.7265625" style="19" customWidth="1"/>
    <col min="12034" max="12034" width="73.1796875" style="19" customWidth="1"/>
    <col min="12035" max="12035" width="5" style="19" customWidth="1"/>
    <col min="12036" max="12036" width="7.1796875" style="19" customWidth="1"/>
    <col min="12037" max="12037" width="6.81640625" style="19" customWidth="1"/>
    <col min="12038" max="12038" width="8.7265625" style="19" customWidth="1"/>
    <col min="12039" max="12039" width="9" style="19" customWidth="1"/>
    <col min="12040" max="12040" width="24.26953125" style="19" customWidth="1"/>
    <col min="12041" max="12042" width="9.1796875" style="19"/>
    <col min="12043" max="12043" width="9.81640625" style="19" bestFit="1" customWidth="1"/>
    <col min="12044" max="12044" width="11" style="19" bestFit="1" customWidth="1"/>
    <col min="12045" max="12288" width="9.1796875" style="19"/>
    <col min="12289" max="12289" width="4.7265625" style="19" customWidth="1"/>
    <col min="12290" max="12290" width="73.1796875" style="19" customWidth="1"/>
    <col min="12291" max="12291" width="5" style="19" customWidth="1"/>
    <col min="12292" max="12292" width="7.1796875" style="19" customWidth="1"/>
    <col min="12293" max="12293" width="6.81640625" style="19" customWidth="1"/>
    <col min="12294" max="12294" width="8.7265625" style="19" customWidth="1"/>
    <col min="12295" max="12295" width="9" style="19" customWidth="1"/>
    <col min="12296" max="12296" width="24.26953125" style="19" customWidth="1"/>
    <col min="12297" max="12298" width="9.1796875" style="19"/>
    <col min="12299" max="12299" width="9.81640625" style="19" bestFit="1" customWidth="1"/>
    <col min="12300" max="12300" width="11" style="19" bestFit="1" customWidth="1"/>
    <col min="12301" max="12544" width="9.1796875" style="19"/>
    <col min="12545" max="12545" width="4.7265625" style="19" customWidth="1"/>
    <col min="12546" max="12546" width="73.1796875" style="19" customWidth="1"/>
    <col min="12547" max="12547" width="5" style="19" customWidth="1"/>
    <col min="12548" max="12548" width="7.1796875" style="19" customWidth="1"/>
    <col min="12549" max="12549" width="6.81640625" style="19" customWidth="1"/>
    <col min="12550" max="12550" width="8.7265625" style="19" customWidth="1"/>
    <col min="12551" max="12551" width="9" style="19" customWidth="1"/>
    <col min="12552" max="12552" width="24.26953125" style="19" customWidth="1"/>
    <col min="12553" max="12554" width="9.1796875" style="19"/>
    <col min="12555" max="12555" width="9.81640625" style="19" bestFit="1" customWidth="1"/>
    <col min="12556" max="12556" width="11" style="19" bestFit="1" customWidth="1"/>
    <col min="12557" max="12800" width="9.1796875" style="19"/>
    <col min="12801" max="12801" width="4.7265625" style="19" customWidth="1"/>
    <col min="12802" max="12802" width="73.1796875" style="19" customWidth="1"/>
    <col min="12803" max="12803" width="5" style="19" customWidth="1"/>
    <col min="12804" max="12804" width="7.1796875" style="19" customWidth="1"/>
    <col min="12805" max="12805" width="6.81640625" style="19" customWidth="1"/>
    <col min="12806" max="12806" width="8.7265625" style="19" customWidth="1"/>
    <col min="12807" max="12807" width="9" style="19" customWidth="1"/>
    <col min="12808" max="12808" width="24.26953125" style="19" customWidth="1"/>
    <col min="12809" max="12810" width="9.1796875" style="19"/>
    <col min="12811" max="12811" width="9.81640625" style="19" bestFit="1" customWidth="1"/>
    <col min="12812" max="12812" width="11" style="19" bestFit="1" customWidth="1"/>
    <col min="12813" max="13056" width="9.1796875" style="19"/>
    <col min="13057" max="13057" width="4.7265625" style="19" customWidth="1"/>
    <col min="13058" max="13058" width="73.1796875" style="19" customWidth="1"/>
    <col min="13059" max="13059" width="5" style="19" customWidth="1"/>
    <col min="13060" max="13060" width="7.1796875" style="19" customWidth="1"/>
    <col min="13061" max="13061" width="6.81640625" style="19" customWidth="1"/>
    <col min="13062" max="13062" width="8.7265625" style="19" customWidth="1"/>
    <col min="13063" max="13063" width="9" style="19" customWidth="1"/>
    <col min="13064" max="13064" width="24.26953125" style="19" customWidth="1"/>
    <col min="13065" max="13066" width="9.1796875" style="19"/>
    <col min="13067" max="13067" width="9.81640625" style="19" bestFit="1" customWidth="1"/>
    <col min="13068" max="13068" width="11" style="19" bestFit="1" customWidth="1"/>
    <col min="13069" max="13312" width="9.1796875" style="19"/>
    <col min="13313" max="13313" width="4.7265625" style="19" customWidth="1"/>
    <col min="13314" max="13314" width="73.1796875" style="19" customWidth="1"/>
    <col min="13315" max="13315" width="5" style="19" customWidth="1"/>
    <col min="13316" max="13316" width="7.1796875" style="19" customWidth="1"/>
    <col min="13317" max="13317" width="6.81640625" style="19" customWidth="1"/>
    <col min="13318" max="13318" width="8.7265625" style="19" customWidth="1"/>
    <col min="13319" max="13319" width="9" style="19" customWidth="1"/>
    <col min="13320" max="13320" width="24.26953125" style="19" customWidth="1"/>
    <col min="13321" max="13322" width="9.1796875" style="19"/>
    <col min="13323" max="13323" width="9.81640625" style="19" bestFit="1" customWidth="1"/>
    <col min="13324" max="13324" width="11" style="19" bestFit="1" customWidth="1"/>
    <col min="13325" max="13568" width="9.1796875" style="19"/>
    <col min="13569" max="13569" width="4.7265625" style="19" customWidth="1"/>
    <col min="13570" max="13570" width="73.1796875" style="19" customWidth="1"/>
    <col min="13571" max="13571" width="5" style="19" customWidth="1"/>
    <col min="13572" max="13572" width="7.1796875" style="19" customWidth="1"/>
    <col min="13573" max="13573" width="6.81640625" style="19" customWidth="1"/>
    <col min="13574" max="13574" width="8.7265625" style="19" customWidth="1"/>
    <col min="13575" max="13575" width="9" style="19" customWidth="1"/>
    <col min="13576" max="13576" width="24.26953125" style="19" customWidth="1"/>
    <col min="13577" max="13578" width="9.1796875" style="19"/>
    <col min="13579" max="13579" width="9.81640625" style="19" bestFit="1" customWidth="1"/>
    <col min="13580" max="13580" width="11" style="19" bestFit="1" customWidth="1"/>
    <col min="13581" max="13824" width="9.1796875" style="19"/>
    <col min="13825" max="13825" width="4.7265625" style="19" customWidth="1"/>
    <col min="13826" max="13826" width="73.1796875" style="19" customWidth="1"/>
    <col min="13827" max="13827" width="5" style="19" customWidth="1"/>
    <col min="13828" max="13828" width="7.1796875" style="19" customWidth="1"/>
    <col min="13829" max="13829" width="6.81640625" style="19" customWidth="1"/>
    <col min="13830" max="13830" width="8.7265625" style="19" customWidth="1"/>
    <col min="13831" max="13831" width="9" style="19" customWidth="1"/>
    <col min="13832" max="13832" width="24.26953125" style="19" customWidth="1"/>
    <col min="13833" max="13834" width="9.1796875" style="19"/>
    <col min="13835" max="13835" width="9.81640625" style="19" bestFit="1" customWidth="1"/>
    <col min="13836" max="13836" width="11" style="19" bestFit="1" customWidth="1"/>
    <col min="13837" max="14080" width="9.1796875" style="19"/>
    <col min="14081" max="14081" width="4.7265625" style="19" customWidth="1"/>
    <col min="14082" max="14082" width="73.1796875" style="19" customWidth="1"/>
    <col min="14083" max="14083" width="5" style="19" customWidth="1"/>
    <col min="14084" max="14084" width="7.1796875" style="19" customWidth="1"/>
    <col min="14085" max="14085" width="6.81640625" style="19" customWidth="1"/>
    <col min="14086" max="14086" width="8.7265625" style="19" customWidth="1"/>
    <col min="14087" max="14087" width="9" style="19" customWidth="1"/>
    <col min="14088" max="14088" width="24.26953125" style="19" customWidth="1"/>
    <col min="14089" max="14090" width="9.1796875" style="19"/>
    <col min="14091" max="14091" width="9.81640625" style="19" bestFit="1" customWidth="1"/>
    <col min="14092" max="14092" width="11" style="19" bestFit="1" customWidth="1"/>
    <col min="14093" max="14336" width="9.1796875" style="19"/>
    <col min="14337" max="14337" width="4.7265625" style="19" customWidth="1"/>
    <col min="14338" max="14338" width="73.1796875" style="19" customWidth="1"/>
    <col min="14339" max="14339" width="5" style="19" customWidth="1"/>
    <col min="14340" max="14340" width="7.1796875" style="19" customWidth="1"/>
    <col min="14341" max="14341" width="6.81640625" style="19" customWidth="1"/>
    <col min="14342" max="14342" width="8.7265625" style="19" customWidth="1"/>
    <col min="14343" max="14343" width="9" style="19" customWidth="1"/>
    <col min="14344" max="14344" width="24.26953125" style="19" customWidth="1"/>
    <col min="14345" max="14346" width="9.1796875" style="19"/>
    <col min="14347" max="14347" width="9.81640625" style="19" bestFit="1" customWidth="1"/>
    <col min="14348" max="14348" width="11" style="19" bestFit="1" customWidth="1"/>
    <col min="14349" max="14592" width="9.1796875" style="19"/>
    <col min="14593" max="14593" width="4.7265625" style="19" customWidth="1"/>
    <col min="14594" max="14594" width="73.1796875" style="19" customWidth="1"/>
    <col min="14595" max="14595" width="5" style="19" customWidth="1"/>
    <col min="14596" max="14596" width="7.1796875" style="19" customWidth="1"/>
    <col min="14597" max="14597" width="6.81640625" style="19" customWidth="1"/>
    <col min="14598" max="14598" width="8.7265625" style="19" customWidth="1"/>
    <col min="14599" max="14599" width="9" style="19" customWidth="1"/>
    <col min="14600" max="14600" width="24.26953125" style="19" customWidth="1"/>
    <col min="14601" max="14602" width="9.1796875" style="19"/>
    <col min="14603" max="14603" width="9.81640625" style="19" bestFit="1" customWidth="1"/>
    <col min="14604" max="14604" width="11" style="19" bestFit="1" customWidth="1"/>
    <col min="14605" max="14848" width="9.1796875" style="19"/>
    <col min="14849" max="14849" width="4.7265625" style="19" customWidth="1"/>
    <col min="14850" max="14850" width="73.1796875" style="19" customWidth="1"/>
    <col min="14851" max="14851" width="5" style="19" customWidth="1"/>
    <col min="14852" max="14852" width="7.1796875" style="19" customWidth="1"/>
    <col min="14853" max="14853" width="6.81640625" style="19" customWidth="1"/>
    <col min="14854" max="14854" width="8.7265625" style="19" customWidth="1"/>
    <col min="14855" max="14855" width="9" style="19" customWidth="1"/>
    <col min="14856" max="14856" width="24.26953125" style="19" customWidth="1"/>
    <col min="14857" max="14858" width="9.1796875" style="19"/>
    <col min="14859" max="14859" width="9.81640625" style="19" bestFit="1" customWidth="1"/>
    <col min="14860" max="14860" width="11" style="19" bestFit="1" customWidth="1"/>
    <col min="14861" max="15104" width="9.1796875" style="19"/>
    <col min="15105" max="15105" width="4.7265625" style="19" customWidth="1"/>
    <col min="15106" max="15106" width="73.1796875" style="19" customWidth="1"/>
    <col min="15107" max="15107" width="5" style="19" customWidth="1"/>
    <col min="15108" max="15108" width="7.1796875" style="19" customWidth="1"/>
    <col min="15109" max="15109" width="6.81640625" style="19" customWidth="1"/>
    <col min="15110" max="15110" width="8.7265625" style="19" customWidth="1"/>
    <col min="15111" max="15111" width="9" style="19" customWidth="1"/>
    <col min="15112" max="15112" width="24.26953125" style="19" customWidth="1"/>
    <col min="15113" max="15114" width="9.1796875" style="19"/>
    <col min="15115" max="15115" width="9.81640625" style="19" bestFit="1" customWidth="1"/>
    <col min="15116" max="15116" width="11" style="19" bestFit="1" customWidth="1"/>
    <col min="15117" max="15360" width="9.1796875" style="19"/>
    <col min="15361" max="15361" width="4.7265625" style="19" customWidth="1"/>
    <col min="15362" max="15362" width="73.1796875" style="19" customWidth="1"/>
    <col min="15363" max="15363" width="5" style="19" customWidth="1"/>
    <col min="15364" max="15364" width="7.1796875" style="19" customWidth="1"/>
    <col min="15365" max="15365" width="6.81640625" style="19" customWidth="1"/>
    <col min="15366" max="15366" width="8.7265625" style="19" customWidth="1"/>
    <col min="15367" max="15367" width="9" style="19" customWidth="1"/>
    <col min="15368" max="15368" width="24.26953125" style="19" customWidth="1"/>
    <col min="15369" max="15370" width="9.1796875" style="19"/>
    <col min="15371" max="15371" width="9.81640625" style="19" bestFit="1" customWidth="1"/>
    <col min="15372" max="15372" width="11" style="19" bestFit="1" customWidth="1"/>
    <col min="15373" max="15616" width="9.1796875" style="19"/>
    <col min="15617" max="15617" width="4.7265625" style="19" customWidth="1"/>
    <col min="15618" max="15618" width="73.1796875" style="19" customWidth="1"/>
    <col min="15619" max="15619" width="5" style="19" customWidth="1"/>
    <col min="15620" max="15620" width="7.1796875" style="19" customWidth="1"/>
    <col min="15621" max="15621" width="6.81640625" style="19" customWidth="1"/>
    <col min="15622" max="15622" width="8.7265625" style="19" customWidth="1"/>
    <col min="15623" max="15623" width="9" style="19" customWidth="1"/>
    <col min="15624" max="15624" width="24.26953125" style="19" customWidth="1"/>
    <col min="15625" max="15626" width="9.1796875" style="19"/>
    <col min="15627" max="15627" width="9.81640625" style="19" bestFit="1" customWidth="1"/>
    <col min="15628" max="15628" width="11" style="19" bestFit="1" customWidth="1"/>
    <col min="15629" max="15872" width="9.1796875" style="19"/>
    <col min="15873" max="15873" width="4.7265625" style="19" customWidth="1"/>
    <col min="15874" max="15874" width="73.1796875" style="19" customWidth="1"/>
    <col min="15875" max="15875" width="5" style="19" customWidth="1"/>
    <col min="15876" max="15876" width="7.1796875" style="19" customWidth="1"/>
    <col min="15877" max="15877" width="6.81640625" style="19" customWidth="1"/>
    <col min="15878" max="15878" width="8.7265625" style="19" customWidth="1"/>
    <col min="15879" max="15879" width="9" style="19" customWidth="1"/>
    <col min="15880" max="15880" width="24.26953125" style="19" customWidth="1"/>
    <col min="15881" max="15882" width="9.1796875" style="19"/>
    <col min="15883" max="15883" width="9.81640625" style="19" bestFit="1" customWidth="1"/>
    <col min="15884" max="15884" width="11" style="19" bestFit="1" customWidth="1"/>
    <col min="15885" max="16128" width="9.1796875" style="19"/>
    <col min="16129" max="16129" width="4.7265625" style="19" customWidth="1"/>
    <col min="16130" max="16130" width="73.1796875" style="19" customWidth="1"/>
    <col min="16131" max="16131" width="5" style="19" customWidth="1"/>
    <col min="16132" max="16132" width="7.1796875" style="19" customWidth="1"/>
    <col min="16133" max="16133" width="6.81640625" style="19" customWidth="1"/>
    <col min="16134" max="16134" width="8.7265625" style="19" customWidth="1"/>
    <col min="16135" max="16135" width="9" style="19" customWidth="1"/>
    <col min="16136" max="16136" width="24.26953125" style="19" customWidth="1"/>
    <col min="16137" max="16138" width="9.1796875" style="19"/>
    <col min="16139" max="16139" width="9.81640625" style="19" bestFit="1" customWidth="1"/>
    <col min="16140" max="16140" width="11" style="19" bestFit="1" customWidth="1"/>
    <col min="16141" max="16384" width="9.1796875" style="19"/>
  </cols>
  <sheetData>
    <row r="1" spans="1:10" s="389" customFormat="1" ht="36" customHeight="1" x14ac:dyDescent="0.3">
      <c r="A1" s="620" t="s">
        <v>789</v>
      </c>
      <c r="B1" s="621"/>
      <c r="C1" s="621"/>
      <c r="D1" s="621"/>
      <c r="E1" s="621"/>
      <c r="F1" s="621"/>
      <c r="G1" s="621"/>
      <c r="H1" s="621"/>
      <c r="I1" s="621"/>
      <c r="J1" s="622"/>
    </row>
    <row r="2" spans="1:10" s="389" customFormat="1" ht="16.5" customHeight="1" x14ac:dyDescent="0.3">
      <c r="A2" s="625" t="s">
        <v>8</v>
      </c>
      <c r="B2" s="626" t="s">
        <v>9</v>
      </c>
      <c r="C2" s="626" t="s">
        <v>10</v>
      </c>
      <c r="D2" s="626" t="s">
        <v>11</v>
      </c>
      <c r="E2" s="623" t="s">
        <v>788</v>
      </c>
      <c r="F2" s="623"/>
      <c r="G2" s="624" t="s">
        <v>790</v>
      </c>
      <c r="H2" s="624"/>
      <c r="I2" s="625" t="s">
        <v>772</v>
      </c>
      <c r="J2" s="625" t="s">
        <v>768</v>
      </c>
    </row>
    <row r="3" spans="1:10" ht="16.5" customHeight="1" x14ac:dyDescent="0.35">
      <c r="A3" s="625"/>
      <c r="B3" s="626"/>
      <c r="C3" s="626"/>
      <c r="D3" s="626"/>
      <c r="E3" s="390" t="s">
        <v>771</v>
      </c>
      <c r="F3" s="391" t="s">
        <v>12</v>
      </c>
      <c r="G3" s="390" t="s">
        <v>771</v>
      </c>
      <c r="H3" s="391" t="s">
        <v>12</v>
      </c>
      <c r="I3" s="625"/>
      <c r="J3" s="625"/>
    </row>
    <row r="4" spans="1:10" s="357" customFormat="1" x14ac:dyDescent="0.35">
      <c r="A4" s="243">
        <v>1</v>
      </c>
      <c r="B4" s="296" t="s">
        <v>172</v>
      </c>
      <c r="C4" s="241" t="s">
        <v>1</v>
      </c>
      <c r="D4" s="297">
        <v>3</v>
      </c>
      <c r="E4" s="392">
        <f>'Pesq Serv Eventuais'!D3</f>
        <v>48.333333333333336</v>
      </c>
      <c r="F4" s="393">
        <f>D4*E4</f>
        <v>145</v>
      </c>
      <c r="G4" s="393">
        <f>'Pesq Serv Eventuais'!D3</f>
        <v>48.333333333333336</v>
      </c>
      <c r="H4" s="393">
        <f>D4*G4</f>
        <v>145</v>
      </c>
      <c r="I4" s="394"/>
      <c r="J4" s="395" t="s">
        <v>23</v>
      </c>
    </row>
    <row r="5" spans="1:10" s="357" customFormat="1" x14ac:dyDescent="0.35">
      <c r="A5" s="244">
        <v>2</v>
      </c>
      <c r="B5" s="298" t="s">
        <v>173</v>
      </c>
      <c r="C5" s="242" t="s">
        <v>1</v>
      </c>
      <c r="D5" s="299">
        <v>1</v>
      </c>
      <c r="E5" s="396">
        <f>'Pesq Serv Eventuais'!D6</f>
        <v>83.333333333333329</v>
      </c>
      <c r="F5" s="397">
        <f t="shared" ref="F5:F23" si="0">D5*E5</f>
        <v>83.333333333333329</v>
      </c>
      <c r="G5" s="397">
        <f>'Pesq Serv Eventuais'!D6</f>
        <v>83.333333333333329</v>
      </c>
      <c r="H5" s="397">
        <f t="shared" ref="H5:H23" si="1">D5*G5</f>
        <v>83.333333333333329</v>
      </c>
      <c r="I5" s="398"/>
      <c r="J5" s="399" t="s">
        <v>23</v>
      </c>
    </row>
    <row r="6" spans="1:10" s="357" customFormat="1" ht="21" x14ac:dyDescent="0.35">
      <c r="A6" s="244">
        <v>3</v>
      </c>
      <c r="B6" s="298" t="s">
        <v>206</v>
      </c>
      <c r="C6" s="242" t="s">
        <v>6</v>
      </c>
      <c r="D6" s="242">
        <v>5</v>
      </c>
      <c r="E6" s="397">
        <f>2*'Mat Serv Eventuais'!D6</f>
        <v>18.899999999999999</v>
      </c>
      <c r="F6" s="397">
        <f t="shared" si="0"/>
        <v>94.5</v>
      </c>
      <c r="G6" s="397" t="e">
        <f>#REF!*2</f>
        <v>#REF!</v>
      </c>
      <c r="H6" s="397" t="e">
        <f t="shared" si="1"/>
        <v>#REF!</v>
      </c>
      <c r="I6" s="398">
        <v>242</v>
      </c>
      <c r="J6" s="300" t="s">
        <v>1081</v>
      </c>
    </row>
    <row r="7" spans="1:10" s="357" customFormat="1" ht="21" x14ac:dyDescent="0.35">
      <c r="A7" s="243">
        <v>4</v>
      </c>
      <c r="B7" s="300" t="s">
        <v>39</v>
      </c>
      <c r="C7" s="242" t="s">
        <v>5</v>
      </c>
      <c r="D7" s="242">
        <v>15</v>
      </c>
      <c r="E7" s="397">
        <f>'Anexo BVII - Comp. Serv. Eventu'!F59</f>
        <v>46.04</v>
      </c>
      <c r="F7" s="397">
        <f t="shared" si="0"/>
        <v>690.6</v>
      </c>
      <c r="G7" s="397">
        <f>'Anexo BVII - Comp. Serv. Eventu'!M59</f>
        <v>0</v>
      </c>
      <c r="H7" s="397">
        <f t="shared" si="1"/>
        <v>0</v>
      </c>
      <c r="I7" s="398"/>
      <c r="J7" s="300" t="s">
        <v>115</v>
      </c>
    </row>
    <row r="8" spans="1:10" s="357" customFormat="1" ht="21" x14ac:dyDescent="0.35">
      <c r="A8" s="244">
        <v>5</v>
      </c>
      <c r="B8" s="300" t="s">
        <v>48</v>
      </c>
      <c r="C8" s="242" t="s">
        <v>5</v>
      </c>
      <c r="D8" s="242">
        <v>15</v>
      </c>
      <c r="E8" s="397">
        <f>'Anexo BVII - Comp. Serv. Eventu'!F72</f>
        <v>86.81</v>
      </c>
      <c r="F8" s="397">
        <f t="shared" si="0"/>
        <v>1302.1500000000001</v>
      </c>
      <c r="G8" s="397">
        <f>'Anexo BVII - Comp. Serv. Eventu'!M72</f>
        <v>0</v>
      </c>
      <c r="H8" s="397">
        <f t="shared" si="1"/>
        <v>0</v>
      </c>
      <c r="I8" s="398"/>
      <c r="J8" s="300" t="s">
        <v>115</v>
      </c>
    </row>
    <row r="9" spans="1:10" s="357" customFormat="1" ht="15" customHeight="1" x14ac:dyDescent="0.35">
      <c r="A9" s="243">
        <v>6</v>
      </c>
      <c r="B9" s="300" t="s">
        <v>197</v>
      </c>
      <c r="C9" s="242" t="s">
        <v>5</v>
      </c>
      <c r="D9" s="242">
        <v>5</v>
      </c>
      <c r="E9" s="397">
        <f>'Anexo BVII - Comp. Serv. Eventu'!F82</f>
        <v>17.809999999999999</v>
      </c>
      <c r="F9" s="397">
        <f t="shared" si="0"/>
        <v>89.05</v>
      </c>
      <c r="G9" s="397">
        <f>'Anexo BVII - Comp. Serv. Eventu'!M82</f>
        <v>0</v>
      </c>
      <c r="H9" s="397">
        <f t="shared" si="1"/>
        <v>0</v>
      </c>
      <c r="I9" s="398"/>
      <c r="J9" s="300" t="s">
        <v>115</v>
      </c>
    </row>
    <row r="10" spans="1:10" s="357" customFormat="1" x14ac:dyDescent="0.35">
      <c r="A10" s="244">
        <v>7</v>
      </c>
      <c r="B10" s="300" t="s">
        <v>51</v>
      </c>
      <c r="C10" s="242" t="s">
        <v>5</v>
      </c>
      <c r="D10" s="242">
        <v>10</v>
      </c>
      <c r="E10" s="397">
        <f>'Anexo BVII - Comp. Serv. Eventu'!F95</f>
        <v>99.31</v>
      </c>
      <c r="F10" s="397">
        <f t="shared" si="0"/>
        <v>993.1</v>
      </c>
      <c r="G10" s="397">
        <f>'Anexo BVII - Comp. Serv. Eventu'!M95</f>
        <v>0</v>
      </c>
      <c r="H10" s="397">
        <f t="shared" si="1"/>
        <v>0</v>
      </c>
      <c r="I10" s="398"/>
      <c r="J10" s="300" t="s">
        <v>115</v>
      </c>
    </row>
    <row r="11" spans="1:10" s="357" customFormat="1" x14ac:dyDescent="0.35">
      <c r="A11" s="244">
        <v>8</v>
      </c>
      <c r="B11" s="298" t="s">
        <v>170</v>
      </c>
      <c r="C11" s="242" t="s">
        <v>1</v>
      </c>
      <c r="D11" s="299">
        <v>8</v>
      </c>
      <c r="E11" s="396">
        <f>'Pesq Serv Eventuais'!$D$9</f>
        <v>6.666666666666667</v>
      </c>
      <c r="F11" s="397">
        <f t="shared" si="0"/>
        <v>53.333333333333336</v>
      </c>
      <c r="G11" s="397">
        <f>'Pesq Serv Eventuais'!$D$9</f>
        <v>6.666666666666667</v>
      </c>
      <c r="H11" s="397">
        <f t="shared" si="1"/>
        <v>53.333333333333336</v>
      </c>
      <c r="I11" s="398"/>
      <c r="J11" s="399" t="s">
        <v>23</v>
      </c>
    </row>
    <row r="12" spans="1:10" s="357" customFormat="1" x14ac:dyDescent="0.35">
      <c r="A12" s="243">
        <v>9</v>
      </c>
      <c r="B12" s="298" t="s">
        <v>171</v>
      </c>
      <c r="C12" s="242" t="s">
        <v>1</v>
      </c>
      <c r="D12" s="299">
        <v>2</v>
      </c>
      <c r="E12" s="396">
        <f>'Pesq Serv Eventuais'!$D$12</f>
        <v>28.333333333333332</v>
      </c>
      <c r="F12" s="397">
        <f t="shared" si="0"/>
        <v>56.666666666666664</v>
      </c>
      <c r="G12" s="397">
        <f>'Pesq Serv Eventuais'!$D$12</f>
        <v>28.333333333333332</v>
      </c>
      <c r="H12" s="397">
        <f t="shared" si="1"/>
        <v>56.666666666666664</v>
      </c>
      <c r="I12" s="398"/>
      <c r="J12" s="399" t="s">
        <v>23</v>
      </c>
    </row>
    <row r="13" spans="1:10" s="357" customFormat="1" x14ac:dyDescent="0.35">
      <c r="A13" s="244">
        <v>10</v>
      </c>
      <c r="B13" s="298" t="s">
        <v>207</v>
      </c>
      <c r="C13" s="242" t="s">
        <v>6</v>
      </c>
      <c r="D13" s="242">
        <v>5</v>
      </c>
      <c r="E13" s="397">
        <f>2*'Mat Serv Eventuais'!D7</f>
        <v>26.9</v>
      </c>
      <c r="F13" s="397">
        <f t="shared" si="0"/>
        <v>134.5</v>
      </c>
      <c r="G13" s="397" t="e">
        <f>#REF!*2</f>
        <v>#REF!</v>
      </c>
      <c r="H13" s="397" t="e">
        <f t="shared" si="1"/>
        <v>#REF!</v>
      </c>
      <c r="I13" s="398">
        <v>2436</v>
      </c>
      <c r="J13" s="300" t="s">
        <v>1081</v>
      </c>
    </row>
    <row r="14" spans="1:10" s="357" customFormat="1" ht="15" customHeight="1" x14ac:dyDescent="0.35">
      <c r="A14" s="243">
        <v>11</v>
      </c>
      <c r="B14" s="300" t="s">
        <v>201</v>
      </c>
      <c r="C14" s="242" t="s">
        <v>5</v>
      </c>
      <c r="D14" s="242">
        <v>20</v>
      </c>
      <c r="E14" s="397">
        <f>'Anexo BVII - Comp. Serv. Eventu'!F291</f>
        <v>11.65</v>
      </c>
      <c r="F14" s="397">
        <f t="shared" si="0"/>
        <v>233</v>
      </c>
      <c r="G14" s="397">
        <f>'Anexo BVII - Comp. Serv. Eventu'!M291</f>
        <v>0</v>
      </c>
      <c r="H14" s="397">
        <f t="shared" si="1"/>
        <v>0</v>
      </c>
      <c r="I14" s="398"/>
      <c r="J14" s="300" t="s">
        <v>115</v>
      </c>
    </row>
    <row r="15" spans="1:10" s="357" customFormat="1" ht="15" customHeight="1" x14ac:dyDescent="0.35">
      <c r="A15" s="244">
        <v>12</v>
      </c>
      <c r="B15" s="300" t="s">
        <v>202</v>
      </c>
      <c r="C15" s="242" t="s">
        <v>5</v>
      </c>
      <c r="D15" s="242">
        <v>20</v>
      </c>
      <c r="E15" s="397">
        <f>'Anexo BVII - Comp. Serv. Eventu'!F279</f>
        <v>8.84</v>
      </c>
      <c r="F15" s="397">
        <f t="shared" si="0"/>
        <v>176.8</v>
      </c>
      <c r="G15" s="397">
        <f>'Anexo BVII - Comp. Serv. Eventu'!M279</f>
        <v>2.67</v>
      </c>
      <c r="H15" s="397">
        <f t="shared" si="1"/>
        <v>53.4</v>
      </c>
      <c r="I15" s="398"/>
      <c r="J15" s="300" t="s">
        <v>115</v>
      </c>
    </row>
    <row r="16" spans="1:10" s="357" customFormat="1" ht="15" customHeight="1" x14ac:dyDescent="0.35">
      <c r="A16" s="244">
        <v>13</v>
      </c>
      <c r="B16" s="300" t="s">
        <v>178</v>
      </c>
      <c r="C16" s="240" t="s">
        <v>5</v>
      </c>
      <c r="D16" s="240">
        <v>2</v>
      </c>
      <c r="E16" s="397">
        <f>'Anexo BVII - Comp. Serv. Eventu'!F251</f>
        <v>674.9</v>
      </c>
      <c r="F16" s="397">
        <f t="shared" si="0"/>
        <v>1349.8</v>
      </c>
      <c r="G16" s="397">
        <f>'Anexo BVII - Comp. Serv. Eventu'!M251</f>
        <v>0</v>
      </c>
      <c r="H16" s="397">
        <f t="shared" si="1"/>
        <v>0</v>
      </c>
      <c r="I16" s="398"/>
      <c r="J16" s="300" t="s">
        <v>115</v>
      </c>
    </row>
    <row r="17" spans="1:10" s="357" customFormat="1" ht="15" customHeight="1" x14ac:dyDescent="0.35">
      <c r="A17" s="243">
        <v>14</v>
      </c>
      <c r="B17" s="300" t="s">
        <v>29</v>
      </c>
      <c r="C17" s="242" t="s">
        <v>0</v>
      </c>
      <c r="D17" s="242">
        <v>8</v>
      </c>
      <c r="E17" s="397">
        <f>'Anexo BVII - Comp. Serv. Eventu'!F24</f>
        <v>104.84</v>
      </c>
      <c r="F17" s="397">
        <f t="shared" si="0"/>
        <v>838.72</v>
      </c>
      <c r="G17" s="397">
        <f>'Anexo BVII - Comp. Serv. Eventu'!M24</f>
        <v>0</v>
      </c>
      <c r="H17" s="397">
        <f t="shared" si="1"/>
        <v>0</v>
      </c>
      <c r="I17" s="398"/>
      <c r="J17" s="300" t="s">
        <v>115</v>
      </c>
    </row>
    <row r="18" spans="1:10" s="357" customFormat="1" ht="15" customHeight="1" x14ac:dyDescent="0.35">
      <c r="A18" s="244">
        <v>15</v>
      </c>
      <c r="B18" s="300" t="s">
        <v>31</v>
      </c>
      <c r="C18" s="242" t="s">
        <v>0</v>
      </c>
      <c r="D18" s="242">
        <v>5</v>
      </c>
      <c r="E18" s="397">
        <f>'Anexo BVII - Comp. Serv. Eventu'!F34</f>
        <v>130.74</v>
      </c>
      <c r="F18" s="397">
        <f t="shared" si="0"/>
        <v>653.70000000000005</v>
      </c>
      <c r="G18" s="397">
        <f>'Anexo BVII - Comp. Serv. Eventu'!M34</f>
        <v>0</v>
      </c>
      <c r="H18" s="397">
        <f t="shared" si="1"/>
        <v>0</v>
      </c>
      <c r="I18" s="398"/>
      <c r="J18" s="300" t="s">
        <v>115</v>
      </c>
    </row>
    <row r="19" spans="1:10" s="357" customFormat="1" ht="15" customHeight="1" x14ac:dyDescent="0.35">
      <c r="A19" s="243">
        <v>16</v>
      </c>
      <c r="B19" s="300" t="s">
        <v>33</v>
      </c>
      <c r="C19" s="242" t="s">
        <v>0</v>
      </c>
      <c r="D19" s="242">
        <v>5</v>
      </c>
      <c r="E19" s="397">
        <f>'Anexo BVII - Comp. Serv. Eventu'!F44</f>
        <v>161.37</v>
      </c>
      <c r="F19" s="397">
        <f t="shared" si="0"/>
        <v>806.85</v>
      </c>
      <c r="G19" s="397">
        <f>'Anexo BVII - Comp. Serv. Eventu'!M44</f>
        <v>0</v>
      </c>
      <c r="H19" s="397">
        <f t="shared" si="1"/>
        <v>0</v>
      </c>
      <c r="I19" s="398"/>
      <c r="J19" s="300" t="s">
        <v>115</v>
      </c>
    </row>
    <row r="20" spans="1:10" s="357" customFormat="1" ht="15" customHeight="1" x14ac:dyDescent="0.35">
      <c r="A20" s="244">
        <v>17</v>
      </c>
      <c r="B20" s="300" t="s">
        <v>27</v>
      </c>
      <c r="C20" s="242" t="s">
        <v>0</v>
      </c>
      <c r="D20" s="242">
        <v>8</v>
      </c>
      <c r="E20" s="396">
        <f>'Anexo BVII - Comp. Serv. Eventu'!F13</f>
        <v>32.74</v>
      </c>
      <c r="F20" s="397">
        <f t="shared" si="0"/>
        <v>261.92</v>
      </c>
      <c r="G20" s="397">
        <f>'Anexo BVII - Comp. Serv. Eventu'!M13</f>
        <v>0</v>
      </c>
      <c r="H20" s="397">
        <f t="shared" si="1"/>
        <v>0</v>
      </c>
      <c r="I20" s="398"/>
      <c r="J20" s="300" t="s">
        <v>115</v>
      </c>
    </row>
    <row r="21" spans="1:10" s="357" customFormat="1" ht="21" x14ac:dyDescent="0.35">
      <c r="A21" s="244">
        <v>18</v>
      </c>
      <c r="B21" s="300" t="s">
        <v>74</v>
      </c>
      <c r="C21" s="242" t="s">
        <v>1</v>
      </c>
      <c r="D21" s="242">
        <v>0.5</v>
      </c>
      <c r="E21" s="396">
        <f>'Anexo BVII - Comp. Serv. Eventu'!F119</f>
        <v>937.93</v>
      </c>
      <c r="F21" s="397">
        <f t="shared" si="0"/>
        <v>468.96499999999997</v>
      </c>
      <c r="G21" s="397">
        <f>'Anexo BVII - Comp. Serv. Eventu'!M119</f>
        <v>0</v>
      </c>
      <c r="H21" s="397">
        <f t="shared" si="1"/>
        <v>0</v>
      </c>
      <c r="I21" s="398"/>
      <c r="J21" s="300" t="s">
        <v>115</v>
      </c>
    </row>
    <row r="22" spans="1:10" s="357" customFormat="1" ht="21" x14ac:dyDescent="0.35">
      <c r="A22" s="243">
        <v>19</v>
      </c>
      <c r="B22" s="300" t="s">
        <v>75</v>
      </c>
      <c r="C22" s="242" t="s">
        <v>1</v>
      </c>
      <c r="D22" s="242">
        <v>1</v>
      </c>
      <c r="E22" s="396">
        <f>'Anexo BVII - Comp. Serv. Eventu'!F141</f>
        <v>524.28</v>
      </c>
      <c r="F22" s="397">
        <f t="shared" si="0"/>
        <v>524.28</v>
      </c>
      <c r="G22" s="397">
        <f>'Anexo BVII - Comp. Serv. Eventu'!M141</f>
        <v>0</v>
      </c>
      <c r="H22" s="397">
        <f t="shared" si="1"/>
        <v>0</v>
      </c>
      <c r="I22" s="398"/>
      <c r="J22" s="300" t="s">
        <v>115</v>
      </c>
    </row>
    <row r="23" spans="1:10" s="357" customFormat="1" ht="21" x14ac:dyDescent="0.35">
      <c r="A23" s="244">
        <v>20</v>
      </c>
      <c r="B23" s="300" t="s">
        <v>77</v>
      </c>
      <c r="C23" s="242" t="s">
        <v>1</v>
      </c>
      <c r="D23" s="242">
        <v>1</v>
      </c>
      <c r="E23" s="396">
        <f>'Anexo BVII - Comp. Serv. Eventu'!F163</f>
        <v>542.1</v>
      </c>
      <c r="F23" s="397">
        <f t="shared" si="0"/>
        <v>542.1</v>
      </c>
      <c r="G23" s="397">
        <f>'Anexo BVII - Comp. Serv. Eventu'!M163</f>
        <v>0</v>
      </c>
      <c r="H23" s="397">
        <f t="shared" si="1"/>
        <v>0</v>
      </c>
      <c r="I23" s="398"/>
      <c r="J23" s="300" t="s">
        <v>115</v>
      </c>
    </row>
    <row r="24" spans="1:10" s="357" customFormat="1" ht="15" customHeight="1" x14ac:dyDescent="0.35">
      <c r="A24" s="244">
        <v>22</v>
      </c>
      <c r="B24" s="300" t="s">
        <v>205</v>
      </c>
      <c r="C24" s="242" t="s">
        <v>5</v>
      </c>
      <c r="D24" s="242">
        <v>2</v>
      </c>
      <c r="E24" s="396">
        <f>'Anexo BVII - Comp. Serv. Eventu'!F258</f>
        <v>216.268</v>
      </c>
      <c r="F24" s="397">
        <f t="shared" ref="F24:F39" si="2">D24*E24</f>
        <v>432.536</v>
      </c>
      <c r="G24" s="397">
        <f>'Anexo BVII - Comp. Serv. Eventu'!M258</f>
        <v>0</v>
      </c>
      <c r="H24" s="397">
        <f t="shared" ref="H24:H39" si="3">D24*G24</f>
        <v>0</v>
      </c>
      <c r="I24" s="398"/>
      <c r="J24" s="300" t="s">
        <v>115</v>
      </c>
    </row>
    <row r="25" spans="1:10" s="357" customFormat="1" ht="15" customHeight="1" x14ac:dyDescent="0.35">
      <c r="A25" s="244">
        <v>23</v>
      </c>
      <c r="B25" s="300" t="s">
        <v>188</v>
      </c>
      <c r="C25" s="242" t="s">
        <v>5</v>
      </c>
      <c r="D25" s="242">
        <v>2</v>
      </c>
      <c r="E25" s="396">
        <f>'Anexo BVII - Comp. Serv. Eventu'!F268</f>
        <v>395.69</v>
      </c>
      <c r="F25" s="397">
        <f t="shared" si="2"/>
        <v>791.38</v>
      </c>
      <c r="G25" s="397">
        <f>'Anexo BVII - Comp. Serv. Eventu'!M268</f>
        <v>0</v>
      </c>
      <c r="H25" s="397">
        <f t="shared" si="3"/>
        <v>0</v>
      </c>
      <c r="I25" s="398"/>
      <c r="J25" s="300" t="s">
        <v>115</v>
      </c>
    </row>
    <row r="26" spans="1:10" s="357" customFormat="1" ht="15" customHeight="1" x14ac:dyDescent="0.35">
      <c r="A26" s="243">
        <v>24</v>
      </c>
      <c r="B26" s="298" t="s">
        <v>218</v>
      </c>
      <c r="C26" s="242" t="s">
        <v>0</v>
      </c>
      <c r="D26" s="299">
        <v>15</v>
      </c>
      <c r="E26" s="396">
        <f>'Anexo BVII - Comp. Serv. Eventu'!F302</f>
        <v>6.4399999999999995</v>
      </c>
      <c r="F26" s="397">
        <f t="shared" si="2"/>
        <v>96.6</v>
      </c>
      <c r="G26" s="397">
        <f>'Anexo BVII - Comp. Serv. Eventu'!M302</f>
        <v>0.72</v>
      </c>
      <c r="H26" s="397">
        <f t="shared" si="3"/>
        <v>10.799999999999999</v>
      </c>
      <c r="I26" s="398"/>
      <c r="J26" s="300" t="s">
        <v>219</v>
      </c>
    </row>
    <row r="27" spans="1:10" s="357" customFormat="1" ht="15" customHeight="1" x14ac:dyDescent="0.35">
      <c r="A27" s="244">
        <v>25</v>
      </c>
      <c r="B27" s="300" t="s">
        <v>79</v>
      </c>
      <c r="C27" s="242" t="s">
        <v>5</v>
      </c>
      <c r="D27" s="242">
        <v>5</v>
      </c>
      <c r="E27" s="396">
        <f>'Anexo BVII - Comp. Serv. Eventu'!F174</f>
        <v>44.8</v>
      </c>
      <c r="F27" s="397">
        <f t="shared" si="2"/>
        <v>224</v>
      </c>
      <c r="G27" s="397">
        <f>'Anexo BVII - Comp. Serv. Eventu'!M174</f>
        <v>0</v>
      </c>
      <c r="H27" s="397">
        <f t="shared" si="3"/>
        <v>0</v>
      </c>
      <c r="I27" s="398"/>
      <c r="J27" s="300" t="s">
        <v>115</v>
      </c>
    </row>
    <row r="28" spans="1:10" s="357" customFormat="1" x14ac:dyDescent="0.35">
      <c r="A28" s="243">
        <v>26</v>
      </c>
      <c r="B28" s="298" t="s">
        <v>793</v>
      </c>
      <c r="C28" s="242" t="s">
        <v>1</v>
      </c>
      <c r="D28" s="242">
        <v>1</v>
      </c>
      <c r="E28" s="396">
        <f>'Pesq Serv Eventuais'!$D$15</f>
        <v>306.5</v>
      </c>
      <c r="F28" s="397">
        <f t="shared" si="2"/>
        <v>306.5</v>
      </c>
      <c r="G28" s="397">
        <f>'Pesq Serv Eventuais'!$D$15</f>
        <v>306.5</v>
      </c>
      <c r="H28" s="397">
        <f t="shared" si="3"/>
        <v>306.5</v>
      </c>
      <c r="I28" s="398"/>
      <c r="J28" s="399" t="s">
        <v>23</v>
      </c>
    </row>
    <row r="29" spans="1:10" s="357" customFormat="1" x14ac:dyDescent="0.35">
      <c r="A29" s="244">
        <v>27</v>
      </c>
      <c r="B29" s="298" t="s">
        <v>794</v>
      </c>
      <c r="C29" s="242" t="s">
        <v>1</v>
      </c>
      <c r="D29" s="242">
        <v>1</v>
      </c>
      <c r="E29" s="396">
        <f>'Pesq Serv Eventuais'!$D$18</f>
        <v>343.36500000000001</v>
      </c>
      <c r="F29" s="397">
        <f t="shared" si="2"/>
        <v>343.36500000000001</v>
      </c>
      <c r="G29" s="397">
        <f>'Pesq Serv Eventuais'!$D$18</f>
        <v>343.36500000000001</v>
      </c>
      <c r="H29" s="397">
        <f t="shared" si="3"/>
        <v>343.36500000000001</v>
      </c>
      <c r="I29" s="398"/>
      <c r="J29" s="399" t="s">
        <v>23</v>
      </c>
    </row>
    <row r="30" spans="1:10" s="357" customFormat="1" ht="15" customHeight="1" x14ac:dyDescent="0.35">
      <c r="A30" s="243">
        <v>31</v>
      </c>
      <c r="B30" s="298" t="s">
        <v>82</v>
      </c>
      <c r="C30" s="242" t="s">
        <v>5</v>
      </c>
      <c r="D30" s="242">
        <v>500</v>
      </c>
      <c r="E30" s="396">
        <f>'Anexo BVII - Comp. Serv. Eventu'!F188</f>
        <v>13.57</v>
      </c>
      <c r="F30" s="397">
        <f t="shared" si="2"/>
        <v>6785</v>
      </c>
      <c r="G30" s="397">
        <f>'Anexo BVII - Comp. Serv. Eventu'!M188</f>
        <v>0</v>
      </c>
      <c r="H30" s="397">
        <f t="shared" si="3"/>
        <v>0</v>
      </c>
      <c r="I30" s="398"/>
      <c r="J30" s="300" t="s">
        <v>115</v>
      </c>
    </row>
    <row r="31" spans="1:10" s="357" customFormat="1" ht="15" customHeight="1" x14ac:dyDescent="0.35">
      <c r="A31" s="244">
        <v>32</v>
      </c>
      <c r="B31" s="298" t="s">
        <v>87</v>
      </c>
      <c r="C31" s="242" t="s">
        <v>5</v>
      </c>
      <c r="D31" s="242">
        <v>400</v>
      </c>
      <c r="E31" s="397">
        <f>'Anexo BVII - Comp. Serv. Eventu'!F200</f>
        <v>13.29</v>
      </c>
      <c r="F31" s="397">
        <f t="shared" si="2"/>
        <v>5316</v>
      </c>
      <c r="G31" s="397">
        <f>'Anexo BVII - Comp. Serv. Eventu'!M200</f>
        <v>0</v>
      </c>
      <c r="H31" s="397">
        <f t="shared" si="3"/>
        <v>0</v>
      </c>
      <c r="I31" s="398"/>
      <c r="J31" s="300" t="s">
        <v>115</v>
      </c>
    </row>
    <row r="32" spans="1:10" s="357" customFormat="1" ht="15" customHeight="1" x14ac:dyDescent="0.35">
      <c r="A32" s="244">
        <v>33</v>
      </c>
      <c r="B32" s="298" t="s">
        <v>91</v>
      </c>
      <c r="C32" s="242" t="s">
        <v>5</v>
      </c>
      <c r="D32" s="242">
        <v>50</v>
      </c>
      <c r="E32" s="397">
        <f>'Anexo BVII - Comp. Serv. Eventu'!F213</f>
        <v>35.19</v>
      </c>
      <c r="F32" s="397">
        <f t="shared" si="2"/>
        <v>1759.5</v>
      </c>
      <c r="G32" s="397">
        <f>'Anexo BVII - Comp. Serv. Eventu'!M213</f>
        <v>0</v>
      </c>
      <c r="H32" s="397">
        <f t="shared" si="3"/>
        <v>0</v>
      </c>
      <c r="I32" s="398"/>
      <c r="J32" s="300" t="s">
        <v>115</v>
      </c>
    </row>
    <row r="33" spans="1:256" s="357" customFormat="1" ht="15" customHeight="1" x14ac:dyDescent="0.35">
      <c r="A33" s="243">
        <v>34</v>
      </c>
      <c r="B33" s="298" t="s">
        <v>96</v>
      </c>
      <c r="C33" s="242" t="s">
        <v>5</v>
      </c>
      <c r="D33" s="242">
        <v>30</v>
      </c>
      <c r="E33" s="397">
        <f>'Anexo BVII - Comp. Serv. Eventu'!F226</f>
        <v>112.6</v>
      </c>
      <c r="F33" s="397">
        <f t="shared" si="2"/>
        <v>3378</v>
      </c>
      <c r="G33" s="397">
        <f>'Anexo BVII - Comp. Serv. Eventu'!M226</f>
        <v>0</v>
      </c>
      <c r="H33" s="397">
        <f t="shared" si="3"/>
        <v>0</v>
      </c>
      <c r="I33" s="398"/>
      <c r="J33" s="300" t="s">
        <v>115</v>
      </c>
      <c r="L33" s="400"/>
    </row>
    <row r="34" spans="1:256" s="357" customFormat="1" ht="15" customHeight="1" x14ac:dyDescent="0.35">
      <c r="A34" s="244">
        <v>35</v>
      </c>
      <c r="B34" s="298" t="s">
        <v>929</v>
      </c>
      <c r="C34" s="242" t="s">
        <v>0</v>
      </c>
      <c r="D34" s="242">
        <v>60</v>
      </c>
      <c r="E34" s="397">
        <f>'Anexo BVII - Comp. Serv. Eventu'!F237</f>
        <v>18.659999999999997</v>
      </c>
      <c r="F34" s="397">
        <f t="shared" si="2"/>
        <v>1119.5999999999999</v>
      </c>
      <c r="G34" s="397">
        <f>'Anexo BVII - Comp. Serv. Eventu'!M237</f>
        <v>0</v>
      </c>
      <c r="H34" s="397">
        <f t="shared" si="3"/>
        <v>0</v>
      </c>
      <c r="I34" s="398"/>
      <c r="J34" s="300" t="s">
        <v>115</v>
      </c>
      <c r="L34" s="400"/>
    </row>
    <row r="35" spans="1:256" s="357" customFormat="1" x14ac:dyDescent="0.35">
      <c r="A35" s="243">
        <v>36</v>
      </c>
      <c r="B35" s="298" t="s">
        <v>114</v>
      </c>
      <c r="C35" s="242" t="s">
        <v>1</v>
      </c>
      <c r="D35" s="242">
        <v>8</v>
      </c>
      <c r="E35" s="397">
        <f>'Pesq Serv Eventuais'!$D$21</f>
        <v>45</v>
      </c>
      <c r="F35" s="397">
        <f t="shared" si="2"/>
        <v>360</v>
      </c>
      <c r="G35" s="397">
        <f>'Pesq Serv Eventuais'!$D$21</f>
        <v>45</v>
      </c>
      <c r="H35" s="397">
        <f t="shared" si="3"/>
        <v>360</v>
      </c>
      <c r="I35" s="398"/>
      <c r="J35" s="399" t="s">
        <v>23</v>
      </c>
      <c r="L35" s="400"/>
    </row>
    <row r="36" spans="1:256" s="357" customFormat="1" x14ac:dyDescent="0.35">
      <c r="A36" s="244">
        <v>37</v>
      </c>
      <c r="B36" s="298" t="s">
        <v>4</v>
      </c>
      <c r="C36" s="242" t="s">
        <v>1</v>
      </c>
      <c r="D36" s="242">
        <v>3</v>
      </c>
      <c r="E36" s="397">
        <f>'Pesq Serv Eventuais'!$D$24</f>
        <v>71.666666666666671</v>
      </c>
      <c r="F36" s="397">
        <f t="shared" si="2"/>
        <v>215</v>
      </c>
      <c r="G36" s="397">
        <f>'Pesq Serv Eventuais'!$D$24</f>
        <v>71.666666666666671</v>
      </c>
      <c r="H36" s="397">
        <f t="shared" si="3"/>
        <v>215</v>
      </c>
      <c r="I36" s="398"/>
      <c r="J36" s="399" t="s">
        <v>23</v>
      </c>
      <c r="L36" s="400"/>
    </row>
    <row r="37" spans="1:256" s="357" customFormat="1" x14ac:dyDescent="0.35">
      <c r="A37" s="244">
        <v>38</v>
      </c>
      <c r="B37" s="298" t="s">
        <v>3</v>
      </c>
      <c r="C37" s="242" t="s">
        <v>1</v>
      </c>
      <c r="D37" s="242">
        <v>3</v>
      </c>
      <c r="E37" s="397">
        <f>'Pesq Serv Eventuais'!$D$27</f>
        <v>78.333333333333329</v>
      </c>
      <c r="F37" s="397">
        <f t="shared" si="2"/>
        <v>235</v>
      </c>
      <c r="G37" s="397">
        <f>'Pesq Serv Eventuais'!$D$27</f>
        <v>78.333333333333329</v>
      </c>
      <c r="H37" s="397">
        <f t="shared" si="3"/>
        <v>235</v>
      </c>
      <c r="I37" s="398"/>
      <c r="J37" s="399" t="s">
        <v>23</v>
      </c>
      <c r="L37" s="400"/>
    </row>
    <row r="38" spans="1:256" s="357" customFormat="1" x14ac:dyDescent="0.35">
      <c r="A38" s="243">
        <v>39</v>
      </c>
      <c r="B38" s="298" t="s">
        <v>2</v>
      </c>
      <c r="C38" s="242" t="s">
        <v>1</v>
      </c>
      <c r="D38" s="242">
        <v>3</v>
      </c>
      <c r="E38" s="397">
        <f>'Pesq Serv Eventuais'!$D$30</f>
        <v>68.333333333333329</v>
      </c>
      <c r="F38" s="397">
        <f t="shared" si="2"/>
        <v>205</v>
      </c>
      <c r="G38" s="397">
        <f>'Pesq Serv Eventuais'!$D$30</f>
        <v>68.333333333333329</v>
      </c>
      <c r="H38" s="397">
        <f t="shared" si="3"/>
        <v>205</v>
      </c>
      <c r="I38" s="398"/>
      <c r="J38" s="399" t="s">
        <v>23</v>
      </c>
      <c r="L38" s="400"/>
    </row>
    <row r="39" spans="1:256" s="357" customFormat="1" x14ac:dyDescent="0.35">
      <c r="A39" s="244">
        <v>40</v>
      </c>
      <c r="B39" s="298" t="s">
        <v>210</v>
      </c>
      <c r="C39" s="240" t="s">
        <v>6</v>
      </c>
      <c r="D39" s="242">
        <v>10</v>
      </c>
      <c r="E39" s="397">
        <f>'Mat Serv Eventuais'!D17</f>
        <v>84.68</v>
      </c>
      <c r="F39" s="397">
        <f t="shared" si="2"/>
        <v>846.80000000000007</v>
      </c>
      <c r="G39" s="397">
        <v>96.74</v>
      </c>
      <c r="H39" s="397">
        <f t="shared" si="3"/>
        <v>967.4</v>
      </c>
      <c r="I39" s="398">
        <v>2707</v>
      </c>
      <c r="J39" s="300" t="s">
        <v>1081</v>
      </c>
      <c r="L39" s="400"/>
    </row>
    <row r="40" spans="1:256" x14ac:dyDescent="0.35">
      <c r="B40" s="301" t="s">
        <v>211</v>
      </c>
      <c r="C40" s="302"/>
      <c r="D40" s="302"/>
      <c r="E40" s="618">
        <f>SUM(F4:F39)</f>
        <v>31912.649333333331</v>
      </c>
      <c r="F40" s="618"/>
      <c r="G40" s="618" t="e">
        <f>SUM(H4:H39)</f>
        <v>#REF!</v>
      </c>
      <c r="H40" s="618"/>
      <c r="I40" s="303"/>
    </row>
    <row r="41" spans="1:256" x14ac:dyDescent="0.35">
      <c r="B41" s="304"/>
      <c r="C41" s="305" t="s">
        <v>773</v>
      </c>
      <c r="D41" s="306">
        <f>'Anexo BIV - Composição BDI'!C23</f>
        <v>0.26240159730706081</v>
      </c>
      <c r="E41" s="619">
        <f>$D$41*E40</f>
        <v>8373.9301593667751</v>
      </c>
      <c r="F41" s="619"/>
      <c r="G41" s="619" t="e">
        <f>$D$41*G40</f>
        <v>#REF!</v>
      </c>
      <c r="H41" s="619"/>
      <c r="I41" s="307"/>
    </row>
    <row r="42" spans="1:256" x14ac:dyDescent="0.35">
      <c r="B42" s="308" t="s">
        <v>762</v>
      </c>
      <c r="C42" s="309"/>
      <c r="D42" s="309"/>
      <c r="E42" s="617">
        <f>SUM(E40:F41)</f>
        <v>40286.579492700104</v>
      </c>
      <c r="F42" s="617"/>
      <c r="G42" s="617" t="e">
        <f>SUM(G40:H41)</f>
        <v>#REF!</v>
      </c>
      <c r="H42" s="617"/>
      <c r="I42" s="310"/>
    </row>
    <row r="43" spans="1:256" x14ac:dyDescent="0.35">
      <c r="B43" s="311" t="s">
        <v>151</v>
      </c>
      <c r="C43" s="312"/>
      <c r="D43" s="312"/>
      <c r="E43" s="617">
        <f>E42/12</f>
        <v>3357.2149577250088</v>
      </c>
      <c r="F43" s="617"/>
      <c r="G43" s="617" t="e">
        <f>G42/12</f>
        <v>#REF!</v>
      </c>
      <c r="H43" s="617"/>
      <c r="I43" s="313"/>
    </row>
    <row r="44" spans="1:256" x14ac:dyDescent="0.35">
      <c r="A44" s="611" t="s">
        <v>155</v>
      </c>
      <c r="B44" s="612"/>
      <c r="C44" s="612"/>
      <c r="D44" s="612"/>
      <c r="E44" s="612"/>
      <c r="F44" s="612"/>
      <c r="G44" s="612"/>
      <c r="H44" s="612"/>
      <c r="I44" s="612"/>
      <c r="J44" s="613"/>
    </row>
    <row r="45" spans="1:256" s="403" customFormat="1" ht="15" customHeight="1" x14ac:dyDescent="0.35">
      <c r="A45" s="614"/>
      <c r="B45" s="615"/>
      <c r="C45" s="615"/>
      <c r="D45" s="615"/>
      <c r="E45" s="615"/>
      <c r="F45" s="615"/>
      <c r="G45" s="615"/>
      <c r="H45" s="615"/>
      <c r="I45" s="615"/>
      <c r="J45" s="616"/>
      <c r="K45" s="401"/>
      <c r="L45" s="401"/>
      <c r="M45" s="402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  <c r="AW45" s="401"/>
      <c r="AX45" s="401"/>
      <c r="AY45" s="401"/>
      <c r="AZ45" s="401"/>
      <c r="BA45" s="401"/>
      <c r="BB45" s="401"/>
      <c r="BC45" s="401"/>
      <c r="BD45" s="401"/>
      <c r="BE45" s="401"/>
      <c r="BF45" s="401"/>
      <c r="BG45" s="401"/>
      <c r="BH45" s="401"/>
      <c r="BI45" s="401"/>
      <c r="BJ45" s="401"/>
      <c r="BK45" s="401"/>
      <c r="BL45" s="401"/>
      <c r="BM45" s="401"/>
      <c r="BN45" s="401"/>
      <c r="BO45" s="401"/>
      <c r="BP45" s="401"/>
      <c r="BQ45" s="401"/>
      <c r="BR45" s="401"/>
      <c r="BS45" s="401"/>
      <c r="BT45" s="401"/>
      <c r="BU45" s="401"/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  <c r="CM45" s="401"/>
      <c r="CN45" s="401"/>
      <c r="CO45" s="401"/>
      <c r="CP45" s="401"/>
      <c r="CQ45" s="401"/>
      <c r="CR45" s="401"/>
      <c r="CS45" s="401"/>
      <c r="CT45" s="401"/>
      <c r="CU45" s="401"/>
      <c r="CV45" s="401"/>
      <c r="CW45" s="401"/>
      <c r="CX45" s="401"/>
      <c r="CY45" s="401"/>
      <c r="CZ45" s="401"/>
      <c r="DA45" s="401"/>
      <c r="DB45" s="401"/>
      <c r="DC45" s="401"/>
      <c r="DD45" s="401"/>
      <c r="DE45" s="401"/>
      <c r="DF45" s="401"/>
      <c r="DG45" s="401"/>
      <c r="DH45" s="401"/>
      <c r="DI45" s="401"/>
      <c r="DJ45" s="401"/>
      <c r="DK45" s="401"/>
      <c r="DL45" s="401"/>
      <c r="DM45" s="401"/>
      <c r="DN45" s="401"/>
      <c r="DO45" s="401"/>
      <c r="DP45" s="401"/>
      <c r="DQ45" s="401"/>
      <c r="DR45" s="401"/>
      <c r="DS45" s="401"/>
      <c r="DT45" s="401"/>
      <c r="DU45" s="401"/>
      <c r="DV45" s="401"/>
      <c r="DW45" s="401"/>
      <c r="DX45" s="401"/>
      <c r="DY45" s="401"/>
      <c r="DZ45" s="401"/>
      <c r="EA45" s="401"/>
      <c r="EB45" s="401"/>
      <c r="EC45" s="401"/>
      <c r="ED45" s="401"/>
      <c r="EE45" s="401"/>
      <c r="EF45" s="401"/>
      <c r="EG45" s="401"/>
      <c r="EH45" s="401"/>
      <c r="EI45" s="401"/>
      <c r="EJ45" s="401"/>
      <c r="EK45" s="401"/>
      <c r="EL45" s="401"/>
      <c r="EM45" s="401"/>
      <c r="EN45" s="401"/>
      <c r="EO45" s="401"/>
      <c r="EP45" s="401"/>
      <c r="EQ45" s="401"/>
      <c r="ER45" s="401"/>
      <c r="ES45" s="401"/>
      <c r="ET45" s="401"/>
      <c r="EU45" s="401"/>
      <c r="EV45" s="401"/>
      <c r="EW45" s="401"/>
      <c r="EX45" s="401"/>
      <c r="EY45" s="401"/>
      <c r="EZ45" s="401"/>
      <c r="FA45" s="401"/>
      <c r="FB45" s="401"/>
      <c r="FC45" s="401"/>
      <c r="FD45" s="401"/>
      <c r="FE45" s="401"/>
      <c r="FF45" s="401"/>
      <c r="FG45" s="401"/>
      <c r="FH45" s="401"/>
      <c r="FI45" s="401"/>
      <c r="FJ45" s="401"/>
      <c r="FK45" s="401"/>
      <c r="FL45" s="401"/>
      <c r="FM45" s="401"/>
      <c r="FN45" s="401"/>
      <c r="FO45" s="401"/>
      <c r="FP45" s="401"/>
      <c r="FQ45" s="401"/>
      <c r="FR45" s="401"/>
      <c r="FS45" s="401"/>
      <c r="FT45" s="401"/>
      <c r="FU45" s="401"/>
      <c r="FV45" s="401"/>
      <c r="FW45" s="401"/>
      <c r="FX45" s="401"/>
      <c r="FY45" s="401"/>
      <c r="FZ45" s="401"/>
      <c r="GA45" s="401"/>
      <c r="GB45" s="401"/>
      <c r="GC45" s="401"/>
      <c r="GD45" s="401"/>
      <c r="GE45" s="401"/>
      <c r="GF45" s="401"/>
      <c r="GG45" s="401"/>
      <c r="GH45" s="401"/>
      <c r="GI45" s="401"/>
      <c r="GJ45" s="401"/>
      <c r="GK45" s="401"/>
      <c r="GL45" s="401"/>
      <c r="GM45" s="401"/>
      <c r="GN45" s="401"/>
      <c r="GO45" s="401"/>
      <c r="GP45" s="401"/>
      <c r="GQ45" s="401"/>
      <c r="GR45" s="401"/>
      <c r="GS45" s="401"/>
      <c r="GT45" s="401"/>
      <c r="GU45" s="401"/>
      <c r="GV45" s="401"/>
      <c r="GW45" s="401"/>
      <c r="GX45" s="401"/>
      <c r="GY45" s="401"/>
      <c r="GZ45" s="401"/>
      <c r="HA45" s="401"/>
      <c r="HB45" s="401"/>
      <c r="HC45" s="401"/>
      <c r="HD45" s="401"/>
      <c r="HE45" s="401"/>
      <c r="HF45" s="401"/>
      <c r="HG45" s="401"/>
      <c r="HH45" s="401"/>
      <c r="HI45" s="401"/>
      <c r="HJ45" s="401"/>
      <c r="HK45" s="401"/>
      <c r="HL45" s="401"/>
      <c r="HM45" s="401"/>
      <c r="HN45" s="401"/>
      <c r="HO45" s="401"/>
      <c r="HP45" s="401"/>
      <c r="HQ45" s="401"/>
      <c r="HR45" s="401"/>
      <c r="HS45" s="401"/>
      <c r="HT45" s="401"/>
      <c r="HU45" s="401"/>
      <c r="HV45" s="401"/>
      <c r="HW45" s="401"/>
      <c r="HX45" s="401"/>
      <c r="HY45" s="401"/>
      <c r="HZ45" s="401"/>
      <c r="IA45" s="401"/>
      <c r="IB45" s="401"/>
      <c r="IC45" s="401"/>
      <c r="ID45" s="401"/>
      <c r="IE45" s="401"/>
      <c r="IF45" s="401"/>
      <c r="IG45" s="401"/>
      <c r="IH45" s="401"/>
      <c r="II45" s="401"/>
      <c r="IJ45" s="401"/>
      <c r="IK45" s="401"/>
      <c r="IL45" s="401"/>
      <c r="IM45" s="401"/>
      <c r="IN45" s="401"/>
      <c r="IO45" s="401"/>
      <c r="IP45" s="401"/>
      <c r="IQ45" s="401"/>
      <c r="IR45" s="401"/>
      <c r="IS45" s="401"/>
      <c r="IT45" s="401"/>
      <c r="IU45" s="401"/>
      <c r="IV45" s="401"/>
    </row>
    <row r="46" spans="1:256" s="403" customFormat="1" ht="25.5" customHeight="1" x14ac:dyDescent="0.35">
      <c r="A46" s="590"/>
      <c r="B46" s="591"/>
      <c r="C46" s="591"/>
      <c r="D46" s="591"/>
      <c r="E46" s="591"/>
      <c r="F46" s="591"/>
      <c r="G46" s="591"/>
      <c r="H46" s="591"/>
      <c r="I46" s="591"/>
      <c r="J46" s="592"/>
      <c r="K46" s="401"/>
      <c r="L46" s="401"/>
      <c r="M46" s="402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/>
      <c r="AP46" s="401"/>
      <c r="AQ46" s="401"/>
      <c r="AR46" s="401"/>
      <c r="AS46" s="401"/>
      <c r="AT46" s="401"/>
      <c r="AU46" s="401"/>
      <c r="AV46" s="401"/>
      <c r="AW46" s="401"/>
      <c r="AX46" s="401"/>
      <c r="AY46" s="401"/>
      <c r="AZ46" s="401"/>
      <c r="BA46" s="401"/>
      <c r="BB46" s="401"/>
      <c r="BC46" s="401"/>
      <c r="BD46" s="401"/>
      <c r="BE46" s="401"/>
      <c r="BF46" s="401"/>
      <c r="BG46" s="401"/>
      <c r="BH46" s="401"/>
      <c r="BI46" s="401"/>
      <c r="BJ46" s="401"/>
      <c r="BK46" s="401"/>
      <c r="BL46" s="401"/>
      <c r="BM46" s="401"/>
      <c r="BN46" s="401"/>
      <c r="BO46" s="401"/>
      <c r="BP46" s="401"/>
      <c r="BQ46" s="401"/>
      <c r="BR46" s="401"/>
      <c r="BS46" s="401"/>
      <c r="BT46" s="401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  <c r="CM46" s="401"/>
      <c r="CN46" s="401"/>
      <c r="CO46" s="401"/>
      <c r="CP46" s="401"/>
      <c r="CQ46" s="401"/>
      <c r="CR46" s="401"/>
      <c r="CS46" s="401"/>
      <c r="CT46" s="401"/>
      <c r="CU46" s="401"/>
      <c r="CV46" s="401"/>
      <c r="CW46" s="401"/>
      <c r="CX46" s="401"/>
      <c r="CY46" s="401"/>
      <c r="CZ46" s="401"/>
      <c r="DA46" s="401"/>
      <c r="DB46" s="401"/>
      <c r="DC46" s="401"/>
      <c r="DD46" s="401"/>
      <c r="DE46" s="401"/>
      <c r="DF46" s="401"/>
      <c r="DG46" s="401"/>
      <c r="DH46" s="401"/>
      <c r="DI46" s="401"/>
      <c r="DJ46" s="401"/>
      <c r="DK46" s="401"/>
      <c r="DL46" s="401"/>
      <c r="DM46" s="401"/>
      <c r="DN46" s="401"/>
      <c r="DO46" s="401"/>
      <c r="DP46" s="401"/>
      <c r="DQ46" s="401"/>
      <c r="DR46" s="401"/>
      <c r="DS46" s="401"/>
      <c r="DT46" s="401"/>
      <c r="DU46" s="401"/>
      <c r="DV46" s="401"/>
      <c r="DW46" s="401"/>
      <c r="DX46" s="401"/>
      <c r="DY46" s="401"/>
      <c r="DZ46" s="401"/>
      <c r="EA46" s="401"/>
      <c r="EB46" s="401"/>
      <c r="EC46" s="401"/>
      <c r="ED46" s="401"/>
      <c r="EE46" s="401"/>
      <c r="EF46" s="401"/>
      <c r="EG46" s="401"/>
      <c r="EH46" s="401"/>
      <c r="EI46" s="401"/>
      <c r="EJ46" s="401"/>
      <c r="EK46" s="401"/>
      <c r="EL46" s="401"/>
      <c r="EM46" s="401"/>
      <c r="EN46" s="401"/>
      <c r="EO46" s="401"/>
      <c r="EP46" s="401"/>
      <c r="EQ46" s="401"/>
      <c r="ER46" s="401"/>
      <c r="ES46" s="401"/>
      <c r="ET46" s="401"/>
      <c r="EU46" s="401"/>
      <c r="EV46" s="401"/>
      <c r="EW46" s="401"/>
      <c r="EX46" s="401"/>
      <c r="EY46" s="401"/>
      <c r="EZ46" s="401"/>
      <c r="FA46" s="401"/>
      <c r="FB46" s="401"/>
      <c r="FC46" s="401"/>
      <c r="FD46" s="401"/>
      <c r="FE46" s="401"/>
      <c r="FF46" s="401"/>
      <c r="FG46" s="401"/>
      <c r="FH46" s="401"/>
      <c r="FI46" s="401"/>
      <c r="FJ46" s="401"/>
      <c r="FK46" s="401"/>
      <c r="FL46" s="401"/>
      <c r="FM46" s="401"/>
      <c r="FN46" s="401"/>
      <c r="FO46" s="401"/>
      <c r="FP46" s="401"/>
      <c r="FQ46" s="401"/>
      <c r="FR46" s="401"/>
      <c r="FS46" s="401"/>
      <c r="FT46" s="401"/>
      <c r="FU46" s="401"/>
      <c r="FV46" s="401"/>
      <c r="FW46" s="401"/>
      <c r="FX46" s="401"/>
      <c r="FY46" s="401"/>
      <c r="FZ46" s="401"/>
      <c r="GA46" s="401"/>
      <c r="GB46" s="401"/>
      <c r="GC46" s="401"/>
      <c r="GD46" s="401"/>
      <c r="GE46" s="401"/>
      <c r="GF46" s="401"/>
      <c r="GG46" s="401"/>
      <c r="GH46" s="401"/>
      <c r="GI46" s="401"/>
      <c r="GJ46" s="401"/>
      <c r="GK46" s="401"/>
      <c r="GL46" s="401"/>
      <c r="GM46" s="401"/>
      <c r="GN46" s="401"/>
      <c r="GO46" s="401"/>
      <c r="GP46" s="401"/>
      <c r="GQ46" s="401"/>
      <c r="GR46" s="401"/>
      <c r="GS46" s="401"/>
      <c r="GT46" s="401"/>
      <c r="GU46" s="401"/>
      <c r="GV46" s="401"/>
      <c r="GW46" s="401"/>
      <c r="GX46" s="401"/>
      <c r="GY46" s="401"/>
      <c r="GZ46" s="401"/>
      <c r="HA46" s="401"/>
      <c r="HB46" s="401"/>
      <c r="HC46" s="401"/>
      <c r="HD46" s="401"/>
      <c r="HE46" s="401"/>
      <c r="HF46" s="401"/>
      <c r="HG46" s="401"/>
      <c r="HH46" s="401"/>
      <c r="HI46" s="401"/>
      <c r="HJ46" s="401"/>
      <c r="HK46" s="401"/>
      <c r="HL46" s="401"/>
      <c r="HM46" s="401"/>
      <c r="HN46" s="401"/>
      <c r="HO46" s="401"/>
      <c r="HP46" s="401"/>
      <c r="HQ46" s="401"/>
      <c r="HR46" s="401"/>
      <c r="HS46" s="401"/>
      <c r="HT46" s="401"/>
      <c r="HU46" s="401"/>
      <c r="HV46" s="401"/>
      <c r="HW46" s="401"/>
      <c r="HX46" s="401"/>
      <c r="HY46" s="401"/>
      <c r="HZ46" s="401"/>
      <c r="IA46" s="401"/>
      <c r="IB46" s="401"/>
      <c r="IC46" s="401"/>
      <c r="ID46" s="401"/>
      <c r="IE46" s="401"/>
      <c r="IF46" s="401"/>
      <c r="IG46" s="401"/>
      <c r="IH46" s="401"/>
      <c r="II46" s="401"/>
      <c r="IJ46" s="401"/>
      <c r="IK46" s="401"/>
      <c r="IL46" s="401"/>
      <c r="IM46" s="401"/>
      <c r="IN46" s="401"/>
      <c r="IO46" s="401"/>
      <c r="IP46" s="401"/>
      <c r="IQ46" s="401"/>
      <c r="IR46" s="401"/>
      <c r="IS46" s="401"/>
      <c r="IT46" s="401"/>
      <c r="IU46" s="401"/>
      <c r="IV46" s="401"/>
    </row>
    <row r="47" spans="1:256" x14ac:dyDescent="0.35">
      <c r="B47" s="363" t="s">
        <v>164</v>
      </c>
      <c r="J47" s="405"/>
      <c r="M47" s="402"/>
    </row>
    <row r="48" spans="1:256" x14ac:dyDescent="0.35">
      <c r="B48" s="363"/>
    </row>
    <row r="49" spans="3:3" x14ac:dyDescent="0.35">
      <c r="C49" s="19"/>
    </row>
    <row r="50" spans="3:3" x14ac:dyDescent="0.35">
      <c r="C50" s="19"/>
    </row>
    <row r="51" spans="3:3" ht="17" x14ac:dyDescent="0.4">
      <c r="C51" s="279"/>
    </row>
    <row r="52" spans="3:3" ht="17" x14ac:dyDescent="0.4">
      <c r="C52" s="279"/>
    </row>
    <row r="53" spans="3:3" ht="17" x14ac:dyDescent="0.4">
      <c r="C53" s="279"/>
    </row>
    <row r="54" spans="3:3" x14ac:dyDescent="0.35">
      <c r="C54" s="19"/>
    </row>
    <row r="55" spans="3:3" x14ac:dyDescent="0.35">
      <c r="C55" s="19"/>
    </row>
    <row r="56" spans="3:3" x14ac:dyDescent="0.35">
      <c r="C56" s="19"/>
    </row>
    <row r="57" spans="3:3" x14ac:dyDescent="0.35">
      <c r="C57" s="19"/>
    </row>
    <row r="58" spans="3:3" x14ac:dyDescent="0.35">
      <c r="C58" s="19"/>
    </row>
    <row r="59" spans="3:3" x14ac:dyDescent="0.35">
      <c r="C59" s="19"/>
    </row>
    <row r="60" spans="3:3" x14ac:dyDescent="0.35">
      <c r="C60" s="19"/>
    </row>
  </sheetData>
  <mergeCells count="20">
    <mergeCell ref="G40:H40"/>
    <mergeCell ref="G41:H41"/>
    <mergeCell ref="G42:H42"/>
    <mergeCell ref="A1:J1"/>
    <mergeCell ref="E2:F2"/>
    <mergeCell ref="G2:H2"/>
    <mergeCell ref="J2:J3"/>
    <mergeCell ref="I2:I3"/>
    <mergeCell ref="D2:D3"/>
    <mergeCell ref="C2:C3"/>
    <mergeCell ref="B2:B3"/>
    <mergeCell ref="A2:A3"/>
    <mergeCell ref="E42:F42"/>
    <mergeCell ref="E41:F41"/>
    <mergeCell ref="E40:F40"/>
    <mergeCell ref="A44:J44"/>
    <mergeCell ref="A45:J45"/>
    <mergeCell ref="A46:J46"/>
    <mergeCell ref="E43:F43"/>
    <mergeCell ref="G43:H43"/>
  </mergeCells>
  <pageMargins left="1.1023622047244095" right="0.51181102362204722" top="0.78740157480314965" bottom="0.78740157480314965" header="0.31496062992125984" footer="0.31496062992125984"/>
  <pageSetup paperSize="9" scale="52" orientation="portrait" r:id="rId1"/>
  <headerFooter>
    <oddHeader>&amp;C27</oddHeader>
    <oddFooter>&amp;C27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N303"/>
  <sheetViews>
    <sheetView view="pageBreakPreview" topLeftCell="A289" zoomScale="90" zoomScaleNormal="100" zoomScaleSheetLayoutView="90" workbookViewId="0">
      <selection activeCell="R6" sqref="R6"/>
    </sheetView>
  </sheetViews>
  <sheetFormatPr defaultRowHeight="14.5" x14ac:dyDescent="0.35"/>
  <cols>
    <col min="1" max="1" width="11.453125" style="20" customWidth="1"/>
    <col min="2" max="2" width="61" style="20" customWidth="1"/>
    <col min="3" max="3" width="7" style="20" customWidth="1"/>
    <col min="4" max="4" width="8.81640625" style="20" customWidth="1"/>
    <col min="5" max="5" width="9.81640625" style="20" customWidth="1"/>
    <col min="6" max="6" width="10.453125" style="20" customWidth="1"/>
    <col min="7" max="7" width="9.1796875" style="19" hidden="1" customWidth="1"/>
    <col min="8" max="8" width="11.453125" style="20" hidden="1" customWidth="1"/>
    <col min="9" max="9" width="61" style="20" hidden="1" customWidth="1"/>
    <col min="10" max="10" width="7" style="20" hidden="1" customWidth="1"/>
    <col min="11" max="11" width="8.26953125" style="20" hidden="1" customWidth="1"/>
    <col min="12" max="12" width="6.81640625" style="20" hidden="1" customWidth="1"/>
    <col min="13" max="13" width="10.453125" style="20" hidden="1" customWidth="1"/>
    <col min="14" max="14" width="9.1796875" style="314" customWidth="1"/>
    <col min="15" max="263" width="9.1796875" style="19"/>
    <col min="264" max="264" width="5.1796875" style="19" customWidth="1"/>
    <col min="265" max="265" width="49.26953125" style="19" customWidth="1"/>
    <col min="266" max="266" width="7" style="19" customWidth="1"/>
    <col min="267" max="267" width="8.26953125" style="19" customWidth="1"/>
    <col min="268" max="268" width="5.7265625" style="19" customWidth="1"/>
    <col min="269" max="269" width="7.7265625" style="19" customWidth="1"/>
    <col min="270" max="519" width="9.1796875" style="19"/>
    <col min="520" max="520" width="5.1796875" style="19" customWidth="1"/>
    <col min="521" max="521" width="49.26953125" style="19" customWidth="1"/>
    <col min="522" max="522" width="7" style="19" customWidth="1"/>
    <col min="523" max="523" width="8.26953125" style="19" customWidth="1"/>
    <col min="524" max="524" width="5.7265625" style="19" customWidth="1"/>
    <col min="525" max="525" width="7.7265625" style="19" customWidth="1"/>
    <col min="526" max="775" width="9.1796875" style="19"/>
    <col min="776" max="776" width="5.1796875" style="19" customWidth="1"/>
    <col min="777" max="777" width="49.26953125" style="19" customWidth="1"/>
    <col min="778" max="778" width="7" style="19" customWidth="1"/>
    <col min="779" max="779" width="8.26953125" style="19" customWidth="1"/>
    <col min="780" max="780" width="5.7265625" style="19" customWidth="1"/>
    <col min="781" max="781" width="7.7265625" style="19" customWidth="1"/>
    <col min="782" max="1031" width="9.1796875" style="19"/>
    <col min="1032" max="1032" width="5.1796875" style="19" customWidth="1"/>
    <col min="1033" max="1033" width="49.26953125" style="19" customWidth="1"/>
    <col min="1034" max="1034" width="7" style="19" customWidth="1"/>
    <col min="1035" max="1035" width="8.26953125" style="19" customWidth="1"/>
    <col min="1036" max="1036" width="5.7265625" style="19" customWidth="1"/>
    <col min="1037" max="1037" width="7.7265625" style="19" customWidth="1"/>
    <col min="1038" max="1287" width="9.1796875" style="19"/>
    <col min="1288" max="1288" width="5.1796875" style="19" customWidth="1"/>
    <col min="1289" max="1289" width="49.26953125" style="19" customWidth="1"/>
    <col min="1290" max="1290" width="7" style="19" customWidth="1"/>
    <col min="1291" max="1291" width="8.26953125" style="19" customWidth="1"/>
    <col min="1292" max="1292" width="5.7265625" style="19" customWidth="1"/>
    <col min="1293" max="1293" width="7.7265625" style="19" customWidth="1"/>
    <col min="1294" max="1543" width="9.1796875" style="19"/>
    <col min="1544" max="1544" width="5.1796875" style="19" customWidth="1"/>
    <col min="1545" max="1545" width="49.26953125" style="19" customWidth="1"/>
    <col min="1546" max="1546" width="7" style="19" customWidth="1"/>
    <col min="1547" max="1547" width="8.26953125" style="19" customWidth="1"/>
    <col min="1548" max="1548" width="5.7265625" style="19" customWidth="1"/>
    <col min="1549" max="1549" width="7.7265625" style="19" customWidth="1"/>
    <col min="1550" max="1799" width="9.1796875" style="19"/>
    <col min="1800" max="1800" width="5.1796875" style="19" customWidth="1"/>
    <col min="1801" max="1801" width="49.26953125" style="19" customWidth="1"/>
    <col min="1802" max="1802" width="7" style="19" customWidth="1"/>
    <col min="1803" max="1803" width="8.26953125" style="19" customWidth="1"/>
    <col min="1804" max="1804" width="5.7265625" style="19" customWidth="1"/>
    <col min="1805" max="1805" width="7.7265625" style="19" customWidth="1"/>
    <col min="1806" max="2055" width="9.1796875" style="19"/>
    <col min="2056" max="2056" width="5.1796875" style="19" customWidth="1"/>
    <col min="2057" max="2057" width="49.26953125" style="19" customWidth="1"/>
    <col min="2058" max="2058" width="7" style="19" customWidth="1"/>
    <col min="2059" max="2059" width="8.26953125" style="19" customWidth="1"/>
    <col min="2060" max="2060" width="5.7265625" style="19" customWidth="1"/>
    <col min="2061" max="2061" width="7.7265625" style="19" customWidth="1"/>
    <col min="2062" max="2311" width="9.1796875" style="19"/>
    <col min="2312" max="2312" width="5.1796875" style="19" customWidth="1"/>
    <col min="2313" max="2313" width="49.26953125" style="19" customWidth="1"/>
    <col min="2314" max="2314" width="7" style="19" customWidth="1"/>
    <col min="2315" max="2315" width="8.26953125" style="19" customWidth="1"/>
    <col min="2316" max="2316" width="5.7265625" style="19" customWidth="1"/>
    <col min="2317" max="2317" width="7.7265625" style="19" customWidth="1"/>
    <col min="2318" max="2567" width="9.1796875" style="19"/>
    <col min="2568" max="2568" width="5.1796875" style="19" customWidth="1"/>
    <col min="2569" max="2569" width="49.26953125" style="19" customWidth="1"/>
    <col min="2570" max="2570" width="7" style="19" customWidth="1"/>
    <col min="2571" max="2571" width="8.26953125" style="19" customWidth="1"/>
    <col min="2572" max="2572" width="5.7265625" style="19" customWidth="1"/>
    <col min="2573" max="2573" width="7.7265625" style="19" customWidth="1"/>
    <col min="2574" max="2823" width="9.1796875" style="19"/>
    <col min="2824" max="2824" width="5.1796875" style="19" customWidth="1"/>
    <col min="2825" max="2825" width="49.26953125" style="19" customWidth="1"/>
    <col min="2826" max="2826" width="7" style="19" customWidth="1"/>
    <col min="2827" max="2827" width="8.26953125" style="19" customWidth="1"/>
    <col min="2828" max="2828" width="5.7265625" style="19" customWidth="1"/>
    <col min="2829" max="2829" width="7.7265625" style="19" customWidth="1"/>
    <col min="2830" max="3079" width="9.1796875" style="19"/>
    <col min="3080" max="3080" width="5.1796875" style="19" customWidth="1"/>
    <col min="3081" max="3081" width="49.26953125" style="19" customWidth="1"/>
    <col min="3082" max="3082" width="7" style="19" customWidth="1"/>
    <col min="3083" max="3083" width="8.26953125" style="19" customWidth="1"/>
    <col min="3084" max="3084" width="5.7265625" style="19" customWidth="1"/>
    <col min="3085" max="3085" width="7.7265625" style="19" customWidth="1"/>
    <col min="3086" max="3335" width="9.1796875" style="19"/>
    <col min="3336" max="3336" width="5.1796875" style="19" customWidth="1"/>
    <col min="3337" max="3337" width="49.26953125" style="19" customWidth="1"/>
    <col min="3338" max="3338" width="7" style="19" customWidth="1"/>
    <col min="3339" max="3339" width="8.26953125" style="19" customWidth="1"/>
    <col min="3340" max="3340" width="5.7265625" style="19" customWidth="1"/>
    <col min="3341" max="3341" width="7.7265625" style="19" customWidth="1"/>
    <col min="3342" max="3591" width="9.1796875" style="19"/>
    <col min="3592" max="3592" width="5.1796875" style="19" customWidth="1"/>
    <col min="3593" max="3593" width="49.26953125" style="19" customWidth="1"/>
    <col min="3594" max="3594" width="7" style="19" customWidth="1"/>
    <col min="3595" max="3595" width="8.26953125" style="19" customWidth="1"/>
    <col min="3596" max="3596" width="5.7265625" style="19" customWidth="1"/>
    <col min="3597" max="3597" width="7.7265625" style="19" customWidth="1"/>
    <col min="3598" max="3847" width="9.1796875" style="19"/>
    <col min="3848" max="3848" width="5.1796875" style="19" customWidth="1"/>
    <col min="3849" max="3849" width="49.26953125" style="19" customWidth="1"/>
    <col min="3850" max="3850" width="7" style="19" customWidth="1"/>
    <col min="3851" max="3851" width="8.26953125" style="19" customWidth="1"/>
    <col min="3852" max="3852" width="5.7265625" style="19" customWidth="1"/>
    <col min="3853" max="3853" width="7.7265625" style="19" customWidth="1"/>
    <col min="3854" max="4103" width="9.1796875" style="19"/>
    <col min="4104" max="4104" width="5.1796875" style="19" customWidth="1"/>
    <col min="4105" max="4105" width="49.26953125" style="19" customWidth="1"/>
    <col min="4106" max="4106" width="7" style="19" customWidth="1"/>
    <col min="4107" max="4107" width="8.26953125" style="19" customWidth="1"/>
    <col min="4108" max="4108" width="5.7265625" style="19" customWidth="1"/>
    <col min="4109" max="4109" width="7.7265625" style="19" customWidth="1"/>
    <col min="4110" max="4359" width="9.1796875" style="19"/>
    <col min="4360" max="4360" width="5.1796875" style="19" customWidth="1"/>
    <col min="4361" max="4361" width="49.26953125" style="19" customWidth="1"/>
    <col min="4362" max="4362" width="7" style="19" customWidth="1"/>
    <col min="4363" max="4363" width="8.26953125" style="19" customWidth="1"/>
    <col min="4364" max="4364" width="5.7265625" style="19" customWidth="1"/>
    <col min="4365" max="4365" width="7.7265625" style="19" customWidth="1"/>
    <col min="4366" max="4615" width="9.1796875" style="19"/>
    <col min="4616" max="4616" width="5.1796875" style="19" customWidth="1"/>
    <col min="4617" max="4617" width="49.26953125" style="19" customWidth="1"/>
    <col min="4618" max="4618" width="7" style="19" customWidth="1"/>
    <col min="4619" max="4619" width="8.26953125" style="19" customWidth="1"/>
    <col min="4620" max="4620" width="5.7265625" style="19" customWidth="1"/>
    <col min="4621" max="4621" width="7.7265625" style="19" customWidth="1"/>
    <col min="4622" max="4871" width="9.1796875" style="19"/>
    <col min="4872" max="4872" width="5.1796875" style="19" customWidth="1"/>
    <col min="4873" max="4873" width="49.26953125" style="19" customWidth="1"/>
    <col min="4874" max="4874" width="7" style="19" customWidth="1"/>
    <col min="4875" max="4875" width="8.26953125" style="19" customWidth="1"/>
    <col min="4876" max="4876" width="5.7265625" style="19" customWidth="1"/>
    <col min="4877" max="4877" width="7.7265625" style="19" customWidth="1"/>
    <col min="4878" max="5127" width="9.1796875" style="19"/>
    <col min="5128" max="5128" width="5.1796875" style="19" customWidth="1"/>
    <col min="5129" max="5129" width="49.26953125" style="19" customWidth="1"/>
    <col min="5130" max="5130" width="7" style="19" customWidth="1"/>
    <col min="5131" max="5131" width="8.26953125" style="19" customWidth="1"/>
    <col min="5132" max="5132" width="5.7265625" style="19" customWidth="1"/>
    <col min="5133" max="5133" width="7.7265625" style="19" customWidth="1"/>
    <col min="5134" max="5383" width="9.1796875" style="19"/>
    <col min="5384" max="5384" width="5.1796875" style="19" customWidth="1"/>
    <col min="5385" max="5385" width="49.26953125" style="19" customWidth="1"/>
    <col min="5386" max="5386" width="7" style="19" customWidth="1"/>
    <col min="5387" max="5387" width="8.26953125" style="19" customWidth="1"/>
    <col min="5388" max="5388" width="5.7265625" style="19" customWidth="1"/>
    <col min="5389" max="5389" width="7.7265625" style="19" customWidth="1"/>
    <col min="5390" max="5639" width="9.1796875" style="19"/>
    <col min="5640" max="5640" width="5.1796875" style="19" customWidth="1"/>
    <col min="5641" max="5641" width="49.26953125" style="19" customWidth="1"/>
    <col min="5642" max="5642" width="7" style="19" customWidth="1"/>
    <col min="5643" max="5643" width="8.26953125" style="19" customWidth="1"/>
    <col min="5644" max="5644" width="5.7265625" style="19" customWidth="1"/>
    <col min="5645" max="5645" width="7.7265625" style="19" customWidth="1"/>
    <col min="5646" max="5895" width="9.1796875" style="19"/>
    <col min="5896" max="5896" width="5.1796875" style="19" customWidth="1"/>
    <col min="5897" max="5897" width="49.26953125" style="19" customWidth="1"/>
    <col min="5898" max="5898" width="7" style="19" customWidth="1"/>
    <col min="5899" max="5899" width="8.26953125" style="19" customWidth="1"/>
    <col min="5900" max="5900" width="5.7265625" style="19" customWidth="1"/>
    <col min="5901" max="5901" width="7.7265625" style="19" customWidth="1"/>
    <col min="5902" max="6151" width="9.1796875" style="19"/>
    <col min="6152" max="6152" width="5.1796875" style="19" customWidth="1"/>
    <col min="6153" max="6153" width="49.26953125" style="19" customWidth="1"/>
    <col min="6154" max="6154" width="7" style="19" customWidth="1"/>
    <col min="6155" max="6155" width="8.26953125" style="19" customWidth="1"/>
    <col min="6156" max="6156" width="5.7265625" style="19" customWidth="1"/>
    <col min="6157" max="6157" width="7.7265625" style="19" customWidth="1"/>
    <col min="6158" max="6407" width="9.1796875" style="19"/>
    <col min="6408" max="6408" width="5.1796875" style="19" customWidth="1"/>
    <col min="6409" max="6409" width="49.26953125" style="19" customWidth="1"/>
    <col min="6410" max="6410" width="7" style="19" customWidth="1"/>
    <col min="6411" max="6411" width="8.26953125" style="19" customWidth="1"/>
    <col min="6412" max="6412" width="5.7265625" style="19" customWidth="1"/>
    <col min="6413" max="6413" width="7.7265625" style="19" customWidth="1"/>
    <col min="6414" max="6663" width="9.1796875" style="19"/>
    <col min="6664" max="6664" width="5.1796875" style="19" customWidth="1"/>
    <col min="6665" max="6665" width="49.26953125" style="19" customWidth="1"/>
    <col min="6666" max="6666" width="7" style="19" customWidth="1"/>
    <col min="6667" max="6667" width="8.26953125" style="19" customWidth="1"/>
    <col min="6668" max="6668" width="5.7265625" style="19" customWidth="1"/>
    <col min="6669" max="6669" width="7.7265625" style="19" customWidth="1"/>
    <col min="6670" max="6919" width="9.1796875" style="19"/>
    <col min="6920" max="6920" width="5.1796875" style="19" customWidth="1"/>
    <col min="6921" max="6921" width="49.26953125" style="19" customWidth="1"/>
    <col min="6922" max="6922" width="7" style="19" customWidth="1"/>
    <col min="6923" max="6923" width="8.26953125" style="19" customWidth="1"/>
    <col min="6924" max="6924" width="5.7265625" style="19" customWidth="1"/>
    <col min="6925" max="6925" width="7.7265625" style="19" customWidth="1"/>
    <col min="6926" max="7175" width="9.1796875" style="19"/>
    <col min="7176" max="7176" width="5.1796875" style="19" customWidth="1"/>
    <col min="7177" max="7177" width="49.26953125" style="19" customWidth="1"/>
    <col min="7178" max="7178" width="7" style="19" customWidth="1"/>
    <col min="7179" max="7179" width="8.26953125" style="19" customWidth="1"/>
    <col min="7180" max="7180" width="5.7265625" style="19" customWidth="1"/>
    <col min="7181" max="7181" width="7.7265625" style="19" customWidth="1"/>
    <col min="7182" max="7431" width="9.1796875" style="19"/>
    <col min="7432" max="7432" width="5.1796875" style="19" customWidth="1"/>
    <col min="7433" max="7433" width="49.26953125" style="19" customWidth="1"/>
    <col min="7434" max="7434" width="7" style="19" customWidth="1"/>
    <col min="7435" max="7435" width="8.26953125" style="19" customWidth="1"/>
    <col min="7436" max="7436" width="5.7265625" style="19" customWidth="1"/>
    <col min="7437" max="7437" width="7.7265625" style="19" customWidth="1"/>
    <col min="7438" max="7687" width="9.1796875" style="19"/>
    <col min="7688" max="7688" width="5.1796875" style="19" customWidth="1"/>
    <col min="7689" max="7689" width="49.26953125" style="19" customWidth="1"/>
    <col min="7690" max="7690" width="7" style="19" customWidth="1"/>
    <col min="7691" max="7691" width="8.26953125" style="19" customWidth="1"/>
    <col min="7692" max="7692" width="5.7265625" style="19" customWidth="1"/>
    <col min="7693" max="7693" width="7.7265625" style="19" customWidth="1"/>
    <col min="7694" max="7943" width="9.1796875" style="19"/>
    <col min="7944" max="7944" width="5.1796875" style="19" customWidth="1"/>
    <col min="7945" max="7945" width="49.26953125" style="19" customWidth="1"/>
    <col min="7946" max="7946" width="7" style="19" customWidth="1"/>
    <col min="7947" max="7947" width="8.26953125" style="19" customWidth="1"/>
    <col min="7948" max="7948" width="5.7265625" style="19" customWidth="1"/>
    <col min="7949" max="7949" width="7.7265625" style="19" customWidth="1"/>
    <col min="7950" max="8199" width="9.1796875" style="19"/>
    <col min="8200" max="8200" width="5.1796875" style="19" customWidth="1"/>
    <col min="8201" max="8201" width="49.26953125" style="19" customWidth="1"/>
    <col min="8202" max="8202" width="7" style="19" customWidth="1"/>
    <col min="8203" max="8203" width="8.26953125" style="19" customWidth="1"/>
    <col min="8204" max="8204" width="5.7265625" style="19" customWidth="1"/>
    <col min="8205" max="8205" width="7.7265625" style="19" customWidth="1"/>
    <col min="8206" max="8455" width="9.1796875" style="19"/>
    <col min="8456" max="8456" width="5.1796875" style="19" customWidth="1"/>
    <col min="8457" max="8457" width="49.26953125" style="19" customWidth="1"/>
    <col min="8458" max="8458" width="7" style="19" customWidth="1"/>
    <col min="8459" max="8459" width="8.26953125" style="19" customWidth="1"/>
    <col min="8460" max="8460" width="5.7265625" style="19" customWidth="1"/>
    <col min="8461" max="8461" width="7.7265625" style="19" customWidth="1"/>
    <col min="8462" max="8711" width="9.1796875" style="19"/>
    <col min="8712" max="8712" width="5.1796875" style="19" customWidth="1"/>
    <col min="8713" max="8713" width="49.26953125" style="19" customWidth="1"/>
    <col min="8714" max="8714" width="7" style="19" customWidth="1"/>
    <col min="8715" max="8715" width="8.26953125" style="19" customWidth="1"/>
    <col min="8716" max="8716" width="5.7265625" style="19" customWidth="1"/>
    <col min="8717" max="8717" width="7.7265625" style="19" customWidth="1"/>
    <col min="8718" max="8967" width="9.1796875" style="19"/>
    <col min="8968" max="8968" width="5.1796875" style="19" customWidth="1"/>
    <col min="8969" max="8969" width="49.26953125" style="19" customWidth="1"/>
    <col min="8970" max="8970" width="7" style="19" customWidth="1"/>
    <col min="8971" max="8971" width="8.26953125" style="19" customWidth="1"/>
    <col min="8972" max="8972" width="5.7265625" style="19" customWidth="1"/>
    <col min="8973" max="8973" width="7.7265625" style="19" customWidth="1"/>
    <col min="8974" max="9223" width="9.1796875" style="19"/>
    <col min="9224" max="9224" width="5.1796875" style="19" customWidth="1"/>
    <col min="9225" max="9225" width="49.26953125" style="19" customWidth="1"/>
    <col min="9226" max="9226" width="7" style="19" customWidth="1"/>
    <col min="9227" max="9227" width="8.26953125" style="19" customWidth="1"/>
    <col min="9228" max="9228" width="5.7265625" style="19" customWidth="1"/>
    <col min="9229" max="9229" width="7.7265625" style="19" customWidth="1"/>
    <col min="9230" max="9479" width="9.1796875" style="19"/>
    <col min="9480" max="9480" width="5.1796875" style="19" customWidth="1"/>
    <col min="9481" max="9481" width="49.26953125" style="19" customWidth="1"/>
    <col min="9482" max="9482" width="7" style="19" customWidth="1"/>
    <col min="9483" max="9483" width="8.26953125" style="19" customWidth="1"/>
    <col min="9484" max="9484" width="5.7265625" style="19" customWidth="1"/>
    <col min="9485" max="9485" width="7.7265625" style="19" customWidth="1"/>
    <col min="9486" max="9735" width="9.1796875" style="19"/>
    <col min="9736" max="9736" width="5.1796875" style="19" customWidth="1"/>
    <col min="9737" max="9737" width="49.26953125" style="19" customWidth="1"/>
    <col min="9738" max="9738" width="7" style="19" customWidth="1"/>
    <col min="9739" max="9739" width="8.26953125" style="19" customWidth="1"/>
    <col min="9740" max="9740" width="5.7265625" style="19" customWidth="1"/>
    <col min="9741" max="9741" width="7.7265625" style="19" customWidth="1"/>
    <col min="9742" max="9991" width="9.1796875" style="19"/>
    <col min="9992" max="9992" width="5.1796875" style="19" customWidth="1"/>
    <col min="9993" max="9993" width="49.26953125" style="19" customWidth="1"/>
    <col min="9994" max="9994" width="7" style="19" customWidth="1"/>
    <col min="9995" max="9995" width="8.26953125" style="19" customWidth="1"/>
    <col min="9996" max="9996" width="5.7265625" style="19" customWidth="1"/>
    <col min="9997" max="9997" width="7.7265625" style="19" customWidth="1"/>
    <col min="9998" max="10247" width="9.1796875" style="19"/>
    <col min="10248" max="10248" width="5.1796875" style="19" customWidth="1"/>
    <col min="10249" max="10249" width="49.26953125" style="19" customWidth="1"/>
    <col min="10250" max="10250" width="7" style="19" customWidth="1"/>
    <col min="10251" max="10251" width="8.26953125" style="19" customWidth="1"/>
    <col min="10252" max="10252" width="5.7265625" style="19" customWidth="1"/>
    <col min="10253" max="10253" width="7.7265625" style="19" customWidth="1"/>
    <col min="10254" max="10503" width="9.1796875" style="19"/>
    <col min="10504" max="10504" width="5.1796875" style="19" customWidth="1"/>
    <col min="10505" max="10505" width="49.26953125" style="19" customWidth="1"/>
    <col min="10506" max="10506" width="7" style="19" customWidth="1"/>
    <col min="10507" max="10507" width="8.26953125" style="19" customWidth="1"/>
    <col min="10508" max="10508" width="5.7265625" style="19" customWidth="1"/>
    <col min="10509" max="10509" width="7.7265625" style="19" customWidth="1"/>
    <col min="10510" max="10759" width="9.1796875" style="19"/>
    <col min="10760" max="10760" width="5.1796875" style="19" customWidth="1"/>
    <col min="10761" max="10761" width="49.26953125" style="19" customWidth="1"/>
    <col min="10762" max="10762" width="7" style="19" customWidth="1"/>
    <col min="10763" max="10763" width="8.26953125" style="19" customWidth="1"/>
    <col min="10764" max="10764" width="5.7265625" style="19" customWidth="1"/>
    <col min="10765" max="10765" width="7.7265625" style="19" customWidth="1"/>
    <col min="10766" max="11015" width="9.1796875" style="19"/>
    <col min="11016" max="11016" width="5.1796875" style="19" customWidth="1"/>
    <col min="11017" max="11017" width="49.26953125" style="19" customWidth="1"/>
    <col min="11018" max="11018" width="7" style="19" customWidth="1"/>
    <col min="11019" max="11019" width="8.26953125" style="19" customWidth="1"/>
    <col min="11020" max="11020" width="5.7265625" style="19" customWidth="1"/>
    <col min="11021" max="11021" width="7.7265625" style="19" customWidth="1"/>
    <col min="11022" max="11271" width="9.1796875" style="19"/>
    <col min="11272" max="11272" width="5.1796875" style="19" customWidth="1"/>
    <col min="11273" max="11273" width="49.26953125" style="19" customWidth="1"/>
    <col min="11274" max="11274" width="7" style="19" customWidth="1"/>
    <col min="11275" max="11275" width="8.26953125" style="19" customWidth="1"/>
    <col min="11276" max="11276" width="5.7265625" style="19" customWidth="1"/>
    <col min="11277" max="11277" width="7.7265625" style="19" customWidth="1"/>
    <col min="11278" max="11527" width="9.1796875" style="19"/>
    <col min="11528" max="11528" width="5.1796875" style="19" customWidth="1"/>
    <col min="11529" max="11529" width="49.26953125" style="19" customWidth="1"/>
    <col min="11530" max="11530" width="7" style="19" customWidth="1"/>
    <col min="11531" max="11531" width="8.26953125" style="19" customWidth="1"/>
    <col min="11532" max="11532" width="5.7265625" style="19" customWidth="1"/>
    <col min="11533" max="11533" width="7.7265625" style="19" customWidth="1"/>
    <col min="11534" max="11783" width="9.1796875" style="19"/>
    <col min="11784" max="11784" width="5.1796875" style="19" customWidth="1"/>
    <col min="11785" max="11785" width="49.26953125" style="19" customWidth="1"/>
    <col min="11786" max="11786" width="7" style="19" customWidth="1"/>
    <col min="11787" max="11787" width="8.26953125" style="19" customWidth="1"/>
    <col min="11788" max="11788" width="5.7265625" style="19" customWidth="1"/>
    <col min="11789" max="11789" width="7.7265625" style="19" customWidth="1"/>
    <col min="11790" max="12039" width="9.1796875" style="19"/>
    <col min="12040" max="12040" width="5.1796875" style="19" customWidth="1"/>
    <col min="12041" max="12041" width="49.26953125" style="19" customWidth="1"/>
    <col min="12042" max="12042" width="7" style="19" customWidth="1"/>
    <col min="12043" max="12043" width="8.26953125" style="19" customWidth="1"/>
    <col min="12044" max="12044" width="5.7265625" style="19" customWidth="1"/>
    <col min="12045" max="12045" width="7.7265625" style="19" customWidth="1"/>
    <col min="12046" max="12295" width="9.1796875" style="19"/>
    <col min="12296" max="12296" width="5.1796875" style="19" customWidth="1"/>
    <col min="12297" max="12297" width="49.26953125" style="19" customWidth="1"/>
    <col min="12298" max="12298" width="7" style="19" customWidth="1"/>
    <col min="12299" max="12299" width="8.26953125" style="19" customWidth="1"/>
    <col min="12300" max="12300" width="5.7265625" style="19" customWidth="1"/>
    <col min="12301" max="12301" width="7.7265625" style="19" customWidth="1"/>
    <col min="12302" max="12551" width="9.1796875" style="19"/>
    <col min="12552" max="12552" width="5.1796875" style="19" customWidth="1"/>
    <col min="12553" max="12553" width="49.26953125" style="19" customWidth="1"/>
    <col min="12554" max="12554" width="7" style="19" customWidth="1"/>
    <col min="12555" max="12555" width="8.26953125" style="19" customWidth="1"/>
    <col min="12556" max="12556" width="5.7265625" style="19" customWidth="1"/>
    <col min="12557" max="12557" width="7.7265625" style="19" customWidth="1"/>
    <col min="12558" max="12807" width="9.1796875" style="19"/>
    <col min="12808" max="12808" width="5.1796875" style="19" customWidth="1"/>
    <col min="12809" max="12809" width="49.26953125" style="19" customWidth="1"/>
    <col min="12810" max="12810" width="7" style="19" customWidth="1"/>
    <col min="12811" max="12811" width="8.26953125" style="19" customWidth="1"/>
    <col min="12812" max="12812" width="5.7265625" style="19" customWidth="1"/>
    <col min="12813" max="12813" width="7.7265625" style="19" customWidth="1"/>
    <col min="12814" max="13063" width="9.1796875" style="19"/>
    <col min="13064" max="13064" width="5.1796875" style="19" customWidth="1"/>
    <col min="13065" max="13065" width="49.26953125" style="19" customWidth="1"/>
    <col min="13066" max="13066" width="7" style="19" customWidth="1"/>
    <col min="13067" max="13067" width="8.26953125" style="19" customWidth="1"/>
    <col min="13068" max="13068" width="5.7265625" style="19" customWidth="1"/>
    <col min="13069" max="13069" width="7.7265625" style="19" customWidth="1"/>
    <col min="13070" max="13319" width="9.1796875" style="19"/>
    <col min="13320" max="13320" width="5.1796875" style="19" customWidth="1"/>
    <col min="13321" max="13321" width="49.26953125" style="19" customWidth="1"/>
    <col min="13322" max="13322" width="7" style="19" customWidth="1"/>
    <col min="13323" max="13323" width="8.26953125" style="19" customWidth="1"/>
    <col min="13324" max="13324" width="5.7265625" style="19" customWidth="1"/>
    <col min="13325" max="13325" width="7.7265625" style="19" customWidth="1"/>
    <col min="13326" max="13575" width="9.1796875" style="19"/>
    <col min="13576" max="13576" width="5.1796875" style="19" customWidth="1"/>
    <col min="13577" max="13577" width="49.26953125" style="19" customWidth="1"/>
    <col min="13578" max="13578" width="7" style="19" customWidth="1"/>
    <col min="13579" max="13579" width="8.26953125" style="19" customWidth="1"/>
    <col min="13580" max="13580" width="5.7265625" style="19" customWidth="1"/>
    <col min="13581" max="13581" width="7.7265625" style="19" customWidth="1"/>
    <col min="13582" max="13831" width="9.1796875" style="19"/>
    <col min="13832" max="13832" width="5.1796875" style="19" customWidth="1"/>
    <col min="13833" max="13833" width="49.26953125" style="19" customWidth="1"/>
    <col min="13834" max="13834" width="7" style="19" customWidth="1"/>
    <col min="13835" max="13835" width="8.26953125" style="19" customWidth="1"/>
    <col min="13836" max="13836" width="5.7265625" style="19" customWidth="1"/>
    <col min="13837" max="13837" width="7.7265625" style="19" customWidth="1"/>
    <col min="13838" max="14087" width="9.1796875" style="19"/>
    <col min="14088" max="14088" width="5.1796875" style="19" customWidth="1"/>
    <col min="14089" max="14089" width="49.26953125" style="19" customWidth="1"/>
    <col min="14090" max="14090" width="7" style="19" customWidth="1"/>
    <col min="14091" max="14091" width="8.26953125" style="19" customWidth="1"/>
    <col min="14092" max="14092" width="5.7265625" style="19" customWidth="1"/>
    <col min="14093" max="14093" width="7.7265625" style="19" customWidth="1"/>
    <col min="14094" max="14343" width="9.1796875" style="19"/>
    <col min="14344" max="14344" width="5.1796875" style="19" customWidth="1"/>
    <col min="14345" max="14345" width="49.26953125" style="19" customWidth="1"/>
    <col min="14346" max="14346" width="7" style="19" customWidth="1"/>
    <col min="14347" max="14347" width="8.26953125" style="19" customWidth="1"/>
    <col min="14348" max="14348" width="5.7265625" style="19" customWidth="1"/>
    <col min="14349" max="14349" width="7.7265625" style="19" customWidth="1"/>
    <col min="14350" max="14599" width="9.1796875" style="19"/>
    <col min="14600" max="14600" width="5.1796875" style="19" customWidth="1"/>
    <col min="14601" max="14601" width="49.26953125" style="19" customWidth="1"/>
    <col min="14602" max="14602" width="7" style="19" customWidth="1"/>
    <col min="14603" max="14603" width="8.26953125" style="19" customWidth="1"/>
    <col min="14604" max="14604" width="5.7265625" style="19" customWidth="1"/>
    <col min="14605" max="14605" width="7.7265625" style="19" customWidth="1"/>
    <col min="14606" max="14855" width="9.1796875" style="19"/>
    <col min="14856" max="14856" width="5.1796875" style="19" customWidth="1"/>
    <col min="14857" max="14857" width="49.26953125" style="19" customWidth="1"/>
    <col min="14858" max="14858" width="7" style="19" customWidth="1"/>
    <col min="14859" max="14859" width="8.26953125" style="19" customWidth="1"/>
    <col min="14860" max="14860" width="5.7265625" style="19" customWidth="1"/>
    <col min="14861" max="14861" width="7.7265625" style="19" customWidth="1"/>
    <col min="14862" max="15111" width="9.1796875" style="19"/>
    <col min="15112" max="15112" width="5.1796875" style="19" customWidth="1"/>
    <col min="15113" max="15113" width="49.26953125" style="19" customWidth="1"/>
    <col min="15114" max="15114" width="7" style="19" customWidth="1"/>
    <col min="15115" max="15115" width="8.26953125" style="19" customWidth="1"/>
    <col min="15116" max="15116" width="5.7265625" style="19" customWidth="1"/>
    <col min="15117" max="15117" width="7.7265625" style="19" customWidth="1"/>
    <col min="15118" max="15367" width="9.1796875" style="19"/>
    <col min="15368" max="15368" width="5.1796875" style="19" customWidth="1"/>
    <col min="15369" max="15369" width="49.26953125" style="19" customWidth="1"/>
    <col min="15370" max="15370" width="7" style="19" customWidth="1"/>
    <col min="15371" max="15371" width="8.26953125" style="19" customWidth="1"/>
    <col min="15372" max="15372" width="5.7265625" style="19" customWidth="1"/>
    <col min="15373" max="15373" width="7.7265625" style="19" customWidth="1"/>
    <col min="15374" max="15623" width="9.1796875" style="19"/>
    <col min="15624" max="15624" width="5.1796875" style="19" customWidth="1"/>
    <col min="15625" max="15625" width="49.26953125" style="19" customWidth="1"/>
    <col min="15626" max="15626" width="7" style="19" customWidth="1"/>
    <col min="15627" max="15627" width="8.26953125" style="19" customWidth="1"/>
    <col min="15628" max="15628" width="5.7265625" style="19" customWidth="1"/>
    <col min="15629" max="15629" width="7.7265625" style="19" customWidth="1"/>
    <col min="15630" max="15879" width="9.1796875" style="19"/>
    <col min="15880" max="15880" width="5.1796875" style="19" customWidth="1"/>
    <col min="15881" max="15881" width="49.26953125" style="19" customWidth="1"/>
    <col min="15882" max="15882" width="7" style="19" customWidth="1"/>
    <col min="15883" max="15883" width="8.26953125" style="19" customWidth="1"/>
    <col min="15884" max="15884" width="5.7265625" style="19" customWidth="1"/>
    <col min="15885" max="15885" width="7.7265625" style="19" customWidth="1"/>
    <col min="15886" max="16135" width="9.1796875" style="19"/>
    <col min="16136" max="16136" width="5.1796875" style="19" customWidth="1"/>
    <col min="16137" max="16137" width="49.26953125" style="19" customWidth="1"/>
    <col min="16138" max="16138" width="7" style="19" customWidth="1"/>
    <col min="16139" max="16139" width="8.26953125" style="19" customWidth="1"/>
    <col min="16140" max="16140" width="5.7265625" style="19" customWidth="1"/>
    <col min="16141" max="16141" width="7.7265625" style="19" customWidth="1"/>
    <col min="16142" max="16384" width="9.1796875" style="19"/>
  </cols>
  <sheetData>
    <row r="1" spans="1:13" ht="23.5" x14ac:dyDescent="0.35">
      <c r="A1" s="628" t="s">
        <v>738</v>
      </c>
      <c r="B1" s="628"/>
      <c r="C1" s="628"/>
      <c r="D1" s="628"/>
      <c r="E1" s="628"/>
      <c r="F1" s="628"/>
      <c r="H1" s="628" t="s">
        <v>738</v>
      </c>
      <c r="I1" s="628"/>
      <c r="J1" s="628"/>
      <c r="K1" s="628"/>
      <c r="L1" s="628"/>
      <c r="M1" s="628"/>
    </row>
    <row r="2" spans="1:13" ht="6.75" customHeight="1" x14ac:dyDescent="0.35">
      <c r="A2" s="315"/>
      <c r="B2" s="315"/>
      <c r="C2" s="316"/>
      <c r="D2" s="317"/>
      <c r="E2" s="318"/>
      <c r="F2" s="316"/>
      <c r="H2" s="315"/>
      <c r="I2" s="315"/>
      <c r="J2" s="316"/>
      <c r="K2" s="317"/>
      <c r="L2" s="318"/>
      <c r="M2" s="316"/>
    </row>
    <row r="3" spans="1:13" ht="6.75" customHeight="1" x14ac:dyDescent="0.35">
      <c r="A3" s="319"/>
      <c r="B3" s="319"/>
      <c r="C3" s="320"/>
      <c r="D3" s="627"/>
      <c r="E3" s="627"/>
      <c r="F3" s="627"/>
      <c r="H3" s="319"/>
      <c r="I3" s="319"/>
      <c r="J3" s="320"/>
      <c r="K3" s="627"/>
      <c r="L3" s="627"/>
      <c r="M3" s="627"/>
    </row>
    <row r="4" spans="1:13" ht="6.75" customHeight="1" x14ac:dyDescent="0.35">
      <c r="A4" s="319"/>
      <c r="B4" s="319"/>
      <c r="C4" s="320"/>
      <c r="D4" s="627"/>
      <c r="E4" s="627"/>
      <c r="F4" s="627"/>
      <c r="H4" s="319"/>
      <c r="I4" s="319"/>
      <c r="J4" s="320"/>
      <c r="K4" s="627"/>
      <c r="L4" s="627"/>
      <c r="M4" s="627"/>
    </row>
    <row r="5" spans="1:13" ht="15" customHeight="1" x14ac:dyDescent="0.35">
      <c r="A5" s="630" t="s">
        <v>27</v>
      </c>
      <c r="B5" s="630"/>
      <c r="C5" s="630"/>
      <c r="D5" s="630"/>
      <c r="E5" s="630"/>
      <c r="F5" s="630"/>
      <c r="H5" s="630" t="s">
        <v>27</v>
      </c>
      <c r="I5" s="630"/>
      <c r="J5" s="630"/>
      <c r="K5" s="630"/>
      <c r="L5" s="630"/>
      <c r="M5" s="630"/>
    </row>
    <row r="6" spans="1:13" x14ac:dyDescent="0.35">
      <c r="A6" s="321" t="s">
        <v>13</v>
      </c>
      <c r="B6" s="321" t="s">
        <v>14</v>
      </c>
      <c r="C6" s="321" t="s">
        <v>15</v>
      </c>
      <c r="D6" s="321" t="s">
        <v>16</v>
      </c>
      <c r="E6" s="321" t="s">
        <v>24</v>
      </c>
      <c r="F6" s="321" t="s">
        <v>17</v>
      </c>
      <c r="H6" s="321" t="s">
        <v>13</v>
      </c>
      <c r="I6" s="321" t="s">
        <v>14</v>
      </c>
      <c r="J6" s="321" t="s">
        <v>15</v>
      </c>
      <c r="K6" s="321" t="s">
        <v>16</v>
      </c>
      <c r="L6" s="321" t="s">
        <v>24</v>
      </c>
      <c r="M6" s="321" t="s">
        <v>17</v>
      </c>
    </row>
    <row r="7" spans="1:13" x14ac:dyDescent="0.35">
      <c r="A7" s="322">
        <v>247</v>
      </c>
      <c r="B7" s="323" t="s">
        <v>191</v>
      </c>
      <c r="C7" s="322" t="s">
        <v>6</v>
      </c>
      <c r="D7" s="322">
        <v>0.21</v>
      </c>
      <c r="E7" s="324">
        <f>'Mat Serv Eventuais'!D6</f>
        <v>9.4499999999999993</v>
      </c>
      <c r="F7" s="325">
        <f>ROUND(D7*E7,2)</f>
        <v>1.98</v>
      </c>
      <c r="H7" s="322">
        <v>247</v>
      </c>
      <c r="I7" s="323" t="s">
        <v>191</v>
      </c>
      <c r="J7" s="322" t="s">
        <v>6</v>
      </c>
      <c r="K7" s="322">
        <v>0.21</v>
      </c>
      <c r="L7" s="324">
        <f>'Mat Serv Eventuais'!E6</f>
        <v>0</v>
      </c>
      <c r="M7" s="325">
        <f>ROUND(K7*L7,2)</f>
        <v>0</v>
      </c>
    </row>
    <row r="8" spans="1:13" x14ac:dyDescent="0.35">
      <c r="A8" s="322">
        <v>2436</v>
      </c>
      <c r="B8" s="323" t="s">
        <v>25</v>
      </c>
      <c r="C8" s="322" t="s">
        <v>6</v>
      </c>
      <c r="D8" s="322">
        <v>0.21</v>
      </c>
      <c r="E8" s="324">
        <f>'Mat Serv Eventuais'!D7</f>
        <v>13.45</v>
      </c>
      <c r="F8" s="325">
        <f>ROUND(D8*E8,2)</f>
        <v>2.82</v>
      </c>
      <c r="H8" s="322">
        <v>2436</v>
      </c>
      <c r="I8" s="323" t="s">
        <v>25</v>
      </c>
      <c r="J8" s="322" t="s">
        <v>6</v>
      </c>
      <c r="K8" s="322">
        <v>0.21</v>
      </c>
      <c r="L8" s="324">
        <f>'Mat Serv Eventuais'!E7</f>
        <v>0</v>
      </c>
      <c r="M8" s="325">
        <f>ROUND(K8*L8,2)</f>
        <v>0</v>
      </c>
    </row>
    <row r="9" spans="1:13" x14ac:dyDescent="0.35">
      <c r="A9" s="315"/>
      <c r="B9" s="326"/>
      <c r="C9" s="631" t="s">
        <v>18</v>
      </c>
      <c r="D9" s="631"/>
      <c r="E9" s="632">
        <f>SUM(F7:F8)</f>
        <v>4.8</v>
      </c>
      <c r="F9" s="632"/>
      <c r="H9" s="315"/>
      <c r="I9" s="326"/>
      <c r="J9" s="631" t="s">
        <v>18</v>
      </c>
      <c r="K9" s="631"/>
      <c r="L9" s="632">
        <f>SUM(M7:M8)</f>
        <v>0</v>
      </c>
      <c r="M9" s="632"/>
    </row>
    <row r="10" spans="1:13" x14ac:dyDescent="0.35">
      <c r="A10" s="321" t="s">
        <v>13</v>
      </c>
      <c r="B10" s="321" t="s">
        <v>19</v>
      </c>
      <c r="C10" s="321" t="s">
        <v>15</v>
      </c>
      <c r="D10" s="321" t="s">
        <v>16</v>
      </c>
      <c r="E10" s="321" t="s">
        <v>24</v>
      </c>
      <c r="F10" s="321" t="s">
        <v>17</v>
      </c>
      <c r="H10" s="321" t="s">
        <v>13</v>
      </c>
      <c r="I10" s="321" t="s">
        <v>19</v>
      </c>
      <c r="J10" s="321" t="s">
        <v>15</v>
      </c>
      <c r="K10" s="321" t="s">
        <v>16</v>
      </c>
      <c r="L10" s="321" t="s">
        <v>24</v>
      </c>
      <c r="M10" s="321" t="s">
        <v>17</v>
      </c>
    </row>
    <row r="11" spans="1:13" ht="24" x14ac:dyDescent="0.35">
      <c r="A11" s="322">
        <v>987</v>
      </c>
      <c r="B11" s="327" t="s">
        <v>28</v>
      </c>
      <c r="C11" s="322" t="s">
        <v>0</v>
      </c>
      <c r="D11" s="322">
        <v>1.02</v>
      </c>
      <c r="E11" s="324">
        <f>'Mat Serv Eventuais'!D19</f>
        <v>27.39</v>
      </c>
      <c r="F11" s="325">
        <f>ROUND(D11*E11,2)</f>
        <v>27.94</v>
      </c>
      <c r="H11" s="322">
        <v>987</v>
      </c>
      <c r="I11" s="327" t="s">
        <v>28</v>
      </c>
      <c r="J11" s="322" t="s">
        <v>0</v>
      </c>
      <c r="K11" s="322">
        <v>1.02</v>
      </c>
      <c r="L11" s="324">
        <f>'Mat Serv Eventuais'!E19</f>
        <v>0</v>
      </c>
      <c r="M11" s="325">
        <f>ROUND(K11*L11,2)</f>
        <v>0</v>
      </c>
    </row>
    <row r="12" spans="1:13" x14ac:dyDescent="0.35">
      <c r="A12" s="320" t="s">
        <v>26</v>
      </c>
      <c r="B12" s="320"/>
      <c r="C12" s="631" t="s">
        <v>18</v>
      </c>
      <c r="D12" s="631"/>
      <c r="E12" s="632">
        <f>SUM(F11)</f>
        <v>27.94</v>
      </c>
      <c r="F12" s="632"/>
      <c r="H12" s="320" t="s">
        <v>26</v>
      </c>
      <c r="I12" s="320"/>
      <c r="J12" s="631" t="s">
        <v>18</v>
      </c>
      <c r="K12" s="631"/>
      <c r="L12" s="632">
        <f>SUM(M11)</f>
        <v>0</v>
      </c>
      <c r="M12" s="632"/>
    </row>
    <row r="13" spans="1:13" ht="22.5" customHeight="1" x14ac:dyDescent="0.35">
      <c r="A13" s="629" t="s">
        <v>1074</v>
      </c>
      <c r="B13" s="629"/>
      <c r="C13" s="328" t="s">
        <v>21</v>
      </c>
      <c r="D13" s="329"/>
      <c r="E13" s="330"/>
      <c r="F13" s="331">
        <f>SUM(E9,E12)</f>
        <v>32.74</v>
      </c>
      <c r="H13" s="629" t="s">
        <v>176</v>
      </c>
      <c r="I13" s="629"/>
      <c r="J13" s="328" t="s">
        <v>21</v>
      </c>
      <c r="K13" s="329"/>
      <c r="L13" s="330"/>
      <c r="M13" s="331">
        <f>SUM(L9,L12)</f>
        <v>0</v>
      </c>
    </row>
    <row r="14" spans="1:13" ht="6.75" customHeight="1" x14ac:dyDescent="0.35">
      <c r="A14" s="319"/>
      <c r="B14" s="319"/>
      <c r="C14" s="320"/>
      <c r="D14" s="627"/>
      <c r="E14" s="627"/>
      <c r="F14" s="627"/>
      <c r="H14" s="319"/>
      <c r="I14" s="319"/>
      <c r="J14" s="320"/>
      <c r="K14" s="627"/>
      <c r="L14" s="627"/>
      <c r="M14" s="627"/>
    </row>
    <row r="15" spans="1:13" ht="6" customHeight="1" x14ac:dyDescent="0.35">
      <c r="A15" s="319"/>
      <c r="B15" s="319"/>
      <c r="C15" s="320"/>
      <c r="D15" s="627"/>
      <c r="E15" s="627"/>
      <c r="F15" s="627"/>
      <c r="H15" s="319"/>
      <c r="I15" s="319"/>
      <c r="J15" s="320"/>
      <c r="K15" s="627"/>
      <c r="L15" s="627"/>
      <c r="M15" s="627"/>
    </row>
    <row r="16" spans="1:13" ht="15" customHeight="1" x14ac:dyDescent="0.35">
      <c r="A16" s="630" t="s">
        <v>29</v>
      </c>
      <c r="B16" s="630"/>
      <c r="C16" s="630"/>
      <c r="D16" s="630"/>
      <c r="E16" s="630"/>
      <c r="F16" s="630"/>
      <c r="H16" s="630" t="s">
        <v>29</v>
      </c>
      <c r="I16" s="630"/>
      <c r="J16" s="630"/>
      <c r="K16" s="630"/>
      <c r="L16" s="630"/>
      <c r="M16" s="630"/>
    </row>
    <row r="17" spans="1:13" x14ac:dyDescent="0.35">
      <c r="A17" s="321" t="s">
        <v>13</v>
      </c>
      <c r="B17" s="321" t="s">
        <v>14</v>
      </c>
      <c r="C17" s="321" t="s">
        <v>15</v>
      </c>
      <c r="D17" s="321" t="s">
        <v>16</v>
      </c>
      <c r="E17" s="321" t="s">
        <v>24</v>
      </c>
      <c r="F17" s="321" t="s">
        <v>17</v>
      </c>
      <c r="H17" s="321" t="s">
        <v>13</v>
      </c>
      <c r="I17" s="321" t="s">
        <v>14</v>
      </c>
      <c r="J17" s="321" t="s">
        <v>15</v>
      </c>
      <c r="K17" s="321" t="s">
        <v>16</v>
      </c>
      <c r="L17" s="321" t="s">
        <v>24</v>
      </c>
      <c r="M17" s="321" t="s">
        <v>17</v>
      </c>
    </row>
    <row r="18" spans="1:13" x14ac:dyDescent="0.35">
      <c r="A18" s="322">
        <v>247</v>
      </c>
      <c r="B18" s="323" t="s">
        <v>191</v>
      </c>
      <c r="C18" s="322" t="s">
        <v>6</v>
      </c>
      <c r="D18" s="322">
        <v>0.46</v>
      </c>
      <c r="E18" s="324">
        <f>'Mat Serv Eventuais'!D6</f>
        <v>9.4499999999999993</v>
      </c>
      <c r="F18" s="325">
        <f>ROUND(D18*E18,2)</f>
        <v>4.3499999999999996</v>
      </c>
      <c r="H18" s="322">
        <v>247</v>
      </c>
      <c r="I18" s="323" t="s">
        <v>191</v>
      </c>
      <c r="J18" s="322" t="s">
        <v>6</v>
      </c>
      <c r="K18" s="322">
        <v>0.46</v>
      </c>
      <c r="L18" s="324">
        <f>'Mat Serv Eventuais'!E6</f>
        <v>0</v>
      </c>
      <c r="M18" s="325">
        <f>ROUND(K18*L18,2)</f>
        <v>0</v>
      </c>
    </row>
    <row r="19" spans="1:13" x14ac:dyDescent="0.35">
      <c r="A19" s="322">
        <v>2436</v>
      </c>
      <c r="B19" s="323" t="s">
        <v>25</v>
      </c>
      <c r="C19" s="322" t="s">
        <v>6</v>
      </c>
      <c r="D19" s="322">
        <v>0.46</v>
      </c>
      <c r="E19" s="324">
        <f>'Mat Serv Eventuais'!D7</f>
        <v>13.45</v>
      </c>
      <c r="F19" s="325">
        <f>ROUND(D19*E19,2)</f>
        <v>6.19</v>
      </c>
      <c r="H19" s="322">
        <v>2436</v>
      </c>
      <c r="I19" s="323" t="s">
        <v>25</v>
      </c>
      <c r="J19" s="322" t="s">
        <v>6</v>
      </c>
      <c r="K19" s="322">
        <v>0.46</v>
      </c>
      <c r="L19" s="324">
        <f>'Mat Serv Eventuais'!E7</f>
        <v>0</v>
      </c>
      <c r="M19" s="325">
        <f>ROUND(K19*L19,2)</f>
        <v>0</v>
      </c>
    </row>
    <row r="20" spans="1:13" x14ac:dyDescent="0.35">
      <c r="A20" s="315"/>
      <c r="B20" s="326"/>
      <c r="C20" s="631" t="s">
        <v>18</v>
      </c>
      <c r="D20" s="631"/>
      <c r="E20" s="632">
        <f>SUM(F18:F19)</f>
        <v>10.54</v>
      </c>
      <c r="F20" s="632"/>
      <c r="H20" s="315"/>
      <c r="I20" s="326"/>
      <c r="J20" s="631" t="s">
        <v>18</v>
      </c>
      <c r="K20" s="631"/>
      <c r="L20" s="632">
        <f>SUM(M18:M19)</f>
        <v>0</v>
      </c>
      <c r="M20" s="632"/>
    </row>
    <row r="21" spans="1:13" x14ac:dyDescent="0.35">
      <c r="A21" s="321" t="s">
        <v>13</v>
      </c>
      <c r="B21" s="321" t="s">
        <v>19</v>
      </c>
      <c r="C21" s="321" t="s">
        <v>15</v>
      </c>
      <c r="D21" s="321" t="s">
        <v>16</v>
      </c>
      <c r="E21" s="321" t="s">
        <v>24</v>
      </c>
      <c r="F21" s="321" t="s">
        <v>17</v>
      </c>
      <c r="H21" s="321" t="s">
        <v>13</v>
      </c>
      <c r="I21" s="321" t="s">
        <v>19</v>
      </c>
      <c r="J21" s="321" t="s">
        <v>15</v>
      </c>
      <c r="K21" s="321" t="s">
        <v>16</v>
      </c>
      <c r="L21" s="321" t="s">
        <v>24</v>
      </c>
      <c r="M21" s="321" t="s">
        <v>17</v>
      </c>
    </row>
    <row r="22" spans="1:13" ht="24" x14ac:dyDescent="0.35">
      <c r="A22" s="322">
        <v>1006</v>
      </c>
      <c r="B22" s="327" t="s">
        <v>30</v>
      </c>
      <c r="C22" s="322" t="s">
        <v>0</v>
      </c>
      <c r="D22" s="322">
        <v>1.02</v>
      </c>
      <c r="E22" s="324">
        <f>'Mat Serv Eventuais'!D20</f>
        <v>92.45</v>
      </c>
      <c r="F22" s="325">
        <f>ROUND(D22*E22,2)</f>
        <v>94.3</v>
      </c>
      <c r="H22" s="322">
        <v>1006</v>
      </c>
      <c r="I22" s="327" t="s">
        <v>30</v>
      </c>
      <c r="J22" s="322" t="s">
        <v>0</v>
      </c>
      <c r="K22" s="322">
        <v>1.02</v>
      </c>
      <c r="L22" s="324">
        <f>'Mat Serv Eventuais'!E20</f>
        <v>0</v>
      </c>
      <c r="M22" s="325">
        <f>ROUND(K22*L22,2)</f>
        <v>0</v>
      </c>
    </row>
    <row r="23" spans="1:13" x14ac:dyDescent="0.35">
      <c r="A23" s="320" t="s">
        <v>26</v>
      </c>
      <c r="B23" s="320"/>
      <c r="C23" s="631" t="s">
        <v>18</v>
      </c>
      <c r="D23" s="631"/>
      <c r="E23" s="632">
        <f>SUM(F22)</f>
        <v>94.3</v>
      </c>
      <c r="F23" s="632"/>
      <c r="H23" s="320" t="s">
        <v>26</v>
      </c>
      <c r="I23" s="320"/>
      <c r="J23" s="631" t="s">
        <v>18</v>
      </c>
      <c r="K23" s="631"/>
      <c r="L23" s="632">
        <f>SUM(M22)</f>
        <v>0</v>
      </c>
      <c r="M23" s="632"/>
    </row>
    <row r="24" spans="1:13" ht="22.5" customHeight="1" x14ac:dyDescent="0.35">
      <c r="A24" s="629" t="s">
        <v>1074</v>
      </c>
      <c r="B24" s="629"/>
      <c r="C24" s="328" t="s">
        <v>21</v>
      </c>
      <c r="D24" s="329"/>
      <c r="E24" s="330"/>
      <c r="F24" s="331">
        <f>SUM(E20,E23)</f>
        <v>104.84</v>
      </c>
      <c r="H24" s="629" t="s">
        <v>176</v>
      </c>
      <c r="I24" s="629"/>
      <c r="J24" s="328" t="s">
        <v>21</v>
      </c>
      <c r="K24" s="329"/>
      <c r="L24" s="330"/>
      <c r="M24" s="331">
        <f>SUM(L20,L23)</f>
        <v>0</v>
      </c>
    </row>
    <row r="25" spans="1:13" ht="6.75" customHeight="1" x14ac:dyDescent="0.35">
      <c r="A25" s="319"/>
      <c r="B25" s="319"/>
      <c r="C25" s="320"/>
      <c r="D25" s="627"/>
      <c r="E25" s="627"/>
      <c r="F25" s="627"/>
      <c r="H25" s="319"/>
      <c r="I25" s="319"/>
      <c r="J25" s="320"/>
      <c r="K25" s="627"/>
      <c r="L25" s="627"/>
      <c r="M25" s="627"/>
    </row>
    <row r="26" spans="1:13" ht="15" customHeight="1" x14ac:dyDescent="0.35">
      <c r="A26" s="630" t="s">
        <v>31</v>
      </c>
      <c r="B26" s="630"/>
      <c r="C26" s="630"/>
      <c r="D26" s="630"/>
      <c r="E26" s="630"/>
      <c r="F26" s="630"/>
      <c r="H26" s="630" t="s">
        <v>31</v>
      </c>
      <c r="I26" s="630"/>
      <c r="J26" s="630"/>
      <c r="K26" s="630"/>
      <c r="L26" s="630"/>
      <c r="M26" s="630"/>
    </row>
    <row r="27" spans="1:13" x14ac:dyDescent="0.35">
      <c r="A27" s="321" t="s">
        <v>13</v>
      </c>
      <c r="B27" s="321" t="s">
        <v>14</v>
      </c>
      <c r="C27" s="321" t="s">
        <v>15</v>
      </c>
      <c r="D27" s="321" t="s">
        <v>16</v>
      </c>
      <c r="E27" s="321" t="s">
        <v>24</v>
      </c>
      <c r="F27" s="321" t="s">
        <v>17</v>
      </c>
      <c r="H27" s="321" t="s">
        <v>13</v>
      </c>
      <c r="I27" s="321" t="s">
        <v>14</v>
      </c>
      <c r="J27" s="321" t="s">
        <v>15</v>
      </c>
      <c r="K27" s="321" t="s">
        <v>16</v>
      </c>
      <c r="L27" s="321" t="s">
        <v>24</v>
      </c>
      <c r="M27" s="321" t="s">
        <v>17</v>
      </c>
    </row>
    <row r="28" spans="1:13" x14ac:dyDescent="0.35">
      <c r="A28" s="322">
        <v>247</v>
      </c>
      <c r="B28" s="323" t="s">
        <v>191</v>
      </c>
      <c r="C28" s="322" t="s">
        <v>6</v>
      </c>
      <c r="D28" s="322">
        <v>0.56999999999999995</v>
      </c>
      <c r="E28" s="324">
        <f>'Mat Serv Eventuais'!D6</f>
        <v>9.4499999999999993</v>
      </c>
      <c r="F28" s="325">
        <f>ROUND(D28*E28,2)</f>
        <v>5.39</v>
      </c>
      <c r="H28" s="322">
        <v>247</v>
      </c>
      <c r="I28" s="323" t="s">
        <v>191</v>
      </c>
      <c r="J28" s="322" t="s">
        <v>6</v>
      </c>
      <c r="K28" s="322">
        <v>0.56999999999999995</v>
      </c>
      <c r="L28" s="324">
        <f>'Mat Serv Eventuais'!E6</f>
        <v>0</v>
      </c>
      <c r="M28" s="325">
        <f>ROUND(K28*L28,2)</f>
        <v>0</v>
      </c>
    </row>
    <row r="29" spans="1:13" x14ac:dyDescent="0.35">
      <c r="A29" s="322">
        <v>2436</v>
      </c>
      <c r="B29" s="323" t="s">
        <v>25</v>
      </c>
      <c r="C29" s="322" t="s">
        <v>6</v>
      </c>
      <c r="D29" s="322">
        <v>0.56999999999999995</v>
      </c>
      <c r="E29" s="324">
        <f>'Mat Serv Eventuais'!D7</f>
        <v>13.45</v>
      </c>
      <c r="F29" s="325">
        <f>ROUND(D29*E29,2)</f>
        <v>7.67</v>
      </c>
      <c r="H29" s="322">
        <v>2436</v>
      </c>
      <c r="I29" s="323" t="s">
        <v>25</v>
      </c>
      <c r="J29" s="322" t="s">
        <v>6</v>
      </c>
      <c r="K29" s="322">
        <v>0.56999999999999995</v>
      </c>
      <c r="L29" s="324">
        <f>'Mat Serv Eventuais'!E7</f>
        <v>0</v>
      </c>
      <c r="M29" s="325">
        <f>ROUND(K29*L29,2)</f>
        <v>0</v>
      </c>
    </row>
    <row r="30" spans="1:13" x14ac:dyDescent="0.35">
      <c r="A30" s="315"/>
      <c r="B30" s="326"/>
      <c r="C30" s="631" t="s">
        <v>18</v>
      </c>
      <c r="D30" s="631"/>
      <c r="E30" s="632">
        <f>SUM(F28:F29)</f>
        <v>13.059999999999999</v>
      </c>
      <c r="F30" s="632"/>
      <c r="H30" s="315"/>
      <c r="I30" s="326"/>
      <c r="J30" s="631" t="s">
        <v>18</v>
      </c>
      <c r="K30" s="631"/>
      <c r="L30" s="632">
        <f>SUM(M28:M29)</f>
        <v>0</v>
      </c>
      <c r="M30" s="632"/>
    </row>
    <row r="31" spans="1:13" x14ac:dyDescent="0.35">
      <c r="A31" s="321" t="s">
        <v>13</v>
      </c>
      <c r="B31" s="321" t="s">
        <v>19</v>
      </c>
      <c r="C31" s="321" t="s">
        <v>15</v>
      </c>
      <c r="D31" s="321" t="s">
        <v>16</v>
      </c>
      <c r="E31" s="321" t="s">
        <v>24</v>
      </c>
      <c r="F31" s="321" t="s">
        <v>17</v>
      </c>
      <c r="H31" s="321" t="s">
        <v>13</v>
      </c>
      <c r="I31" s="321" t="s">
        <v>19</v>
      </c>
      <c r="J31" s="321" t="s">
        <v>15</v>
      </c>
      <c r="K31" s="321" t="s">
        <v>16</v>
      </c>
      <c r="L31" s="321" t="s">
        <v>24</v>
      </c>
      <c r="M31" s="321" t="s">
        <v>17</v>
      </c>
    </row>
    <row r="32" spans="1:13" ht="24" x14ac:dyDescent="0.35">
      <c r="A32" s="322">
        <v>990</v>
      </c>
      <c r="B32" s="327" t="s">
        <v>32</v>
      </c>
      <c r="C32" s="322" t="s">
        <v>0</v>
      </c>
      <c r="D32" s="322">
        <v>1.02</v>
      </c>
      <c r="E32" s="324">
        <f>'Mat Serv Eventuais'!D21</f>
        <v>115.37</v>
      </c>
      <c r="F32" s="325">
        <f>ROUND(D32*E32,2)</f>
        <v>117.68</v>
      </c>
      <c r="H32" s="322">
        <v>990</v>
      </c>
      <c r="I32" s="327" t="s">
        <v>32</v>
      </c>
      <c r="J32" s="322" t="s">
        <v>0</v>
      </c>
      <c r="K32" s="322">
        <v>1.02</v>
      </c>
      <c r="L32" s="324">
        <f>'Mat Serv Eventuais'!E21</f>
        <v>0</v>
      </c>
      <c r="M32" s="325">
        <f>ROUND(K32*L32,2)</f>
        <v>0</v>
      </c>
    </row>
    <row r="33" spans="1:13" x14ac:dyDescent="0.35">
      <c r="A33" s="320" t="s">
        <v>26</v>
      </c>
      <c r="B33" s="320"/>
      <c r="C33" s="631" t="s">
        <v>18</v>
      </c>
      <c r="D33" s="631"/>
      <c r="E33" s="632">
        <f>SUM(F32)</f>
        <v>117.68</v>
      </c>
      <c r="F33" s="632"/>
      <c r="H33" s="320" t="s">
        <v>26</v>
      </c>
      <c r="I33" s="320"/>
      <c r="J33" s="631" t="s">
        <v>18</v>
      </c>
      <c r="K33" s="631"/>
      <c r="L33" s="632">
        <f>SUM(M32)</f>
        <v>0</v>
      </c>
      <c r="M33" s="632"/>
    </row>
    <row r="34" spans="1:13" ht="22.5" customHeight="1" x14ac:dyDescent="0.35">
      <c r="A34" s="629" t="s">
        <v>1074</v>
      </c>
      <c r="B34" s="629"/>
      <c r="C34" s="328" t="s">
        <v>21</v>
      </c>
      <c r="D34" s="329"/>
      <c r="E34" s="330"/>
      <c r="F34" s="331">
        <f>SUM(E30,E33)</f>
        <v>130.74</v>
      </c>
      <c r="H34" s="629" t="s">
        <v>176</v>
      </c>
      <c r="I34" s="629"/>
      <c r="J34" s="328" t="s">
        <v>21</v>
      </c>
      <c r="K34" s="329"/>
      <c r="L34" s="330"/>
      <c r="M34" s="331">
        <f>SUM(L30,L33)</f>
        <v>0</v>
      </c>
    </row>
    <row r="35" spans="1:13" ht="6.75" customHeight="1" x14ac:dyDescent="0.35">
      <c r="A35" s="319"/>
      <c r="B35" s="319"/>
      <c r="C35" s="320"/>
      <c r="D35" s="627"/>
      <c r="E35" s="627"/>
      <c r="F35" s="627"/>
      <c r="H35" s="319"/>
      <c r="I35" s="319"/>
      <c r="J35" s="320"/>
      <c r="K35" s="627"/>
      <c r="L35" s="627"/>
      <c r="M35" s="627"/>
    </row>
    <row r="36" spans="1:13" ht="15" customHeight="1" x14ac:dyDescent="0.35">
      <c r="A36" s="630" t="s">
        <v>33</v>
      </c>
      <c r="B36" s="630"/>
      <c r="C36" s="630"/>
      <c r="D36" s="630"/>
      <c r="E36" s="630"/>
      <c r="F36" s="630"/>
      <c r="H36" s="630" t="s">
        <v>33</v>
      </c>
      <c r="I36" s="630"/>
      <c r="J36" s="630"/>
      <c r="K36" s="630"/>
      <c r="L36" s="630"/>
      <c r="M36" s="630"/>
    </row>
    <row r="37" spans="1:13" x14ac:dyDescent="0.35">
      <c r="A37" s="321" t="s">
        <v>13</v>
      </c>
      <c r="B37" s="321" t="s">
        <v>14</v>
      </c>
      <c r="C37" s="321" t="s">
        <v>15</v>
      </c>
      <c r="D37" s="321" t="s">
        <v>16</v>
      </c>
      <c r="E37" s="321" t="s">
        <v>24</v>
      </c>
      <c r="F37" s="321" t="s">
        <v>17</v>
      </c>
      <c r="H37" s="321" t="s">
        <v>13</v>
      </c>
      <c r="I37" s="321" t="s">
        <v>14</v>
      </c>
      <c r="J37" s="321" t="s">
        <v>15</v>
      </c>
      <c r="K37" s="321" t="s">
        <v>16</v>
      </c>
      <c r="L37" s="321" t="s">
        <v>24</v>
      </c>
      <c r="M37" s="321" t="s">
        <v>17</v>
      </c>
    </row>
    <row r="38" spans="1:13" x14ac:dyDescent="0.35">
      <c r="A38" s="322">
        <v>247</v>
      </c>
      <c r="B38" s="323" t="s">
        <v>191</v>
      </c>
      <c r="C38" s="322" t="s">
        <v>6</v>
      </c>
      <c r="D38" s="322">
        <v>0.74</v>
      </c>
      <c r="E38" s="324">
        <f>'Mat Serv Eventuais'!D6</f>
        <v>9.4499999999999993</v>
      </c>
      <c r="F38" s="325">
        <f>ROUND(D38*E38,2)</f>
        <v>6.99</v>
      </c>
      <c r="H38" s="322">
        <v>247</v>
      </c>
      <c r="I38" s="323" t="s">
        <v>191</v>
      </c>
      <c r="J38" s="322" t="s">
        <v>6</v>
      </c>
      <c r="K38" s="322">
        <v>0.74</v>
      </c>
      <c r="L38" s="324">
        <f>'Mat Serv Eventuais'!E6</f>
        <v>0</v>
      </c>
      <c r="M38" s="325">
        <f>ROUND(K38*L38,2)</f>
        <v>0</v>
      </c>
    </row>
    <row r="39" spans="1:13" x14ac:dyDescent="0.35">
      <c r="A39" s="322">
        <v>2436</v>
      </c>
      <c r="B39" s="323" t="s">
        <v>25</v>
      </c>
      <c r="C39" s="322" t="s">
        <v>6</v>
      </c>
      <c r="D39" s="322">
        <v>0.74</v>
      </c>
      <c r="E39" s="324">
        <f>'Mat Serv Eventuais'!D7</f>
        <v>13.45</v>
      </c>
      <c r="F39" s="325">
        <f>ROUND(D39*E39,2)</f>
        <v>9.9499999999999993</v>
      </c>
      <c r="H39" s="322">
        <v>2436</v>
      </c>
      <c r="I39" s="323" t="s">
        <v>25</v>
      </c>
      <c r="J39" s="322" t="s">
        <v>6</v>
      </c>
      <c r="K39" s="322">
        <v>0.74</v>
      </c>
      <c r="L39" s="324">
        <f>'Mat Serv Eventuais'!E7</f>
        <v>0</v>
      </c>
      <c r="M39" s="325">
        <f>ROUND(K39*L39,2)</f>
        <v>0</v>
      </c>
    </row>
    <row r="40" spans="1:13" x14ac:dyDescent="0.35">
      <c r="A40" s="315"/>
      <c r="B40" s="326"/>
      <c r="C40" s="631" t="s">
        <v>18</v>
      </c>
      <c r="D40" s="631"/>
      <c r="E40" s="632">
        <f>SUM(F38:F39)</f>
        <v>16.939999999999998</v>
      </c>
      <c r="F40" s="632"/>
      <c r="H40" s="315"/>
      <c r="I40" s="326"/>
      <c r="J40" s="631" t="s">
        <v>18</v>
      </c>
      <c r="K40" s="631"/>
      <c r="L40" s="632">
        <f>SUM(M38:M39)</f>
        <v>0</v>
      </c>
      <c r="M40" s="632"/>
    </row>
    <row r="41" spans="1:13" x14ac:dyDescent="0.35">
      <c r="A41" s="321" t="s">
        <v>13</v>
      </c>
      <c r="B41" s="321" t="s">
        <v>19</v>
      </c>
      <c r="C41" s="321" t="s">
        <v>15</v>
      </c>
      <c r="D41" s="321" t="s">
        <v>16</v>
      </c>
      <c r="E41" s="321" t="s">
        <v>24</v>
      </c>
      <c r="F41" s="321" t="s">
        <v>17</v>
      </c>
      <c r="H41" s="321" t="s">
        <v>13</v>
      </c>
      <c r="I41" s="321" t="s">
        <v>19</v>
      </c>
      <c r="J41" s="321" t="s">
        <v>15</v>
      </c>
      <c r="K41" s="321" t="s">
        <v>16</v>
      </c>
      <c r="L41" s="321" t="s">
        <v>24</v>
      </c>
      <c r="M41" s="321" t="s">
        <v>17</v>
      </c>
    </row>
    <row r="42" spans="1:13" ht="24" x14ac:dyDescent="0.35">
      <c r="A42" s="322">
        <v>1005</v>
      </c>
      <c r="B42" s="327" t="s">
        <v>34</v>
      </c>
      <c r="C42" s="322" t="s">
        <v>0</v>
      </c>
      <c r="D42" s="322">
        <v>1.02</v>
      </c>
      <c r="E42" s="324">
        <f>'Mat Serv Eventuais'!D22</f>
        <v>141.6</v>
      </c>
      <c r="F42" s="325">
        <f>ROUND(D42*E42,2)</f>
        <v>144.43</v>
      </c>
      <c r="H42" s="322">
        <v>1005</v>
      </c>
      <c r="I42" s="327" t="s">
        <v>34</v>
      </c>
      <c r="J42" s="322" t="s">
        <v>0</v>
      </c>
      <c r="K42" s="322">
        <v>1.02</v>
      </c>
      <c r="L42" s="324">
        <f>'Mat Serv Eventuais'!E22</f>
        <v>0</v>
      </c>
      <c r="M42" s="325">
        <f>ROUND(K42*L42,2)</f>
        <v>0</v>
      </c>
    </row>
    <row r="43" spans="1:13" x14ac:dyDescent="0.35">
      <c r="A43" s="320" t="s">
        <v>26</v>
      </c>
      <c r="B43" s="320"/>
      <c r="C43" s="631" t="s">
        <v>18</v>
      </c>
      <c r="D43" s="631"/>
      <c r="E43" s="632">
        <f>SUM(F42)</f>
        <v>144.43</v>
      </c>
      <c r="F43" s="632"/>
      <c r="H43" s="320" t="s">
        <v>26</v>
      </c>
      <c r="I43" s="320"/>
      <c r="J43" s="631" t="s">
        <v>18</v>
      </c>
      <c r="K43" s="631"/>
      <c r="L43" s="632">
        <f>SUM(M42)</f>
        <v>0</v>
      </c>
      <c r="M43" s="632"/>
    </row>
    <row r="44" spans="1:13" ht="22.5" customHeight="1" x14ac:dyDescent="0.35">
      <c r="A44" s="629" t="s">
        <v>1074</v>
      </c>
      <c r="B44" s="629"/>
      <c r="C44" s="328" t="s">
        <v>21</v>
      </c>
      <c r="D44" s="329"/>
      <c r="E44" s="330"/>
      <c r="F44" s="331">
        <f>SUM(E40,E43)</f>
        <v>161.37</v>
      </c>
      <c r="H44" s="629" t="s">
        <v>176</v>
      </c>
      <c r="I44" s="629"/>
      <c r="J44" s="328" t="s">
        <v>21</v>
      </c>
      <c r="K44" s="329"/>
      <c r="L44" s="330"/>
      <c r="M44" s="331">
        <f>SUM(L40,L43)</f>
        <v>0</v>
      </c>
    </row>
    <row r="45" spans="1:13" ht="6.75" customHeight="1" x14ac:dyDescent="0.35">
      <c r="A45" s="332"/>
      <c r="B45" s="319"/>
      <c r="C45" s="332"/>
      <c r="D45" s="332"/>
      <c r="E45" s="332"/>
      <c r="F45" s="319"/>
      <c r="H45" s="332"/>
      <c r="I45" s="319"/>
      <c r="J45" s="332"/>
      <c r="K45" s="332"/>
      <c r="L45" s="332"/>
      <c r="M45" s="319"/>
    </row>
    <row r="46" spans="1:13" ht="6.75" customHeight="1" x14ac:dyDescent="0.35">
      <c r="A46" s="319"/>
      <c r="B46" s="319"/>
      <c r="C46" s="320"/>
      <c r="D46" s="627"/>
      <c r="E46" s="627"/>
      <c r="F46" s="627"/>
      <c r="H46" s="319"/>
      <c r="I46" s="319"/>
      <c r="J46" s="320"/>
      <c r="K46" s="627"/>
      <c r="L46" s="627"/>
      <c r="M46" s="627"/>
    </row>
    <row r="47" spans="1:13" ht="6.75" customHeight="1" x14ac:dyDescent="0.35">
      <c r="A47" s="319"/>
      <c r="B47" s="319"/>
      <c r="C47" s="320"/>
      <c r="D47" s="627"/>
      <c r="E47" s="627"/>
      <c r="F47" s="627"/>
      <c r="H47" s="319"/>
      <c r="I47" s="319"/>
      <c r="J47" s="320"/>
      <c r="K47" s="627"/>
      <c r="L47" s="627"/>
      <c r="M47" s="627"/>
    </row>
    <row r="48" spans="1:13" ht="24" customHeight="1" x14ac:dyDescent="0.35">
      <c r="A48" s="630" t="s">
        <v>39</v>
      </c>
      <c r="B48" s="630"/>
      <c r="C48" s="630"/>
      <c r="D48" s="630"/>
      <c r="E48" s="630"/>
      <c r="F48" s="630"/>
      <c r="H48" s="630" t="s">
        <v>39</v>
      </c>
      <c r="I48" s="630"/>
      <c r="J48" s="630"/>
      <c r="K48" s="630"/>
      <c r="L48" s="630"/>
      <c r="M48" s="630"/>
    </row>
    <row r="49" spans="1:13" x14ac:dyDescent="0.35">
      <c r="A49" s="321" t="s">
        <v>13</v>
      </c>
      <c r="B49" s="321" t="s">
        <v>14</v>
      </c>
      <c r="C49" s="321" t="s">
        <v>15</v>
      </c>
      <c r="D49" s="321" t="s">
        <v>16</v>
      </c>
      <c r="E49" s="321" t="s">
        <v>24</v>
      </c>
      <c r="F49" s="321" t="s">
        <v>17</v>
      </c>
      <c r="H49" s="321" t="s">
        <v>13</v>
      </c>
      <c r="I49" s="321" t="s">
        <v>14</v>
      </c>
      <c r="J49" s="321" t="s">
        <v>15</v>
      </c>
      <c r="K49" s="321" t="s">
        <v>16</v>
      </c>
      <c r="L49" s="321" t="s">
        <v>24</v>
      </c>
      <c r="M49" s="321" t="s">
        <v>17</v>
      </c>
    </row>
    <row r="50" spans="1:13" x14ac:dyDescent="0.35">
      <c r="A50" s="333">
        <v>4750</v>
      </c>
      <c r="B50" s="334" t="s">
        <v>40</v>
      </c>
      <c r="C50" s="335" t="s">
        <v>6</v>
      </c>
      <c r="D50" s="335">
        <v>0.9</v>
      </c>
      <c r="E50" s="324">
        <f>'Mat Serv Eventuais'!D9</f>
        <v>13.45</v>
      </c>
      <c r="F50" s="325">
        <f>ROUND(D50*E50,2)</f>
        <v>12.11</v>
      </c>
      <c r="H50" s="333">
        <v>4750</v>
      </c>
      <c r="I50" s="334" t="s">
        <v>40</v>
      </c>
      <c r="J50" s="335" t="s">
        <v>6</v>
      </c>
      <c r="K50" s="335">
        <v>0.9</v>
      </c>
      <c r="L50" s="324">
        <f>'Mat Serv Eventuais'!E9</f>
        <v>0</v>
      </c>
      <c r="M50" s="325">
        <f>ROUND(K50*L50,2)</f>
        <v>0</v>
      </c>
    </row>
    <row r="51" spans="1:13" x14ac:dyDescent="0.35">
      <c r="A51" s="333">
        <v>6127</v>
      </c>
      <c r="B51" s="336" t="s">
        <v>175</v>
      </c>
      <c r="C51" s="335" t="s">
        <v>6</v>
      </c>
      <c r="D51" s="335">
        <v>0.98</v>
      </c>
      <c r="E51" s="324">
        <f>'Mat Serv Eventuais'!D15</f>
        <v>10.130000000000001</v>
      </c>
      <c r="F51" s="325">
        <f>ROUND(D51*E51,2)</f>
        <v>9.93</v>
      </c>
      <c r="H51" s="333">
        <v>6127</v>
      </c>
      <c r="I51" s="336" t="s">
        <v>175</v>
      </c>
      <c r="J51" s="335" t="s">
        <v>6</v>
      </c>
      <c r="K51" s="335">
        <v>0.98</v>
      </c>
      <c r="L51" s="324">
        <f>'Mat Serv Eventuais'!E15</f>
        <v>0</v>
      </c>
      <c r="M51" s="325">
        <f>ROUND(K51*L51,2)</f>
        <v>0</v>
      </c>
    </row>
    <row r="52" spans="1:13" x14ac:dyDescent="0.35">
      <c r="A52" s="315"/>
      <c r="B52" s="326"/>
      <c r="C52" s="631" t="s">
        <v>18</v>
      </c>
      <c r="D52" s="631"/>
      <c r="E52" s="632">
        <f>SUM(F50:F51)</f>
        <v>22.04</v>
      </c>
      <c r="F52" s="632"/>
      <c r="H52" s="315"/>
      <c r="I52" s="326"/>
      <c r="J52" s="631" t="s">
        <v>18</v>
      </c>
      <c r="K52" s="631"/>
      <c r="L52" s="632">
        <f>SUM(M50:M51)</f>
        <v>0</v>
      </c>
      <c r="M52" s="632"/>
    </row>
    <row r="53" spans="1:13" x14ac:dyDescent="0.35">
      <c r="A53" s="321" t="s">
        <v>13</v>
      </c>
      <c r="B53" s="321" t="s">
        <v>19</v>
      </c>
      <c r="C53" s="321" t="s">
        <v>15</v>
      </c>
      <c r="D53" s="321" t="s">
        <v>16</v>
      </c>
      <c r="E53" s="321" t="s">
        <v>24</v>
      </c>
      <c r="F53" s="321" t="s">
        <v>17</v>
      </c>
      <c r="H53" s="321" t="s">
        <v>13</v>
      </c>
      <c r="I53" s="321" t="s">
        <v>19</v>
      </c>
      <c r="J53" s="321" t="s">
        <v>15</v>
      </c>
      <c r="K53" s="321" t="s">
        <v>16</v>
      </c>
      <c r="L53" s="321" t="s">
        <v>24</v>
      </c>
      <c r="M53" s="321" t="s">
        <v>17</v>
      </c>
    </row>
    <row r="54" spans="1:13" x14ac:dyDescent="0.35">
      <c r="A54" s="333">
        <v>370</v>
      </c>
      <c r="B54" s="334" t="s">
        <v>42</v>
      </c>
      <c r="C54" s="335" t="s">
        <v>7</v>
      </c>
      <c r="D54" s="335">
        <v>9.2999999999999992E-3</v>
      </c>
      <c r="E54" s="324">
        <f>'Mat Serv Eventuais'!D26</f>
        <v>87.5</v>
      </c>
      <c r="F54" s="325">
        <f>ROUND(D54*E54,2)</f>
        <v>0.81</v>
      </c>
      <c r="H54" s="333">
        <v>370</v>
      </c>
      <c r="I54" s="334" t="s">
        <v>42</v>
      </c>
      <c r="J54" s="335" t="s">
        <v>7</v>
      </c>
      <c r="K54" s="335">
        <v>9.2999999999999992E-3</v>
      </c>
      <c r="L54" s="324">
        <f>'Mat Serv Eventuais'!E26</f>
        <v>0</v>
      </c>
      <c r="M54" s="325">
        <f>ROUND(K54*L54,2)</f>
        <v>0</v>
      </c>
    </row>
    <row r="55" spans="1:13" x14ac:dyDescent="0.35">
      <c r="A55" s="333">
        <v>1379</v>
      </c>
      <c r="B55" s="334" t="s">
        <v>43</v>
      </c>
      <c r="C55" s="335" t="s">
        <v>20</v>
      </c>
      <c r="D55" s="335">
        <v>0.83</v>
      </c>
      <c r="E55" s="324">
        <f>'Mat Serv Eventuais'!D27</f>
        <v>0.64</v>
      </c>
      <c r="F55" s="325">
        <f>ROUND(D55*E55,2)</f>
        <v>0.53</v>
      </c>
      <c r="H55" s="333">
        <v>1379</v>
      </c>
      <c r="I55" s="334" t="s">
        <v>43</v>
      </c>
      <c r="J55" s="335" t="s">
        <v>20</v>
      </c>
      <c r="K55" s="335">
        <v>0.83</v>
      </c>
      <c r="L55" s="324">
        <f>'Mat Serv Eventuais'!E27</f>
        <v>0</v>
      </c>
      <c r="M55" s="325">
        <f>ROUND(K55*L55,2)</f>
        <v>0</v>
      </c>
    </row>
    <row r="56" spans="1:13" x14ac:dyDescent="0.35">
      <c r="A56" s="333">
        <v>1106</v>
      </c>
      <c r="B56" s="334" t="s">
        <v>44</v>
      </c>
      <c r="C56" s="335" t="s">
        <v>20</v>
      </c>
      <c r="D56" s="335">
        <v>1.39</v>
      </c>
      <c r="E56" s="324">
        <f>'Mat Serv Eventuais'!D28</f>
        <v>0.75</v>
      </c>
      <c r="F56" s="325">
        <f>ROUND(D56*E56,2)</f>
        <v>1.04</v>
      </c>
      <c r="H56" s="333">
        <v>1106</v>
      </c>
      <c r="I56" s="334" t="s">
        <v>44</v>
      </c>
      <c r="J56" s="335" t="s">
        <v>20</v>
      </c>
      <c r="K56" s="335">
        <v>1.39</v>
      </c>
      <c r="L56" s="324">
        <f>'Mat Serv Eventuais'!E28</f>
        <v>0</v>
      </c>
      <c r="M56" s="325">
        <f>ROUND(K56*L56,2)</f>
        <v>0</v>
      </c>
    </row>
    <row r="57" spans="1:13" x14ac:dyDescent="0.35">
      <c r="A57" s="333">
        <v>7258</v>
      </c>
      <c r="B57" s="337" t="s">
        <v>45</v>
      </c>
      <c r="C57" s="335" t="s">
        <v>1</v>
      </c>
      <c r="D57" s="335">
        <v>46</v>
      </c>
      <c r="E57" s="324">
        <f>'Mat Serv Eventuais'!D30</f>
        <v>0.47</v>
      </c>
      <c r="F57" s="325">
        <f>ROUND(D57*E57,2)</f>
        <v>21.62</v>
      </c>
      <c r="H57" s="333">
        <v>7258</v>
      </c>
      <c r="I57" s="337" t="s">
        <v>45</v>
      </c>
      <c r="J57" s="335" t="s">
        <v>1</v>
      </c>
      <c r="K57" s="335">
        <v>46</v>
      </c>
      <c r="L57" s="324">
        <f>'Mat Serv Eventuais'!E30</f>
        <v>0</v>
      </c>
      <c r="M57" s="325">
        <f>ROUND(K57*L57,2)</f>
        <v>0</v>
      </c>
    </row>
    <row r="58" spans="1:13" x14ac:dyDescent="0.35">
      <c r="A58" s="320" t="s">
        <v>46</v>
      </c>
      <c r="B58" s="320"/>
      <c r="C58" s="631" t="s">
        <v>18</v>
      </c>
      <c r="D58" s="631"/>
      <c r="E58" s="632">
        <f>SUM(F54:F57)</f>
        <v>24</v>
      </c>
      <c r="F58" s="632"/>
      <c r="H58" s="320" t="s">
        <v>46</v>
      </c>
      <c r="I58" s="320"/>
      <c r="J58" s="631" t="s">
        <v>18</v>
      </c>
      <c r="K58" s="631"/>
      <c r="L58" s="632">
        <f>SUM(M54:M57)</f>
        <v>0</v>
      </c>
      <c r="M58" s="632"/>
    </row>
    <row r="59" spans="1:13" ht="22.5" customHeight="1" x14ac:dyDescent="0.35">
      <c r="A59" s="629" t="s">
        <v>1074</v>
      </c>
      <c r="B59" s="629"/>
      <c r="C59" s="328" t="s">
        <v>47</v>
      </c>
      <c r="D59" s="329"/>
      <c r="E59" s="330"/>
      <c r="F59" s="331">
        <f>SUM(E52,E58)</f>
        <v>46.04</v>
      </c>
      <c r="H59" s="629" t="s">
        <v>176</v>
      </c>
      <c r="I59" s="629"/>
      <c r="J59" s="328" t="s">
        <v>47</v>
      </c>
      <c r="K59" s="329"/>
      <c r="L59" s="330"/>
      <c r="M59" s="331">
        <f>SUM(L52,L58)</f>
        <v>0</v>
      </c>
    </row>
    <row r="60" spans="1:13" ht="6.75" customHeight="1" x14ac:dyDescent="0.35">
      <c r="A60" s="319"/>
      <c r="B60" s="319"/>
      <c r="C60" s="320"/>
      <c r="D60" s="627"/>
      <c r="E60" s="627"/>
      <c r="F60" s="627"/>
      <c r="H60" s="319"/>
      <c r="I60" s="319"/>
      <c r="J60" s="320"/>
      <c r="K60" s="627"/>
      <c r="L60" s="627"/>
      <c r="M60" s="627"/>
    </row>
    <row r="61" spans="1:13" ht="24" customHeight="1" x14ac:dyDescent="0.35">
      <c r="A61" s="630" t="s">
        <v>48</v>
      </c>
      <c r="B61" s="630"/>
      <c r="C61" s="630"/>
      <c r="D61" s="630"/>
      <c r="E61" s="630"/>
      <c r="F61" s="630"/>
      <c r="H61" s="630" t="s">
        <v>48</v>
      </c>
      <c r="I61" s="630"/>
      <c r="J61" s="630"/>
      <c r="K61" s="630"/>
      <c r="L61" s="630"/>
      <c r="M61" s="630"/>
    </row>
    <row r="62" spans="1:13" x14ac:dyDescent="0.35">
      <c r="A62" s="321" t="s">
        <v>13</v>
      </c>
      <c r="B62" s="321" t="s">
        <v>14</v>
      </c>
      <c r="C62" s="321" t="s">
        <v>15</v>
      </c>
      <c r="D62" s="321" t="s">
        <v>16</v>
      </c>
      <c r="E62" s="321" t="s">
        <v>24</v>
      </c>
      <c r="F62" s="321" t="s">
        <v>17</v>
      </c>
      <c r="H62" s="321" t="s">
        <v>13</v>
      </c>
      <c r="I62" s="321" t="s">
        <v>14</v>
      </c>
      <c r="J62" s="321" t="s">
        <v>15</v>
      </c>
      <c r="K62" s="321" t="s">
        <v>16</v>
      </c>
      <c r="L62" s="321" t="s">
        <v>24</v>
      </c>
      <c r="M62" s="321" t="s">
        <v>17</v>
      </c>
    </row>
    <row r="63" spans="1:13" x14ac:dyDescent="0.35">
      <c r="A63" s="333">
        <v>4750</v>
      </c>
      <c r="B63" s="334" t="s">
        <v>40</v>
      </c>
      <c r="C63" s="335" t="s">
        <v>6</v>
      </c>
      <c r="D63" s="335">
        <v>1.6</v>
      </c>
      <c r="E63" s="324">
        <f>'Mat Serv Eventuais'!D9</f>
        <v>13.45</v>
      </c>
      <c r="F63" s="325">
        <f>ROUND(D63*E63,2)</f>
        <v>21.52</v>
      </c>
      <c r="H63" s="333">
        <v>4750</v>
      </c>
      <c r="I63" s="334" t="s">
        <v>40</v>
      </c>
      <c r="J63" s="335" t="s">
        <v>6</v>
      </c>
      <c r="K63" s="335">
        <v>1.6</v>
      </c>
      <c r="L63" s="324">
        <f>'Mat Serv Eventuais'!E9</f>
        <v>0</v>
      </c>
      <c r="M63" s="325">
        <f>ROUND(K63*L63,2)</f>
        <v>0</v>
      </c>
    </row>
    <row r="64" spans="1:13" x14ac:dyDescent="0.35">
      <c r="A64" s="333">
        <v>6127</v>
      </c>
      <c r="B64" s="336" t="s">
        <v>175</v>
      </c>
      <c r="C64" s="335" t="s">
        <v>6</v>
      </c>
      <c r="D64" s="335">
        <v>1.84</v>
      </c>
      <c r="E64" s="324">
        <f>'Mat Serv Eventuais'!D15</f>
        <v>10.130000000000001</v>
      </c>
      <c r="F64" s="325">
        <f>ROUND(D64*E64,2)</f>
        <v>18.64</v>
      </c>
      <c r="H64" s="333">
        <v>6127</v>
      </c>
      <c r="I64" s="336" t="s">
        <v>175</v>
      </c>
      <c r="J64" s="335" t="s">
        <v>6</v>
      </c>
      <c r="K64" s="335">
        <v>1.84</v>
      </c>
      <c r="L64" s="324">
        <f>'Mat Serv Eventuais'!E15</f>
        <v>0</v>
      </c>
      <c r="M64" s="325">
        <f>ROUND(K64*L64,2)</f>
        <v>0</v>
      </c>
    </row>
    <row r="65" spans="1:13" x14ac:dyDescent="0.35">
      <c r="A65" s="315"/>
      <c r="B65" s="326"/>
      <c r="C65" s="631" t="s">
        <v>18</v>
      </c>
      <c r="D65" s="631"/>
      <c r="E65" s="632">
        <f>SUM(F63:F64)</f>
        <v>40.159999999999997</v>
      </c>
      <c r="F65" s="632"/>
      <c r="H65" s="315"/>
      <c r="I65" s="326"/>
      <c r="J65" s="631" t="s">
        <v>18</v>
      </c>
      <c r="K65" s="631"/>
      <c r="L65" s="632">
        <f>SUM(M63:M64)</f>
        <v>0</v>
      </c>
      <c r="M65" s="632"/>
    </row>
    <row r="66" spans="1:13" x14ac:dyDescent="0.35">
      <c r="A66" s="321" t="s">
        <v>13</v>
      </c>
      <c r="B66" s="321" t="s">
        <v>19</v>
      </c>
      <c r="C66" s="321" t="s">
        <v>15</v>
      </c>
      <c r="D66" s="321" t="s">
        <v>16</v>
      </c>
      <c r="E66" s="321" t="s">
        <v>24</v>
      </c>
      <c r="F66" s="321" t="s">
        <v>17</v>
      </c>
      <c r="H66" s="321" t="s">
        <v>13</v>
      </c>
      <c r="I66" s="321" t="s">
        <v>19</v>
      </c>
      <c r="J66" s="321" t="s">
        <v>15</v>
      </c>
      <c r="K66" s="321" t="s">
        <v>16</v>
      </c>
      <c r="L66" s="321" t="s">
        <v>24</v>
      </c>
      <c r="M66" s="321" t="s">
        <v>17</v>
      </c>
    </row>
    <row r="67" spans="1:13" x14ac:dyDescent="0.35">
      <c r="A67" s="333">
        <v>370</v>
      </c>
      <c r="B67" s="334" t="s">
        <v>42</v>
      </c>
      <c r="C67" s="335" t="s">
        <v>7</v>
      </c>
      <c r="D67" s="335">
        <v>2.7900000000000001E-2</v>
      </c>
      <c r="E67" s="324">
        <f>'Mat Serv Eventuais'!D26</f>
        <v>87.5</v>
      </c>
      <c r="F67" s="325">
        <f>ROUND(D67*E67,2)</f>
        <v>2.44</v>
      </c>
      <c r="H67" s="333">
        <v>370</v>
      </c>
      <c r="I67" s="334" t="s">
        <v>42</v>
      </c>
      <c r="J67" s="335" t="s">
        <v>7</v>
      </c>
      <c r="K67" s="335">
        <v>2.7900000000000001E-2</v>
      </c>
      <c r="L67" s="324">
        <f>'Mat Serv Eventuais'!E26</f>
        <v>0</v>
      </c>
      <c r="M67" s="325">
        <f>ROUND(K67*L67,2)</f>
        <v>0</v>
      </c>
    </row>
    <row r="68" spans="1:13" x14ac:dyDescent="0.35">
      <c r="A68" s="333">
        <v>1379</v>
      </c>
      <c r="B68" s="334" t="s">
        <v>43</v>
      </c>
      <c r="C68" s="335" t="s">
        <v>20</v>
      </c>
      <c r="D68" s="335">
        <v>2.5</v>
      </c>
      <c r="E68" s="324">
        <f>'Mat Serv Eventuais'!D27</f>
        <v>0.64</v>
      </c>
      <c r="F68" s="325">
        <f>ROUND(D68*E68,2)</f>
        <v>1.6</v>
      </c>
      <c r="H68" s="333">
        <v>1379</v>
      </c>
      <c r="I68" s="334" t="s">
        <v>43</v>
      </c>
      <c r="J68" s="335" t="s">
        <v>20</v>
      </c>
      <c r="K68" s="335">
        <v>2.5</v>
      </c>
      <c r="L68" s="324">
        <f>'Mat Serv Eventuais'!E27</f>
        <v>0</v>
      </c>
      <c r="M68" s="325">
        <f>ROUND(K68*L68,2)</f>
        <v>0</v>
      </c>
    </row>
    <row r="69" spans="1:13" x14ac:dyDescent="0.35">
      <c r="A69" s="333">
        <v>1106</v>
      </c>
      <c r="B69" s="334" t="s">
        <v>44</v>
      </c>
      <c r="C69" s="335" t="s">
        <v>20</v>
      </c>
      <c r="D69" s="335">
        <v>4.17</v>
      </c>
      <c r="E69" s="324">
        <f>'Mat Serv Eventuais'!D28</f>
        <v>0.75</v>
      </c>
      <c r="F69" s="325">
        <f>ROUND(D69*E69,2)</f>
        <v>3.13</v>
      </c>
      <c r="H69" s="333">
        <v>1106</v>
      </c>
      <c r="I69" s="334" t="s">
        <v>44</v>
      </c>
      <c r="J69" s="335" t="s">
        <v>20</v>
      </c>
      <c r="K69" s="335">
        <v>4.17</v>
      </c>
      <c r="L69" s="324">
        <f>'Mat Serv Eventuais'!E28</f>
        <v>0</v>
      </c>
      <c r="M69" s="325">
        <f>ROUND(K69*L69,2)</f>
        <v>0</v>
      </c>
    </row>
    <row r="70" spans="1:13" x14ac:dyDescent="0.35">
      <c r="A70" s="333">
        <v>7258</v>
      </c>
      <c r="B70" s="337" t="s">
        <v>45</v>
      </c>
      <c r="C70" s="335" t="s">
        <v>1</v>
      </c>
      <c r="D70" s="335">
        <v>84</v>
      </c>
      <c r="E70" s="324">
        <f>'Mat Serv Eventuais'!D30</f>
        <v>0.47</v>
      </c>
      <c r="F70" s="325">
        <f>ROUND(D70*E70,2)</f>
        <v>39.479999999999997</v>
      </c>
      <c r="H70" s="333">
        <v>7258</v>
      </c>
      <c r="I70" s="337" t="s">
        <v>45</v>
      </c>
      <c r="J70" s="335" t="s">
        <v>1</v>
      </c>
      <c r="K70" s="335">
        <v>84</v>
      </c>
      <c r="L70" s="324">
        <f>'Mat Serv Eventuais'!E30</f>
        <v>0</v>
      </c>
      <c r="M70" s="325">
        <f>ROUND(K70*L70,2)</f>
        <v>0</v>
      </c>
    </row>
    <row r="71" spans="1:13" x14ac:dyDescent="0.35">
      <c r="A71" s="320" t="s">
        <v>46</v>
      </c>
      <c r="B71" s="320"/>
      <c r="C71" s="631" t="s">
        <v>18</v>
      </c>
      <c r="D71" s="631"/>
      <c r="E71" s="632">
        <f>SUM(F67:F70)</f>
        <v>46.65</v>
      </c>
      <c r="F71" s="632"/>
      <c r="H71" s="320" t="s">
        <v>46</v>
      </c>
      <c r="I71" s="320"/>
      <c r="J71" s="631" t="s">
        <v>18</v>
      </c>
      <c r="K71" s="631"/>
      <c r="L71" s="632">
        <f>SUM(M67:M70)</f>
        <v>0</v>
      </c>
      <c r="M71" s="632"/>
    </row>
    <row r="72" spans="1:13" ht="22.5" customHeight="1" x14ac:dyDescent="0.35">
      <c r="A72" s="629" t="s">
        <v>1074</v>
      </c>
      <c r="B72" s="629"/>
      <c r="C72" s="328" t="s">
        <v>47</v>
      </c>
      <c r="D72" s="329"/>
      <c r="E72" s="330"/>
      <c r="F72" s="331">
        <f>SUM(E65,E71)</f>
        <v>86.81</v>
      </c>
      <c r="H72" s="629" t="s">
        <v>176</v>
      </c>
      <c r="I72" s="629"/>
      <c r="J72" s="328" t="s">
        <v>47</v>
      </c>
      <c r="K72" s="329"/>
      <c r="L72" s="330"/>
      <c r="M72" s="331">
        <f>SUM(L65,L71)</f>
        <v>0</v>
      </c>
    </row>
    <row r="73" spans="1:13" ht="6.75" customHeight="1" x14ac:dyDescent="0.35">
      <c r="A73" s="319"/>
      <c r="B73" s="319"/>
      <c r="C73" s="320"/>
      <c r="D73" s="627"/>
      <c r="E73" s="627"/>
      <c r="F73" s="627"/>
      <c r="H73" s="319"/>
      <c r="I73" s="319"/>
      <c r="J73" s="320"/>
      <c r="K73" s="627"/>
      <c r="L73" s="627"/>
      <c r="M73" s="627"/>
    </row>
    <row r="74" spans="1:13" ht="15" customHeight="1" x14ac:dyDescent="0.35">
      <c r="A74" s="630" t="s">
        <v>197</v>
      </c>
      <c r="B74" s="630"/>
      <c r="C74" s="630"/>
      <c r="D74" s="630"/>
      <c r="E74" s="630"/>
      <c r="F74" s="630"/>
      <c r="H74" s="630" t="s">
        <v>197</v>
      </c>
      <c r="I74" s="630"/>
      <c r="J74" s="630"/>
      <c r="K74" s="630"/>
      <c r="L74" s="630"/>
      <c r="M74" s="630"/>
    </row>
    <row r="75" spans="1:13" x14ac:dyDescent="0.35">
      <c r="A75" s="321" t="s">
        <v>13</v>
      </c>
      <c r="B75" s="321" t="s">
        <v>14</v>
      </c>
      <c r="C75" s="321" t="s">
        <v>15</v>
      </c>
      <c r="D75" s="321" t="s">
        <v>16</v>
      </c>
      <c r="E75" s="321" t="s">
        <v>24</v>
      </c>
      <c r="F75" s="321" t="s">
        <v>17</v>
      </c>
      <c r="H75" s="321" t="s">
        <v>13</v>
      </c>
      <c r="I75" s="321" t="s">
        <v>14</v>
      </c>
      <c r="J75" s="321" t="s">
        <v>15</v>
      </c>
      <c r="K75" s="321" t="s">
        <v>16</v>
      </c>
      <c r="L75" s="321" t="s">
        <v>24</v>
      </c>
      <c r="M75" s="321" t="s">
        <v>17</v>
      </c>
    </row>
    <row r="76" spans="1:13" x14ac:dyDescent="0.35">
      <c r="A76" s="333">
        <v>4783</v>
      </c>
      <c r="B76" s="336" t="s">
        <v>49</v>
      </c>
      <c r="C76" s="335" t="s">
        <v>6</v>
      </c>
      <c r="D76" s="335">
        <v>0.5</v>
      </c>
      <c r="E76" s="324">
        <f>'Mat Serv Eventuais'!D10</f>
        <v>13.45</v>
      </c>
      <c r="F76" s="325">
        <f>ROUND(D76*E76,2)</f>
        <v>6.73</v>
      </c>
      <c r="H76" s="333">
        <v>4783</v>
      </c>
      <c r="I76" s="336" t="s">
        <v>49</v>
      </c>
      <c r="J76" s="335" t="s">
        <v>6</v>
      </c>
      <c r="K76" s="335">
        <v>0.5</v>
      </c>
      <c r="L76" s="324">
        <f>'Mat Serv Eventuais'!E10</f>
        <v>0</v>
      </c>
      <c r="M76" s="325">
        <f>ROUND(K76*L76,2)</f>
        <v>0</v>
      </c>
    </row>
    <row r="77" spans="1:13" x14ac:dyDescent="0.35">
      <c r="A77" s="333">
        <v>34466</v>
      </c>
      <c r="B77" s="336" t="s">
        <v>194</v>
      </c>
      <c r="C77" s="335" t="s">
        <v>6</v>
      </c>
      <c r="D77" s="335">
        <v>0.33</v>
      </c>
      <c r="E77" s="324">
        <f>'Mat Serv Eventuais'!D16</f>
        <v>9.69</v>
      </c>
      <c r="F77" s="325">
        <f>ROUND(D77*E77,2)</f>
        <v>3.2</v>
      </c>
      <c r="H77" s="333">
        <v>34466</v>
      </c>
      <c r="I77" s="336" t="s">
        <v>194</v>
      </c>
      <c r="J77" s="335" t="s">
        <v>6</v>
      </c>
      <c r="K77" s="335">
        <v>0.33</v>
      </c>
      <c r="L77" s="324">
        <f>'Mat Serv Eventuais'!E16</f>
        <v>0</v>
      </c>
      <c r="M77" s="325">
        <f>ROUND(K77*L77,2)</f>
        <v>0</v>
      </c>
    </row>
    <row r="78" spans="1:13" x14ac:dyDescent="0.35">
      <c r="A78" s="315"/>
      <c r="B78" s="326"/>
      <c r="C78" s="631" t="s">
        <v>18</v>
      </c>
      <c r="D78" s="631"/>
      <c r="E78" s="632">
        <f>SUM(F76:F77)</f>
        <v>9.93</v>
      </c>
      <c r="F78" s="632"/>
      <c r="H78" s="315"/>
      <c r="I78" s="326"/>
      <c r="J78" s="631" t="s">
        <v>18</v>
      </c>
      <c r="K78" s="631"/>
      <c r="L78" s="632">
        <f>SUM(M76:M77)</f>
        <v>0</v>
      </c>
      <c r="M78" s="632"/>
    </row>
    <row r="79" spans="1:13" x14ac:dyDescent="0.35">
      <c r="A79" s="321" t="s">
        <v>13</v>
      </c>
      <c r="B79" s="321" t="s">
        <v>19</v>
      </c>
      <c r="C79" s="321" t="s">
        <v>15</v>
      </c>
      <c r="D79" s="321" t="s">
        <v>16</v>
      </c>
      <c r="E79" s="321" t="s">
        <v>24</v>
      </c>
      <c r="F79" s="321" t="s">
        <v>17</v>
      </c>
      <c r="H79" s="321" t="s">
        <v>13</v>
      </c>
      <c r="I79" s="321" t="s">
        <v>19</v>
      </c>
      <c r="J79" s="321" t="s">
        <v>15</v>
      </c>
      <c r="K79" s="321" t="s">
        <v>16</v>
      </c>
      <c r="L79" s="321" t="s">
        <v>24</v>
      </c>
      <c r="M79" s="321" t="s">
        <v>17</v>
      </c>
    </row>
    <row r="80" spans="1:13" ht="27.75" customHeight="1" x14ac:dyDescent="0.35">
      <c r="A80" s="333">
        <v>38877</v>
      </c>
      <c r="B80" s="338" t="s">
        <v>195</v>
      </c>
      <c r="C80" s="335" t="s">
        <v>50</v>
      </c>
      <c r="D80" s="335">
        <v>1.3</v>
      </c>
      <c r="E80" s="324">
        <f>'Mat Serv Eventuais'!D67</f>
        <v>6.06</v>
      </c>
      <c r="F80" s="325">
        <f>ROUND(D80*E80,2)</f>
        <v>7.88</v>
      </c>
      <c r="H80" s="333">
        <v>38877</v>
      </c>
      <c r="I80" s="338" t="s">
        <v>195</v>
      </c>
      <c r="J80" s="335" t="s">
        <v>50</v>
      </c>
      <c r="K80" s="335">
        <v>1.3</v>
      </c>
      <c r="L80" s="324">
        <f>'Mat Serv Eventuais'!E67</f>
        <v>0</v>
      </c>
      <c r="M80" s="325">
        <f>ROUND(K80*L80,2)</f>
        <v>0</v>
      </c>
    </row>
    <row r="81" spans="1:13" x14ac:dyDescent="0.35">
      <c r="A81" s="320" t="s">
        <v>196</v>
      </c>
      <c r="B81" s="320"/>
      <c r="C81" s="631" t="s">
        <v>18</v>
      </c>
      <c r="D81" s="631"/>
      <c r="E81" s="632">
        <f>SUM(F80:F80)</f>
        <v>7.88</v>
      </c>
      <c r="F81" s="632"/>
      <c r="H81" s="320" t="s">
        <v>196</v>
      </c>
      <c r="I81" s="320"/>
      <c r="J81" s="631" t="s">
        <v>18</v>
      </c>
      <c r="K81" s="631"/>
      <c r="L81" s="632">
        <f>SUM(M80:M80)</f>
        <v>0</v>
      </c>
      <c r="M81" s="632"/>
    </row>
    <row r="82" spans="1:13" ht="22.5" customHeight="1" x14ac:dyDescent="0.35">
      <c r="A82" s="629" t="s">
        <v>1074</v>
      </c>
      <c r="B82" s="629"/>
      <c r="C82" s="328" t="s">
        <v>47</v>
      </c>
      <c r="D82" s="329"/>
      <c r="E82" s="330"/>
      <c r="F82" s="331">
        <f>SUM(E78,E81)</f>
        <v>17.809999999999999</v>
      </c>
      <c r="H82" s="629" t="s">
        <v>176</v>
      </c>
      <c r="I82" s="629"/>
      <c r="J82" s="328" t="s">
        <v>47</v>
      </c>
      <c r="K82" s="329"/>
      <c r="L82" s="330"/>
      <c r="M82" s="331">
        <f>SUM(L78,L81)</f>
        <v>0</v>
      </c>
    </row>
    <row r="83" spans="1:13" ht="6.75" customHeight="1" x14ac:dyDescent="0.35">
      <c r="A83" s="319"/>
      <c r="B83" s="319"/>
      <c r="C83" s="320"/>
      <c r="D83" s="627"/>
      <c r="E83" s="627"/>
      <c r="F83" s="627"/>
      <c r="H83" s="319"/>
      <c r="I83" s="319"/>
      <c r="J83" s="320"/>
      <c r="K83" s="627"/>
      <c r="L83" s="627"/>
      <c r="M83" s="627"/>
    </row>
    <row r="84" spans="1:13" ht="6.75" customHeight="1" x14ac:dyDescent="0.35">
      <c r="A84" s="319"/>
      <c r="B84" s="319"/>
      <c r="C84" s="320"/>
      <c r="D84" s="627"/>
      <c r="E84" s="627"/>
      <c r="F84" s="627"/>
      <c r="H84" s="319"/>
      <c r="I84" s="319"/>
      <c r="J84" s="320"/>
      <c r="K84" s="627"/>
      <c r="L84" s="627"/>
      <c r="M84" s="627"/>
    </row>
    <row r="85" spans="1:13" ht="24" customHeight="1" x14ac:dyDescent="0.35">
      <c r="A85" s="630" t="s">
        <v>51</v>
      </c>
      <c r="B85" s="630"/>
      <c r="C85" s="630"/>
      <c r="D85" s="630"/>
      <c r="E85" s="630"/>
      <c r="F85" s="630"/>
      <c r="H85" s="630" t="s">
        <v>51</v>
      </c>
      <c r="I85" s="630"/>
      <c r="J85" s="630"/>
      <c r="K85" s="630"/>
      <c r="L85" s="630"/>
      <c r="M85" s="630"/>
    </row>
    <row r="86" spans="1:13" x14ac:dyDescent="0.35">
      <c r="A86" s="321" t="s">
        <v>13</v>
      </c>
      <c r="B86" s="321" t="s">
        <v>14</v>
      </c>
      <c r="C86" s="321" t="s">
        <v>15</v>
      </c>
      <c r="D86" s="321" t="s">
        <v>16</v>
      </c>
      <c r="E86" s="321" t="s">
        <v>24</v>
      </c>
      <c r="F86" s="321" t="s">
        <v>17</v>
      </c>
      <c r="H86" s="321" t="s">
        <v>13</v>
      </c>
      <c r="I86" s="321" t="s">
        <v>14</v>
      </c>
      <c r="J86" s="321" t="s">
        <v>15</v>
      </c>
      <c r="K86" s="321" t="s">
        <v>16</v>
      </c>
      <c r="L86" s="321" t="s">
        <v>24</v>
      </c>
      <c r="M86" s="321" t="s">
        <v>17</v>
      </c>
    </row>
    <row r="87" spans="1:13" x14ac:dyDescent="0.35">
      <c r="A87" s="333">
        <v>6111</v>
      </c>
      <c r="B87" s="334" t="s">
        <v>41</v>
      </c>
      <c r="C87" s="335" t="s">
        <v>6</v>
      </c>
      <c r="D87" s="335">
        <v>0.22</v>
      </c>
      <c r="E87" s="324">
        <f>'Mat Serv Eventuais'!D8</f>
        <v>10.11</v>
      </c>
      <c r="F87" s="325">
        <f>ROUND(D87*E87,2)</f>
        <v>2.2200000000000002</v>
      </c>
      <c r="H87" s="333">
        <v>6111</v>
      </c>
      <c r="I87" s="334" t="s">
        <v>41</v>
      </c>
      <c r="J87" s="335" t="s">
        <v>6</v>
      </c>
      <c r="K87" s="335">
        <v>0.22</v>
      </c>
      <c r="L87" s="324">
        <f>'Mat Serv Eventuais'!E8</f>
        <v>0</v>
      </c>
      <c r="M87" s="325">
        <f>ROUND(K87*L87,2)</f>
        <v>0</v>
      </c>
    </row>
    <row r="88" spans="1:13" x14ac:dyDescent="0.35">
      <c r="A88" s="333">
        <v>12869</v>
      </c>
      <c r="B88" s="334" t="s">
        <v>52</v>
      </c>
      <c r="C88" s="335" t="s">
        <v>6</v>
      </c>
      <c r="D88" s="335">
        <v>0.22</v>
      </c>
      <c r="E88" s="324">
        <f>'Mat Serv Eventuais'!D11</f>
        <v>16.05</v>
      </c>
      <c r="F88" s="325">
        <f>ROUND(D88*E88,2)</f>
        <v>3.53</v>
      </c>
      <c r="H88" s="333">
        <v>12869</v>
      </c>
      <c r="I88" s="334" t="s">
        <v>52</v>
      </c>
      <c r="J88" s="335" t="s">
        <v>6</v>
      </c>
      <c r="K88" s="335">
        <v>0.22</v>
      </c>
      <c r="L88" s="324">
        <f>'Mat Serv Eventuais'!E11</f>
        <v>0</v>
      </c>
      <c r="M88" s="325">
        <f>ROUND(K88*L88,2)</f>
        <v>0</v>
      </c>
    </row>
    <row r="89" spans="1:13" x14ac:dyDescent="0.35">
      <c r="A89" s="315"/>
      <c r="B89" s="326"/>
      <c r="C89" s="631" t="s">
        <v>18</v>
      </c>
      <c r="D89" s="631"/>
      <c r="E89" s="632">
        <f>SUM(F87:F88)</f>
        <v>5.75</v>
      </c>
      <c r="F89" s="632"/>
      <c r="H89" s="315"/>
      <c r="I89" s="326"/>
      <c r="J89" s="631" t="s">
        <v>18</v>
      </c>
      <c r="K89" s="631"/>
      <c r="L89" s="632">
        <f>SUM(M87:M88)</f>
        <v>0</v>
      </c>
      <c r="M89" s="632"/>
    </row>
    <row r="90" spans="1:13" x14ac:dyDescent="0.35">
      <c r="A90" s="321" t="s">
        <v>13</v>
      </c>
      <c r="B90" s="321" t="s">
        <v>19</v>
      </c>
      <c r="C90" s="321" t="s">
        <v>15</v>
      </c>
      <c r="D90" s="321" t="s">
        <v>16</v>
      </c>
      <c r="E90" s="321" t="s">
        <v>24</v>
      </c>
      <c r="F90" s="321" t="s">
        <v>17</v>
      </c>
      <c r="H90" s="321" t="s">
        <v>13</v>
      </c>
      <c r="I90" s="321" t="s">
        <v>19</v>
      </c>
      <c r="J90" s="321" t="s">
        <v>15</v>
      </c>
      <c r="K90" s="321" t="s">
        <v>16</v>
      </c>
      <c r="L90" s="321" t="s">
        <v>24</v>
      </c>
      <c r="M90" s="321" t="s">
        <v>17</v>
      </c>
    </row>
    <row r="91" spans="1:13" ht="24" customHeight="1" x14ac:dyDescent="0.35">
      <c r="A91" s="333">
        <v>7186</v>
      </c>
      <c r="B91" s="337" t="s">
        <v>53</v>
      </c>
      <c r="C91" s="335" t="s">
        <v>1</v>
      </c>
      <c r="D91" s="335">
        <v>1.1499999999999999</v>
      </c>
      <c r="E91" s="324">
        <f>'Mat Serv Eventuais'!D31</f>
        <v>69.209999999999994</v>
      </c>
      <c r="F91" s="325">
        <f>ROUND(D91*E91,2)</f>
        <v>79.59</v>
      </c>
      <c r="H91" s="333">
        <v>7186</v>
      </c>
      <c r="I91" s="337" t="s">
        <v>53</v>
      </c>
      <c r="J91" s="335" t="s">
        <v>1</v>
      </c>
      <c r="K91" s="335">
        <v>1.1499999999999999</v>
      </c>
      <c r="L91" s="324">
        <f>'Mat Serv Eventuais'!E31</f>
        <v>0</v>
      </c>
      <c r="M91" s="325">
        <f>ROUND(K91*L91,2)</f>
        <v>0</v>
      </c>
    </row>
    <row r="92" spans="1:13" ht="24" customHeight="1" x14ac:dyDescent="0.35">
      <c r="A92" s="333">
        <v>4299</v>
      </c>
      <c r="B92" s="337" t="s">
        <v>54</v>
      </c>
      <c r="C92" s="335" t="s">
        <v>1</v>
      </c>
      <c r="D92" s="335">
        <v>1.42</v>
      </c>
      <c r="E92" s="324">
        <f>'Mat Serv Eventuais'!D32</f>
        <v>0.95</v>
      </c>
      <c r="F92" s="325">
        <f>ROUND(D92*E92,2)</f>
        <v>1.35</v>
      </c>
      <c r="H92" s="333">
        <v>4299</v>
      </c>
      <c r="I92" s="337" t="s">
        <v>54</v>
      </c>
      <c r="J92" s="335" t="s">
        <v>1</v>
      </c>
      <c r="K92" s="335">
        <v>1.42</v>
      </c>
      <c r="L92" s="324">
        <f>'Mat Serv Eventuais'!E32</f>
        <v>0</v>
      </c>
      <c r="M92" s="325">
        <f>ROUND(K92*L92,2)</f>
        <v>0</v>
      </c>
    </row>
    <row r="93" spans="1:13" x14ac:dyDescent="0.35">
      <c r="A93" s="333">
        <v>11094</v>
      </c>
      <c r="B93" s="337" t="s">
        <v>55</v>
      </c>
      <c r="C93" s="335" t="s">
        <v>1</v>
      </c>
      <c r="D93" s="335">
        <v>1.42</v>
      </c>
      <c r="E93" s="324">
        <f>'Mat Serv Eventuais'!D33</f>
        <v>8.89</v>
      </c>
      <c r="F93" s="325">
        <f>ROUND(D93*E93,2)</f>
        <v>12.62</v>
      </c>
      <c r="H93" s="333">
        <v>11094</v>
      </c>
      <c r="I93" s="337" t="s">
        <v>55</v>
      </c>
      <c r="J93" s="335" t="s">
        <v>1</v>
      </c>
      <c r="K93" s="335">
        <v>1.42</v>
      </c>
      <c r="L93" s="324">
        <f>'Mat Serv Eventuais'!E33</f>
        <v>0</v>
      </c>
      <c r="M93" s="325">
        <f>ROUND(K93*L93,2)</f>
        <v>0</v>
      </c>
    </row>
    <row r="94" spans="1:13" x14ac:dyDescent="0.35">
      <c r="A94" s="320" t="s">
        <v>56</v>
      </c>
      <c r="B94" s="320"/>
      <c r="C94" s="631" t="s">
        <v>18</v>
      </c>
      <c r="D94" s="631"/>
      <c r="E94" s="632">
        <f>SUM(F91:F93)</f>
        <v>93.56</v>
      </c>
      <c r="F94" s="632"/>
      <c r="H94" s="320" t="s">
        <v>56</v>
      </c>
      <c r="I94" s="320"/>
      <c r="J94" s="631" t="s">
        <v>18</v>
      </c>
      <c r="K94" s="631"/>
      <c r="L94" s="632">
        <f>SUM(M91:M93)</f>
        <v>0</v>
      </c>
      <c r="M94" s="632"/>
    </row>
    <row r="95" spans="1:13" ht="22.5" customHeight="1" x14ac:dyDescent="0.35">
      <c r="A95" s="629" t="s">
        <v>1074</v>
      </c>
      <c r="B95" s="629"/>
      <c r="C95" s="328" t="s">
        <v>47</v>
      </c>
      <c r="D95" s="329"/>
      <c r="E95" s="330"/>
      <c r="F95" s="331">
        <f>SUM(E89,E94)</f>
        <v>99.31</v>
      </c>
      <c r="H95" s="629" t="s">
        <v>176</v>
      </c>
      <c r="I95" s="629"/>
      <c r="J95" s="328" t="s">
        <v>47</v>
      </c>
      <c r="K95" s="329"/>
      <c r="L95" s="330"/>
      <c r="M95" s="331">
        <f>SUM(L89,L94)</f>
        <v>0</v>
      </c>
    </row>
    <row r="96" spans="1:13" ht="6.75" customHeight="1" x14ac:dyDescent="0.35">
      <c r="A96" s="319"/>
      <c r="B96" s="319"/>
      <c r="C96" s="320"/>
      <c r="D96" s="627"/>
      <c r="E96" s="627"/>
      <c r="F96" s="627"/>
      <c r="H96" s="319"/>
      <c r="I96" s="319"/>
      <c r="J96" s="320"/>
      <c r="K96" s="627"/>
      <c r="L96" s="627"/>
      <c r="M96" s="627"/>
    </row>
    <row r="97" spans="1:13" ht="6.75" customHeight="1" x14ac:dyDescent="0.35">
      <c r="A97" s="319"/>
      <c r="B97" s="319"/>
      <c r="C97" s="320"/>
      <c r="D97" s="627"/>
      <c r="E97" s="627"/>
      <c r="F97" s="627"/>
      <c r="H97" s="319"/>
      <c r="I97" s="319"/>
      <c r="J97" s="320"/>
      <c r="K97" s="627"/>
      <c r="L97" s="627"/>
      <c r="M97" s="627"/>
    </row>
    <row r="98" spans="1:13" ht="24" customHeight="1" x14ac:dyDescent="0.35">
      <c r="A98" s="630" t="s">
        <v>74</v>
      </c>
      <c r="B98" s="630"/>
      <c r="C98" s="630"/>
      <c r="D98" s="630"/>
      <c r="E98" s="630"/>
      <c r="F98" s="630"/>
      <c r="H98" s="630" t="s">
        <v>74</v>
      </c>
      <c r="I98" s="630"/>
      <c r="J98" s="630"/>
      <c r="K98" s="630"/>
      <c r="L98" s="630"/>
      <c r="M98" s="630"/>
    </row>
    <row r="99" spans="1:13" x14ac:dyDescent="0.35">
      <c r="A99" s="321" t="s">
        <v>13</v>
      </c>
      <c r="B99" s="321" t="s">
        <v>14</v>
      </c>
      <c r="C99" s="321" t="s">
        <v>15</v>
      </c>
      <c r="D99" s="321" t="s">
        <v>16</v>
      </c>
      <c r="E99" s="321" t="s">
        <v>24</v>
      </c>
      <c r="F99" s="321" t="s">
        <v>17</v>
      </c>
      <c r="H99" s="321" t="s">
        <v>13</v>
      </c>
      <c r="I99" s="321" t="s">
        <v>14</v>
      </c>
      <c r="J99" s="321" t="s">
        <v>15</v>
      </c>
      <c r="K99" s="321" t="s">
        <v>16</v>
      </c>
      <c r="L99" s="321" t="s">
        <v>24</v>
      </c>
      <c r="M99" s="321" t="s">
        <v>17</v>
      </c>
    </row>
    <row r="100" spans="1:13" x14ac:dyDescent="0.35">
      <c r="A100" s="333">
        <v>6117</v>
      </c>
      <c r="B100" s="334" t="s">
        <v>63</v>
      </c>
      <c r="C100" s="335" t="s">
        <v>6</v>
      </c>
      <c r="D100" s="335">
        <v>6</v>
      </c>
      <c r="E100" s="324">
        <f>'Mat Serv Eventuais'!D13</f>
        <v>10.59</v>
      </c>
      <c r="F100" s="325">
        <f>ROUND(D100*E100,2)</f>
        <v>63.54</v>
      </c>
      <c r="H100" s="333">
        <v>6117</v>
      </c>
      <c r="I100" s="334" t="s">
        <v>63</v>
      </c>
      <c r="J100" s="335" t="s">
        <v>6</v>
      </c>
      <c r="K100" s="335">
        <v>6</v>
      </c>
      <c r="L100" s="324">
        <f>'Mat Serv Eventuais'!E13</f>
        <v>0</v>
      </c>
      <c r="M100" s="325">
        <f>ROUND(K100*L100,2)</f>
        <v>0</v>
      </c>
    </row>
    <row r="101" spans="1:13" x14ac:dyDescent="0.35">
      <c r="A101" s="333">
        <v>1213</v>
      </c>
      <c r="B101" s="334" t="s">
        <v>64</v>
      </c>
      <c r="C101" s="335" t="s">
        <v>6</v>
      </c>
      <c r="D101" s="335">
        <v>6</v>
      </c>
      <c r="E101" s="324">
        <f>'Mat Serv Eventuais'!D14</f>
        <v>13.45</v>
      </c>
      <c r="F101" s="325">
        <f>ROUND(D101*E101,2)</f>
        <v>80.7</v>
      </c>
      <c r="H101" s="333">
        <v>1213</v>
      </c>
      <c r="I101" s="334" t="s">
        <v>64</v>
      </c>
      <c r="J101" s="335" t="s">
        <v>6</v>
      </c>
      <c r="K101" s="335">
        <v>6</v>
      </c>
      <c r="L101" s="324">
        <f>'Mat Serv Eventuais'!E14</f>
        <v>0</v>
      </c>
      <c r="M101" s="325">
        <f>ROUND(K101*L101,2)</f>
        <v>0</v>
      </c>
    </row>
    <row r="102" spans="1:13" x14ac:dyDescent="0.35">
      <c r="A102" s="333">
        <v>4750</v>
      </c>
      <c r="B102" s="334" t="s">
        <v>40</v>
      </c>
      <c r="C102" s="335" t="s">
        <v>6</v>
      </c>
      <c r="D102" s="335">
        <v>2</v>
      </c>
      <c r="E102" s="324">
        <f>'Mat Serv Eventuais'!D9</f>
        <v>13.45</v>
      </c>
      <c r="F102" s="325">
        <f>ROUND(D102*E102,2)</f>
        <v>26.9</v>
      </c>
      <c r="H102" s="333">
        <v>4750</v>
      </c>
      <c r="I102" s="334" t="s">
        <v>40</v>
      </c>
      <c r="J102" s="335" t="s">
        <v>6</v>
      </c>
      <c r="K102" s="335">
        <v>2</v>
      </c>
      <c r="L102" s="324">
        <f>'Mat Serv Eventuais'!E9</f>
        <v>0</v>
      </c>
      <c r="M102" s="325">
        <f>ROUND(K102*L102,2)</f>
        <v>0</v>
      </c>
    </row>
    <row r="103" spans="1:13" x14ac:dyDescent="0.35">
      <c r="A103" s="333">
        <v>6111</v>
      </c>
      <c r="B103" s="334" t="s">
        <v>41</v>
      </c>
      <c r="C103" s="335" t="s">
        <v>6</v>
      </c>
      <c r="D103" s="335">
        <v>2</v>
      </c>
      <c r="E103" s="324">
        <f>'Mat Serv Eventuais'!D8</f>
        <v>10.11</v>
      </c>
      <c r="F103" s="325">
        <f>ROUND(D103*E103,2)</f>
        <v>20.22</v>
      </c>
      <c r="H103" s="333">
        <v>6111</v>
      </c>
      <c r="I103" s="334" t="s">
        <v>41</v>
      </c>
      <c r="J103" s="335" t="s">
        <v>6</v>
      </c>
      <c r="K103" s="335">
        <v>2</v>
      </c>
      <c r="L103" s="324">
        <f>'Mat Serv Eventuais'!E8</f>
        <v>0</v>
      </c>
      <c r="M103" s="325">
        <f>ROUND(K103*L103,2)</f>
        <v>0</v>
      </c>
    </row>
    <row r="104" spans="1:13" x14ac:dyDescent="0.35">
      <c r="A104" s="315"/>
      <c r="B104" s="326"/>
      <c r="C104" s="631" t="s">
        <v>18</v>
      </c>
      <c r="D104" s="631"/>
      <c r="E104" s="632">
        <f>SUM(F100:F103)</f>
        <v>191.36</v>
      </c>
      <c r="F104" s="632"/>
      <c r="H104" s="315"/>
      <c r="I104" s="326"/>
      <c r="J104" s="631" t="s">
        <v>18</v>
      </c>
      <c r="K104" s="631"/>
      <c r="L104" s="632">
        <f>SUM(M100:M103)</f>
        <v>0</v>
      </c>
      <c r="M104" s="632"/>
    </row>
    <row r="105" spans="1:13" x14ac:dyDescent="0.35">
      <c r="A105" s="321" t="s">
        <v>13</v>
      </c>
      <c r="B105" s="321" t="s">
        <v>19</v>
      </c>
      <c r="C105" s="321" t="s">
        <v>15</v>
      </c>
      <c r="D105" s="321" t="s">
        <v>16</v>
      </c>
      <c r="E105" s="321" t="s">
        <v>24</v>
      </c>
      <c r="F105" s="321" t="s">
        <v>17</v>
      </c>
      <c r="H105" s="321" t="s">
        <v>13</v>
      </c>
      <c r="I105" s="321" t="s">
        <v>19</v>
      </c>
      <c r="J105" s="321" t="s">
        <v>15</v>
      </c>
      <c r="K105" s="321" t="s">
        <v>16</v>
      </c>
      <c r="L105" s="321" t="s">
        <v>24</v>
      </c>
      <c r="M105" s="321" t="s">
        <v>17</v>
      </c>
    </row>
    <row r="106" spans="1:13" x14ac:dyDescent="0.35">
      <c r="A106" s="333">
        <v>370</v>
      </c>
      <c r="B106" s="334" t="s">
        <v>42</v>
      </c>
      <c r="C106" s="335" t="s">
        <v>60</v>
      </c>
      <c r="D106" s="335">
        <v>1.06E-2</v>
      </c>
      <c r="E106" s="324">
        <f>'Mat Serv Eventuais'!D26</f>
        <v>87.5</v>
      </c>
      <c r="F106" s="325">
        <f t="shared" ref="F106:F117" si="0">ROUND(D106*E106,2)</f>
        <v>0.93</v>
      </c>
      <c r="H106" s="333">
        <v>370</v>
      </c>
      <c r="I106" s="334" t="s">
        <v>42</v>
      </c>
      <c r="J106" s="335" t="s">
        <v>60</v>
      </c>
      <c r="K106" s="335">
        <v>1.06E-2</v>
      </c>
      <c r="L106" s="324">
        <f>'Mat Serv Eventuais'!E26</f>
        <v>0</v>
      </c>
      <c r="M106" s="325">
        <f t="shared" ref="M106:M117" si="1">ROUND(K106*L106,2)</f>
        <v>0</v>
      </c>
    </row>
    <row r="107" spans="1:13" x14ac:dyDescent="0.35">
      <c r="A107" s="333">
        <v>1106</v>
      </c>
      <c r="B107" s="337" t="s">
        <v>61</v>
      </c>
      <c r="C107" s="335" t="s">
        <v>20</v>
      </c>
      <c r="D107" s="335">
        <v>1.72</v>
      </c>
      <c r="E107" s="324">
        <f>'Mat Serv Eventuais'!D28</f>
        <v>0.75</v>
      </c>
      <c r="F107" s="325">
        <f t="shared" si="0"/>
        <v>1.29</v>
      </c>
      <c r="H107" s="333">
        <v>1106</v>
      </c>
      <c r="I107" s="337" t="s">
        <v>61</v>
      </c>
      <c r="J107" s="335" t="s">
        <v>20</v>
      </c>
      <c r="K107" s="335">
        <v>1.72</v>
      </c>
      <c r="L107" s="324">
        <f>'Mat Serv Eventuais'!E28</f>
        <v>0</v>
      </c>
      <c r="M107" s="325">
        <f t="shared" si="1"/>
        <v>0</v>
      </c>
    </row>
    <row r="108" spans="1:13" x14ac:dyDescent="0.35">
      <c r="A108" s="333">
        <v>1379</v>
      </c>
      <c r="B108" s="337" t="s">
        <v>62</v>
      </c>
      <c r="C108" s="335" t="s">
        <v>20</v>
      </c>
      <c r="D108" s="335">
        <v>1.72</v>
      </c>
      <c r="E108" s="324">
        <f>'Mat Serv Eventuais'!D27</f>
        <v>0.64</v>
      </c>
      <c r="F108" s="325">
        <f t="shared" si="0"/>
        <v>1.1000000000000001</v>
      </c>
      <c r="H108" s="333">
        <v>1379</v>
      </c>
      <c r="I108" s="337" t="s">
        <v>62</v>
      </c>
      <c r="J108" s="335" t="s">
        <v>20</v>
      </c>
      <c r="K108" s="335">
        <v>1.72</v>
      </c>
      <c r="L108" s="324">
        <f>'Mat Serv Eventuais'!E27</f>
        <v>0</v>
      </c>
      <c r="M108" s="325">
        <f t="shared" si="1"/>
        <v>0</v>
      </c>
    </row>
    <row r="109" spans="1:13" x14ac:dyDescent="0.35">
      <c r="A109" s="333">
        <v>5067</v>
      </c>
      <c r="B109" s="337" t="s">
        <v>65</v>
      </c>
      <c r="C109" s="335" t="s">
        <v>20</v>
      </c>
      <c r="D109" s="335">
        <v>0.5</v>
      </c>
      <c r="E109" s="324">
        <f>'Mat Serv Eventuais'!D42</f>
        <v>16.100000000000001</v>
      </c>
      <c r="F109" s="325">
        <f t="shared" si="0"/>
        <v>8.0500000000000007</v>
      </c>
      <c r="H109" s="333">
        <v>5067</v>
      </c>
      <c r="I109" s="337" t="s">
        <v>65</v>
      </c>
      <c r="J109" s="335" t="s">
        <v>20</v>
      </c>
      <c r="K109" s="335">
        <v>0.5</v>
      </c>
      <c r="L109" s="324">
        <f>'Mat Serv Eventuais'!E42</f>
        <v>0</v>
      </c>
      <c r="M109" s="325">
        <f t="shared" si="1"/>
        <v>0</v>
      </c>
    </row>
    <row r="110" spans="1:13" x14ac:dyDescent="0.35">
      <c r="A110" s="333">
        <v>4381</v>
      </c>
      <c r="B110" s="337" t="s">
        <v>66</v>
      </c>
      <c r="C110" s="335" t="s">
        <v>1</v>
      </c>
      <c r="D110" s="335">
        <v>8</v>
      </c>
      <c r="E110" s="324">
        <f>'Mat Serv Eventuais'!D43</f>
        <v>0.3</v>
      </c>
      <c r="F110" s="325">
        <f t="shared" si="0"/>
        <v>2.4</v>
      </c>
      <c r="H110" s="333">
        <v>4381</v>
      </c>
      <c r="I110" s="337" t="s">
        <v>66</v>
      </c>
      <c r="J110" s="335" t="s">
        <v>1</v>
      </c>
      <c r="K110" s="335">
        <v>8</v>
      </c>
      <c r="L110" s="324">
        <f>'Mat Serv Eventuais'!E43</f>
        <v>0</v>
      </c>
      <c r="M110" s="325">
        <f t="shared" si="1"/>
        <v>0</v>
      </c>
    </row>
    <row r="111" spans="1:13" ht="24" customHeight="1" x14ac:dyDescent="0.35">
      <c r="A111" s="333">
        <v>20017</v>
      </c>
      <c r="B111" s="337" t="s">
        <v>67</v>
      </c>
      <c r="C111" s="335" t="s">
        <v>0</v>
      </c>
      <c r="D111" s="335">
        <v>0.48</v>
      </c>
      <c r="E111" s="324">
        <f>'Mat Serv Eventuais'!D44</f>
        <v>3.75</v>
      </c>
      <c r="F111" s="325">
        <f t="shared" si="0"/>
        <v>1.8</v>
      </c>
      <c r="H111" s="333">
        <v>20017</v>
      </c>
      <c r="I111" s="337" t="s">
        <v>67</v>
      </c>
      <c r="J111" s="335" t="s">
        <v>0</v>
      </c>
      <c r="K111" s="335">
        <v>0.48</v>
      </c>
      <c r="L111" s="324">
        <f>'Mat Serv Eventuais'!E44</f>
        <v>0</v>
      </c>
      <c r="M111" s="325">
        <f t="shared" si="1"/>
        <v>0</v>
      </c>
    </row>
    <row r="112" spans="1:13" ht="24" customHeight="1" x14ac:dyDescent="0.35">
      <c r="A112" s="333">
        <v>191</v>
      </c>
      <c r="B112" s="337" t="s">
        <v>68</v>
      </c>
      <c r="C112" s="335" t="s">
        <v>1</v>
      </c>
      <c r="D112" s="335">
        <v>1</v>
      </c>
      <c r="E112" s="324">
        <f>'Mat Serv Eventuais'!D45</f>
        <v>100.75</v>
      </c>
      <c r="F112" s="325">
        <f t="shared" si="0"/>
        <v>100.75</v>
      </c>
      <c r="H112" s="333">
        <v>191</v>
      </c>
      <c r="I112" s="337" t="s">
        <v>68</v>
      </c>
      <c r="J112" s="335" t="s">
        <v>1</v>
      </c>
      <c r="K112" s="335">
        <v>1</v>
      </c>
      <c r="L112" s="324">
        <f>'Mat Serv Eventuais'!E45</f>
        <v>0</v>
      </c>
      <c r="M112" s="325">
        <f t="shared" si="1"/>
        <v>0</v>
      </c>
    </row>
    <row r="113" spans="1:13" x14ac:dyDescent="0.35">
      <c r="A113" s="333">
        <v>20006</v>
      </c>
      <c r="B113" s="337" t="s">
        <v>222</v>
      </c>
      <c r="C113" s="335" t="s">
        <v>1</v>
      </c>
      <c r="D113" s="339">
        <v>6.6</v>
      </c>
      <c r="E113" s="324">
        <f>'Mat Serv Eventuais'!D46</f>
        <v>2.61</v>
      </c>
      <c r="F113" s="325">
        <f t="shared" si="0"/>
        <v>17.23</v>
      </c>
      <c r="H113" s="333">
        <v>20006</v>
      </c>
      <c r="I113" s="337" t="s">
        <v>222</v>
      </c>
      <c r="J113" s="335" t="s">
        <v>1</v>
      </c>
      <c r="K113" s="339">
        <v>6.6</v>
      </c>
      <c r="L113" s="324">
        <f>'Mat Serv Eventuais'!E46</f>
        <v>0</v>
      </c>
      <c r="M113" s="325">
        <f t="shared" si="1"/>
        <v>0</v>
      </c>
    </row>
    <row r="114" spans="1:13" x14ac:dyDescent="0.35">
      <c r="A114" s="333">
        <v>4958</v>
      </c>
      <c r="B114" s="337" t="s">
        <v>69</v>
      </c>
      <c r="C114" s="335" t="s">
        <v>59</v>
      </c>
      <c r="D114" s="339">
        <v>3.62</v>
      </c>
      <c r="E114" s="324">
        <f>'Mat Serv Eventuais'!D47</f>
        <v>83.58</v>
      </c>
      <c r="F114" s="325">
        <f t="shared" si="0"/>
        <v>302.56</v>
      </c>
      <c r="H114" s="333">
        <v>4958</v>
      </c>
      <c r="I114" s="337" t="s">
        <v>69</v>
      </c>
      <c r="J114" s="335" t="s">
        <v>59</v>
      </c>
      <c r="K114" s="339">
        <v>3.62</v>
      </c>
      <c r="L114" s="324">
        <f>'Mat Serv Eventuais'!E47</f>
        <v>0</v>
      </c>
      <c r="M114" s="325">
        <f t="shared" si="1"/>
        <v>0</v>
      </c>
    </row>
    <row r="115" spans="1:13" x14ac:dyDescent="0.35">
      <c r="A115" s="333">
        <v>2433</v>
      </c>
      <c r="B115" s="337" t="s">
        <v>70</v>
      </c>
      <c r="C115" s="335" t="s">
        <v>1</v>
      </c>
      <c r="D115" s="335">
        <v>6</v>
      </c>
      <c r="E115" s="324">
        <f>'Mat Serv Eventuais'!D48</f>
        <v>7.9</v>
      </c>
      <c r="F115" s="325">
        <f t="shared" si="0"/>
        <v>47.4</v>
      </c>
      <c r="H115" s="333">
        <v>2433</v>
      </c>
      <c r="I115" s="337" t="s">
        <v>70</v>
      </c>
      <c r="J115" s="335" t="s">
        <v>1</v>
      </c>
      <c r="K115" s="335">
        <v>6</v>
      </c>
      <c r="L115" s="324">
        <f>'Mat Serv Eventuais'!E48</f>
        <v>0</v>
      </c>
      <c r="M115" s="325">
        <f t="shared" si="1"/>
        <v>0</v>
      </c>
    </row>
    <row r="116" spans="1:13" ht="24" customHeight="1" x14ac:dyDescent="0.35">
      <c r="A116" s="333">
        <v>3081</v>
      </c>
      <c r="B116" s="337" t="s">
        <v>71</v>
      </c>
      <c r="C116" s="335" t="s">
        <v>1</v>
      </c>
      <c r="D116" s="335">
        <v>1</v>
      </c>
      <c r="E116" s="324">
        <f>'Mat Serv Eventuais'!D49</f>
        <v>96.74</v>
      </c>
      <c r="F116" s="325">
        <f t="shared" si="0"/>
        <v>96.74</v>
      </c>
      <c r="H116" s="333">
        <v>3081</v>
      </c>
      <c r="I116" s="337" t="s">
        <v>71</v>
      </c>
      <c r="J116" s="335" t="s">
        <v>1</v>
      </c>
      <c r="K116" s="335">
        <v>1</v>
      </c>
      <c r="L116" s="324">
        <f>'Mat Serv Eventuais'!E49</f>
        <v>0</v>
      </c>
      <c r="M116" s="325">
        <f t="shared" si="1"/>
        <v>0</v>
      </c>
    </row>
    <row r="117" spans="1:13" x14ac:dyDescent="0.35">
      <c r="A117" s="333">
        <v>3108</v>
      </c>
      <c r="B117" s="337" t="s">
        <v>72</v>
      </c>
      <c r="C117" s="335" t="s">
        <v>1</v>
      </c>
      <c r="D117" s="335">
        <v>2</v>
      </c>
      <c r="E117" s="324">
        <f>'Mat Serv Eventuais'!D50</f>
        <v>83.16</v>
      </c>
      <c r="F117" s="325">
        <f t="shared" si="0"/>
        <v>166.32</v>
      </c>
      <c r="H117" s="333">
        <v>3108</v>
      </c>
      <c r="I117" s="337" t="s">
        <v>72</v>
      </c>
      <c r="J117" s="335" t="s">
        <v>1</v>
      </c>
      <c r="K117" s="335">
        <v>2</v>
      </c>
      <c r="L117" s="324">
        <f>'Mat Serv Eventuais'!E50</f>
        <v>0</v>
      </c>
      <c r="M117" s="325">
        <f t="shared" si="1"/>
        <v>0</v>
      </c>
    </row>
    <row r="118" spans="1:13" x14ac:dyDescent="0.35">
      <c r="A118" s="320" t="s">
        <v>73</v>
      </c>
      <c r="B118" s="320"/>
      <c r="C118" s="631" t="s">
        <v>18</v>
      </c>
      <c r="D118" s="631"/>
      <c r="E118" s="632">
        <f>SUM(F106:F117)</f>
        <v>746.56999999999994</v>
      </c>
      <c r="F118" s="632"/>
      <c r="H118" s="320" t="s">
        <v>73</v>
      </c>
      <c r="I118" s="320"/>
      <c r="J118" s="631" t="s">
        <v>18</v>
      </c>
      <c r="K118" s="631"/>
      <c r="L118" s="632">
        <f>SUM(M106:M117)</f>
        <v>0</v>
      </c>
      <c r="M118" s="632"/>
    </row>
    <row r="119" spans="1:13" ht="22.5" customHeight="1" x14ac:dyDescent="0.35">
      <c r="A119" s="629" t="s">
        <v>1074</v>
      </c>
      <c r="B119" s="629"/>
      <c r="C119" s="328" t="s">
        <v>36</v>
      </c>
      <c r="D119" s="329"/>
      <c r="E119" s="330"/>
      <c r="F119" s="331">
        <f>SUM(E104,E118)</f>
        <v>937.93</v>
      </c>
      <c r="H119" s="629" t="s">
        <v>176</v>
      </c>
      <c r="I119" s="629"/>
      <c r="J119" s="328" t="s">
        <v>36</v>
      </c>
      <c r="K119" s="329"/>
      <c r="L119" s="330"/>
      <c r="M119" s="331">
        <f>SUM(L104,L118)</f>
        <v>0</v>
      </c>
    </row>
    <row r="120" spans="1:13" ht="6.75" customHeight="1" x14ac:dyDescent="0.35">
      <c r="A120" s="319"/>
      <c r="B120" s="319"/>
      <c r="C120" s="320"/>
      <c r="D120" s="627"/>
      <c r="E120" s="627"/>
      <c r="F120" s="627"/>
      <c r="H120" s="319"/>
      <c r="I120" s="319"/>
      <c r="J120" s="320"/>
      <c r="K120" s="627"/>
      <c r="L120" s="627"/>
      <c r="M120" s="627"/>
    </row>
    <row r="121" spans="1:13" ht="24" customHeight="1" x14ac:dyDescent="0.35">
      <c r="A121" s="630" t="s">
        <v>75</v>
      </c>
      <c r="B121" s="630"/>
      <c r="C121" s="630"/>
      <c r="D121" s="630"/>
      <c r="E121" s="630"/>
      <c r="F121" s="630"/>
      <c r="H121" s="630" t="s">
        <v>75</v>
      </c>
      <c r="I121" s="630"/>
      <c r="J121" s="630"/>
      <c r="K121" s="630"/>
      <c r="L121" s="630"/>
      <c r="M121" s="630"/>
    </row>
    <row r="122" spans="1:13" x14ac:dyDescent="0.35">
      <c r="A122" s="321" t="s">
        <v>13</v>
      </c>
      <c r="B122" s="321" t="s">
        <v>14</v>
      </c>
      <c r="C122" s="321" t="s">
        <v>15</v>
      </c>
      <c r="D122" s="321" t="s">
        <v>16</v>
      </c>
      <c r="E122" s="321" t="s">
        <v>24</v>
      </c>
      <c r="F122" s="321" t="s">
        <v>17</v>
      </c>
      <c r="H122" s="321" t="s">
        <v>13</v>
      </c>
      <c r="I122" s="321" t="s">
        <v>14</v>
      </c>
      <c r="J122" s="321" t="s">
        <v>15</v>
      </c>
      <c r="K122" s="321" t="s">
        <v>16</v>
      </c>
      <c r="L122" s="321" t="s">
        <v>24</v>
      </c>
      <c r="M122" s="321" t="s">
        <v>17</v>
      </c>
    </row>
    <row r="123" spans="1:13" x14ac:dyDescent="0.35">
      <c r="A123" s="333">
        <v>6117</v>
      </c>
      <c r="B123" s="334" t="s">
        <v>63</v>
      </c>
      <c r="C123" s="335" t="s">
        <v>6</v>
      </c>
      <c r="D123" s="335">
        <v>3.75</v>
      </c>
      <c r="E123" s="324">
        <f>'Mat Serv Eventuais'!D13</f>
        <v>10.59</v>
      </c>
      <c r="F123" s="325">
        <f>ROUND(D123*E123,2)</f>
        <v>39.71</v>
      </c>
      <c r="H123" s="333">
        <v>6117</v>
      </c>
      <c r="I123" s="334" t="s">
        <v>63</v>
      </c>
      <c r="J123" s="335" t="s">
        <v>6</v>
      </c>
      <c r="K123" s="335">
        <v>3.75</v>
      </c>
      <c r="L123" s="324">
        <f>'Mat Serv Eventuais'!E13</f>
        <v>0</v>
      </c>
      <c r="M123" s="325">
        <f>ROUND(K123*L123,2)</f>
        <v>0</v>
      </c>
    </row>
    <row r="124" spans="1:13" x14ac:dyDescent="0.35">
      <c r="A124" s="333">
        <v>1213</v>
      </c>
      <c r="B124" s="334" t="s">
        <v>64</v>
      </c>
      <c r="C124" s="335" t="s">
        <v>6</v>
      </c>
      <c r="D124" s="335">
        <v>3.75</v>
      </c>
      <c r="E124" s="324">
        <f>'Mat Serv Eventuais'!D14</f>
        <v>13.45</v>
      </c>
      <c r="F124" s="325">
        <f>ROUND(D124*E124,2)</f>
        <v>50.44</v>
      </c>
      <c r="H124" s="333">
        <v>1213</v>
      </c>
      <c r="I124" s="334" t="s">
        <v>64</v>
      </c>
      <c r="J124" s="335" t="s">
        <v>6</v>
      </c>
      <c r="K124" s="335">
        <v>3.75</v>
      </c>
      <c r="L124" s="324">
        <f>'Mat Serv Eventuais'!E14</f>
        <v>0</v>
      </c>
      <c r="M124" s="325">
        <f>ROUND(K124*L124,2)</f>
        <v>0</v>
      </c>
    </row>
    <row r="125" spans="1:13" x14ac:dyDescent="0.35">
      <c r="A125" s="333">
        <v>4750</v>
      </c>
      <c r="B125" s="334" t="s">
        <v>40</v>
      </c>
      <c r="C125" s="335" t="s">
        <v>6</v>
      </c>
      <c r="D125" s="335">
        <v>1.4</v>
      </c>
      <c r="E125" s="324">
        <f>'Mat Serv Eventuais'!D9</f>
        <v>13.45</v>
      </c>
      <c r="F125" s="325">
        <f>ROUND(D125*E125,2)</f>
        <v>18.829999999999998</v>
      </c>
      <c r="H125" s="333">
        <v>4750</v>
      </c>
      <c r="I125" s="334" t="s">
        <v>40</v>
      </c>
      <c r="J125" s="335" t="s">
        <v>6</v>
      </c>
      <c r="K125" s="335">
        <v>1.4</v>
      </c>
      <c r="L125" s="324">
        <f>'Mat Serv Eventuais'!E9</f>
        <v>0</v>
      </c>
      <c r="M125" s="325">
        <f>ROUND(K125*L125,2)</f>
        <v>0</v>
      </c>
    </row>
    <row r="126" spans="1:13" x14ac:dyDescent="0.35">
      <c r="A126" s="333">
        <v>6111</v>
      </c>
      <c r="B126" s="334" t="s">
        <v>41</v>
      </c>
      <c r="C126" s="335" t="s">
        <v>6</v>
      </c>
      <c r="D126" s="335">
        <v>1.4</v>
      </c>
      <c r="E126" s="324">
        <f>'Mat Serv Eventuais'!D8</f>
        <v>10.11</v>
      </c>
      <c r="F126" s="325">
        <f>ROUND(D126*E126,2)</f>
        <v>14.15</v>
      </c>
      <c r="H126" s="333">
        <v>6111</v>
      </c>
      <c r="I126" s="334" t="s">
        <v>41</v>
      </c>
      <c r="J126" s="335" t="s">
        <v>6</v>
      </c>
      <c r="K126" s="335">
        <v>1.4</v>
      </c>
      <c r="L126" s="324">
        <f>'Mat Serv Eventuais'!E8</f>
        <v>0</v>
      </c>
      <c r="M126" s="325">
        <f>ROUND(K126*L126,2)</f>
        <v>0</v>
      </c>
    </row>
    <row r="127" spans="1:13" x14ac:dyDescent="0.35">
      <c r="A127" s="315"/>
      <c r="B127" s="326"/>
      <c r="C127" s="631" t="s">
        <v>18</v>
      </c>
      <c r="D127" s="631"/>
      <c r="E127" s="632">
        <f>SUM(F123:F126)</f>
        <v>123.13000000000001</v>
      </c>
      <c r="F127" s="632"/>
      <c r="H127" s="315"/>
      <c r="I127" s="326"/>
      <c r="J127" s="631" t="s">
        <v>18</v>
      </c>
      <c r="K127" s="631"/>
      <c r="L127" s="632">
        <f>SUM(M123:M126)</f>
        <v>0</v>
      </c>
      <c r="M127" s="632"/>
    </row>
    <row r="128" spans="1:13" x14ac:dyDescent="0.35">
      <c r="A128" s="321" t="s">
        <v>13</v>
      </c>
      <c r="B128" s="321" t="s">
        <v>19</v>
      </c>
      <c r="C128" s="321" t="s">
        <v>15</v>
      </c>
      <c r="D128" s="321" t="s">
        <v>16</v>
      </c>
      <c r="E128" s="321" t="s">
        <v>24</v>
      </c>
      <c r="F128" s="321" t="s">
        <v>17</v>
      </c>
      <c r="H128" s="321" t="s">
        <v>13</v>
      </c>
      <c r="I128" s="321" t="s">
        <v>19</v>
      </c>
      <c r="J128" s="321" t="s">
        <v>15</v>
      </c>
      <c r="K128" s="321" t="s">
        <v>16</v>
      </c>
      <c r="L128" s="321" t="s">
        <v>24</v>
      </c>
      <c r="M128" s="321" t="s">
        <v>17</v>
      </c>
    </row>
    <row r="129" spans="1:13" x14ac:dyDescent="0.35">
      <c r="A129" s="333">
        <v>370</v>
      </c>
      <c r="B129" s="334" t="s">
        <v>42</v>
      </c>
      <c r="C129" s="335" t="s">
        <v>60</v>
      </c>
      <c r="D129" s="335">
        <v>1.06E-2</v>
      </c>
      <c r="E129" s="324">
        <f>'Mat Serv Eventuais'!D26</f>
        <v>87.5</v>
      </c>
      <c r="F129" s="325">
        <f t="shared" ref="F129:F139" si="2">ROUND(D129*E129,2)</f>
        <v>0.93</v>
      </c>
      <c r="H129" s="333">
        <v>370</v>
      </c>
      <c r="I129" s="334" t="s">
        <v>42</v>
      </c>
      <c r="J129" s="335" t="s">
        <v>60</v>
      </c>
      <c r="K129" s="335">
        <v>1.06E-2</v>
      </c>
      <c r="L129" s="324">
        <f>'Mat Serv Eventuais'!E26</f>
        <v>0</v>
      </c>
      <c r="M129" s="325">
        <f t="shared" ref="M129:M139" si="3">ROUND(K129*L129,2)</f>
        <v>0</v>
      </c>
    </row>
    <row r="130" spans="1:13" x14ac:dyDescent="0.35">
      <c r="A130" s="333">
        <v>1106</v>
      </c>
      <c r="B130" s="337" t="s">
        <v>61</v>
      </c>
      <c r="C130" s="335" t="s">
        <v>20</v>
      </c>
      <c r="D130" s="335">
        <v>1.72</v>
      </c>
      <c r="E130" s="324">
        <f>'Mat Serv Eventuais'!D28</f>
        <v>0.75</v>
      </c>
      <c r="F130" s="325">
        <f t="shared" si="2"/>
        <v>1.29</v>
      </c>
      <c r="H130" s="333">
        <v>1106</v>
      </c>
      <c r="I130" s="337" t="s">
        <v>61</v>
      </c>
      <c r="J130" s="335" t="s">
        <v>20</v>
      </c>
      <c r="K130" s="335">
        <v>1.72</v>
      </c>
      <c r="L130" s="324">
        <f>'Mat Serv Eventuais'!E28</f>
        <v>0</v>
      </c>
      <c r="M130" s="325">
        <f t="shared" si="3"/>
        <v>0</v>
      </c>
    </row>
    <row r="131" spans="1:13" x14ac:dyDescent="0.35">
      <c r="A131" s="333">
        <v>1379</v>
      </c>
      <c r="B131" s="337" t="s">
        <v>62</v>
      </c>
      <c r="C131" s="335" t="s">
        <v>20</v>
      </c>
      <c r="D131" s="335">
        <v>1.72</v>
      </c>
      <c r="E131" s="324">
        <f>'Mat Serv Eventuais'!D27</f>
        <v>0.64</v>
      </c>
      <c r="F131" s="325">
        <f t="shared" si="2"/>
        <v>1.1000000000000001</v>
      </c>
      <c r="H131" s="333">
        <v>1379</v>
      </c>
      <c r="I131" s="337" t="s">
        <v>62</v>
      </c>
      <c r="J131" s="335" t="s">
        <v>20</v>
      </c>
      <c r="K131" s="335">
        <v>1.72</v>
      </c>
      <c r="L131" s="324">
        <f>'Mat Serv Eventuais'!E27</f>
        <v>0</v>
      </c>
      <c r="M131" s="325">
        <f t="shared" si="3"/>
        <v>0</v>
      </c>
    </row>
    <row r="132" spans="1:13" x14ac:dyDescent="0.35">
      <c r="A132" s="333">
        <v>5067</v>
      </c>
      <c r="B132" s="337" t="s">
        <v>65</v>
      </c>
      <c r="C132" s="335" t="s">
        <v>20</v>
      </c>
      <c r="D132" s="335">
        <v>0.25</v>
      </c>
      <c r="E132" s="324">
        <f>'Mat Serv Eventuais'!D42</f>
        <v>16.100000000000001</v>
      </c>
      <c r="F132" s="325">
        <f t="shared" si="2"/>
        <v>4.03</v>
      </c>
      <c r="H132" s="333">
        <v>5067</v>
      </c>
      <c r="I132" s="337" t="s">
        <v>65</v>
      </c>
      <c r="J132" s="335" t="s">
        <v>20</v>
      </c>
      <c r="K132" s="335">
        <v>0.25</v>
      </c>
      <c r="L132" s="324">
        <f>'Mat Serv Eventuais'!E42</f>
        <v>0</v>
      </c>
      <c r="M132" s="325">
        <f t="shared" si="3"/>
        <v>0</v>
      </c>
    </row>
    <row r="133" spans="1:13" x14ac:dyDescent="0.35">
      <c r="A133" s="333">
        <v>4381</v>
      </c>
      <c r="B133" s="337" t="s">
        <v>66</v>
      </c>
      <c r="C133" s="335" t="s">
        <v>1</v>
      </c>
      <c r="D133" s="335">
        <v>8</v>
      </c>
      <c r="E133" s="324">
        <f>'Mat Serv Eventuais'!D43</f>
        <v>0.3</v>
      </c>
      <c r="F133" s="325">
        <f t="shared" si="2"/>
        <v>2.4</v>
      </c>
      <c r="H133" s="333">
        <v>4381</v>
      </c>
      <c r="I133" s="337" t="s">
        <v>66</v>
      </c>
      <c r="J133" s="335" t="s">
        <v>1</v>
      </c>
      <c r="K133" s="335">
        <v>8</v>
      </c>
      <c r="L133" s="324">
        <f>'Mat Serv Eventuais'!E43</f>
        <v>0</v>
      </c>
      <c r="M133" s="325">
        <f t="shared" si="3"/>
        <v>0</v>
      </c>
    </row>
    <row r="134" spans="1:13" ht="24" customHeight="1" x14ac:dyDescent="0.35">
      <c r="A134" s="333">
        <v>20017</v>
      </c>
      <c r="B134" s="337" t="s">
        <v>67</v>
      </c>
      <c r="C134" s="335" t="s">
        <v>0</v>
      </c>
      <c r="D134" s="335">
        <v>0.36</v>
      </c>
      <c r="E134" s="324">
        <f>'Mat Serv Eventuais'!D44</f>
        <v>3.75</v>
      </c>
      <c r="F134" s="325">
        <f t="shared" si="2"/>
        <v>1.35</v>
      </c>
      <c r="H134" s="333">
        <v>20017</v>
      </c>
      <c r="I134" s="337" t="s">
        <v>67</v>
      </c>
      <c r="J134" s="335" t="s">
        <v>0</v>
      </c>
      <c r="K134" s="335">
        <v>0.36</v>
      </c>
      <c r="L134" s="324">
        <f>'Mat Serv Eventuais'!E44</f>
        <v>0</v>
      </c>
      <c r="M134" s="325">
        <f t="shared" si="3"/>
        <v>0</v>
      </c>
    </row>
    <row r="135" spans="1:13" ht="24" customHeight="1" x14ac:dyDescent="0.35">
      <c r="A135" s="333">
        <v>191</v>
      </c>
      <c r="B135" s="337" t="s">
        <v>68</v>
      </c>
      <c r="C135" s="335" t="s">
        <v>76</v>
      </c>
      <c r="D135" s="335">
        <v>1</v>
      </c>
      <c r="E135" s="324">
        <f>'Mat Serv Eventuais'!D45</f>
        <v>100.75</v>
      </c>
      <c r="F135" s="325">
        <f t="shared" si="2"/>
        <v>100.75</v>
      </c>
      <c r="H135" s="333">
        <v>191</v>
      </c>
      <c r="I135" s="337" t="s">
        <v>68</v>
      </c>
      <c r="J135" s="335" t="s">
        <v>76</v>
      </c>
      <c r="K135" s="335">
        <v>1</v>
      </c>
      <c r="L135" s="324">
        <f>'Mat Serv Eventuais'!E45</f>
        <v>0</v>
      </c>
      <c r="M135" s="325">
        <f t="shared" si="3"/>
        <v>0</v>
      </c>
    </row>
    <row r="136" spans="1:13" x14ac:dyDescent="0.35">
      <c r="A136" s="333">
        <v>20006</v>
      </c>
      <c r="B136" s="337" t="s">
        <v>222</v>
      </c>
      <c r="C136" s="335" t="s">
        <v>0</v>
      </c>
      <c r="D136" s="339">
        <v>10.9</v>
      </c>
      <c r="E136" s="324">
        <f>'Mat Serv Eventuais'!D46</f>
        <v>2.61</v>
      </c>
      <c r="F136" s="325">
        <f t="shared" si="2"/>
        <v>28.45</v>
      </c>
      <c r="H136" s="333">
        <v>20006</v>
      </c>
      <c r="I136" s="337" t="s">
        <v>222</v>
      </c>
      <c r="J136" s="335" t="s">
        <v>0</v>
      </c>
      <c r="K136" s="339">
        <v>10.9</v>
      </c>
      <c r="L136" s="324">
        <f>'Mat Serv Eventuais'!E46</f>
        <v>0</v>
      </c>
      <c r="M136" s="325">
        <f t="shared" si="3"/>
        <v>0</v>
      </c>
    </row>
    <row r="137" spans="1:13" x14ac:dyDescent="0.35">
      <c r="A137" s="333">
        <v>4958</v>
      </c>
      <c r="B137" s="337" t="s">
        <v>69</v>
      </c>
      <c r="C137" s="335" t="s">
        <v>59</v>
      </c>
      <c r="D137" s="335">
        <v>1.68</v>
      </c>
      <c r="E137" s="324">
        <f>'Mat Serv Eventuais'!D47</f>
        <v>83.58</v>
      </c>
      <c r="F137" s="325">
        <f t="shared" si="2"/>
        <v>140.41</v>
      </c>
      <c r="H137" s="333">
        <v>4958</v>
      </c>
      <c r="I137" s="337" t="s">
        <v>69</v>
      </c>
      <c r="J137" s="335" t="s">
        <v>59</v>
      </c>
      <c r="K137" s="335">
        <v>1.68</v>
      </c>
      <c r="L137" s="324">
        <f>'Mat Serv Eventuais'!E47</f>
        <v>0</v>
      </c>
      <c r="M137" s="325">
        <f t="shared" si="3"/>
        <v>0</v>
      </c>
    </row>
    <row r="138" spans="1:13" x14ac:dyDescent="0.35">
      <c r="A138" s="333">
        <v>2433</v>
      </c>
      <c r="B138" s="337" t="s">
        <v>70</v>
      </c>
      <c r="C138" s="335" t="s">
        <v>1</v>
      </c>
      <c r="D138" s="335">
        <v>3</v>
      </c>
      <c r="E138" s="324">
        <f>'Mat Serv Eventuais'!D48</f>
        <v>7.9</v>
      </c>
      <c r="F138" s="325">
        <f t="shared" si="2"/>
        <v>23.7</v>
      </c>
      <c r="H138" s="333">
        <v>2433</v>
      </c>
      <c r="I138" s="337" t="s">
        <v>70</v>
      </c>
      <c r="J138" s="335" t="s">
        <v>1</v>
      </c>
      <c r="K138" s="335">
        <v>3</v>
      </c>
      <c r="L138" s="324">
        <f>'Mat Serv Eventuais'!E48</f>
        <v>0</v>
      </c>
      <c r="M138" s="325">
        <f t="shared" si="3"/>
        <v>0</v>
      </c>
    </row>
    <row r="139" spans="1:13" ht="24" customHeight="1" x14ac:dyDescent="0.35">
      <c r="A139" s="333">
        <v>3081</v>
      </c>
      <c r="B139" s="337" t="s">
        <v>71</v>
      </c>
      <c r="C139" s="335" t="s">
        <v>1</v>
      </c>
      <c r="D139" s="335">
        <v>1</v>
      </c>
      <c r="E139" s="324">
        <f>'Mat Serv Eventuais'!D49</f>
        <v>96.74</v>
      </c>
      <c r="F139" s="325">
        <f t="shared" si="2"/>
        <v>96.74</v>
      </c>
      <c r="H139" s="333">
        <v>3081</v>
      </c>
      <c r="I139" s="337" t="s">
        <v>71</v>
      </c>
      <c r="J139" s="335" t="s">
        <v>1</v>
      </c>
      <c r="K139" s="335">
        <v>1</v>
      </c>
      <c r="L139" s="324">
        <f>'Mat Serv Eventuais'!E49</f>
        <v>0</v>
      </c>
      <c r="M139" s="325">
        <f t="shared" si="3"/>
        <v>0</v>
      </c>
    </row>
    <row r="140" spans="1:13" x14ac:dyDescent="0.35">
      <c r="A140" s="320" t="s">
        <v>73</v>
      </c>
      <c r="B140" s="320"/>
      <c r="C140" s="631" t="s">
        <v>18</v>
      </c>
      <c r="D140" s="631"/>
      <c r="E140" s="632">
        <f>SUM(F129:F139)</f>
        <v>401.15</v>
      </c>
      <c r="F140" s="632"/>
      <c r="H140" s="320" t="s">
        <v>73</v>
      </c>
      <c r="I140" s="320"/>
      <c r="J140" s="631" t="s">
        <v>18</v>
      </c>
      <c r="K140" s="631"/>
      <c r="L140" s="632">
        <f>SUM(M129:M139)</f>
        <v>0</v>
      </c>
      <c r="M140" s="632"/>
    </row>
    <row r="141" spans="1:13" ht="22.5" customHeight="1" x14ac:dyDescent="0.35">
      <c r="A141" s="629" t="s">
        <v>1074</v>
      </c>
      <c r="B141" s="629"/>
      <c r="C141" s="328" t="s">
        <v>36</v>
      </c>
      <c r="D141" s="329"/>
      <c r="E141" s="330"/>
      <c r="F141" s="331">
        <f>SUM(E127,E140)</f>
        <v>524.28</v>
      </c>
      <c r="H141" s="629" t="s">
        <v>176</v>
      </c>
      <c r="I141" s="629"/>
      <c r="J141" s="328" t="s">
        <v>36</v>
      </c>
      <c r="K141" s="329"/>
      <c r="L141" s="330"/>
      <c r="M141" s="331">
        <f>SUM(L127,L140)</f>
        <v>0</v>
      </c>
    </row>
    <row r="142" spans="1:13" ht="6.75" customHeight="1" x14ac:dyDescent="0.35">
      <c r="A142" s="319"/>
      <c r="B142" s="319"/>
      <c r="C142" s="320"/>
      <c r="D142" s="627"/>
      <c r="E142" s="627"/>
      <c r="F142" s="627"/>
      <c r="H142" s="319"/>
      <c r="I142" s="319"/>
      <c r="J142" s="320"/>
      <c r="K142" s="627"/>
      <c r="L142" s="627"/>
      <c r="M142" s="627"/>
    </row>
    <row r="143" spans="1:13" ht="24" customHeight="1" x14ac:dyDescent="0.35">
      <c r="A143" s="630" t="s">
        <v>77</v>
      </c>
      <c r="B143" s="630"/>
      <c r="C143" s="630"/>
      <c r="D143" s="630"/>
      <c r="E143" s="630"/>
      <c r="F143" s="630"/>
      <c r="H143" s="630" t="s">
        <v>77</v>
      </c>
      <c r="I143" s="630"/>
      <c r="J143" s="630"/>
      <c r="K143" s="630"/>
      <c r="L143" s="630"/>
      <c r="M143" s="630"/>
    </row>
    <row r="144" spans="1:13" x14ac:dyDescent="0.35">
      <c r="A144" s="321" t="s">
        <v>13</v>
      </c>
      <c r="B144" s="321" t="s">
        <v>14</v>
      </c>
      <c r="C144" s="321" t="s">
        <v>15</v>
      </c>
      <c r="D144" s="321" t="s">
        <v>16</v>
      </c>
      <c r="E144" s="321" t="s">
        <v>24</v>
      </c>
      <c r="F144" s="321" t="s">
        <v>17</v>
      </c>
      <c r="H144" s="321" t="s">
        <v>13</v>
      </c>
      <c r="I144" s="321" t="s">
        <v>14</v>
      </c>
      <c r="J144" s="321" t="s">
        <v>15</v>
      </c>
      <c r="K144" s="321" t="s">
        <v>16</v>
      </c>
      <c r="L144" s="321" t="s">
        <v>24</v>
      </c>
      <c r="M144" s="321" t="s">
        <v>17</v>
      </c>
    </row>
    <row r="145" spans="1:13" x14ac:dyDescent="0.35">
      <c r="A145" s="333">
        <v>6117</v>
      </c>
      <c r="B145" s="334" t="s">
        <v>63</v>
      </c>
      <c r="C145" s="335" t="s">
        <v>6</v>
      </c>
      <c r="D145" s="335">
        <v>3.75</v>
      </c>
      <c r="E145" s="324">
        <f>'Mat Serv Eventuais'!D13</f>
        <v>10.59</v>
      </c>
      <c r="F145" s="325">
        <f>ROUND(D145*E145,2)</f>
        <v>39.71</v>
      </c>
      <c r="H145" s="333">
        <v>6117</v>
      </c>
      <c r="I145" s="334" t="s">
        <v>63</v>
      </c>
      <c r="J145" s="335" t="s">
        <v>6</v>
      </c>
      <c r="K145" s="335">
        <v>3.75</v>
      </c>
      <c r="L145" s="324">
        <f>'Mat Serv Eventuais'!E13</f>
        <v>0</v>
      </c>
      <c r="M145" s="325">
        <f>ROUND(K145*L145,2)</f>
        <v>0</v>
      </c>
    </row>
    <row r="146" spans="1:13" x14ac:dyDescent="0.35">
      <c r="A146" s="333">
        <v>1213</v>
      </c>
      <c r="B146" s="334" t="s">
        <v>64</v>
      </c>
      <c r="C146" s="335" t="s">
        <v>6</v>
      </c>
      <c r="D146" s="335">
        <v>3.75</v>
      </c>
      <c r="E146" s="324">
        <f>'Mat Serv Eventuais'!D14</f>
        <v>13.45</v>
      </c>
      <c r="F146" s="325">
        <f>ROUND(D146*E146,2)</f>
        <v>50.44</v>
      </c>
      <c r="H146" s="333">
        <v>1213</v>
      </c>
      <c r="I146" s="334" t="s">
        <v>64</v>
      </c>
      <c r="J146" s="335" t="s">
        <v>6</v>
      </c>
      <c r="K146" s="335">
        <v>3.75</v>
      </c>
      <c r="L146" s="324">
        <f>'Mat Serv Eventuais'!E14</f>
        <v>0</v>
      </c>
      <c r="M146" s="325">
        <f>ROUND(K146*L146,2)</f>
        <v>0</v>
      </c>
    </row>
    <row r="147" spans="1:13" x14ac:dyDescent="0.35">
      <c r="A147" s="333">
        <v>4750</v>
      </c>
      <c r="B147" s="334" t="s">
        <v>40</v>
      </c>
      <c r="C147" s="335" t="s">
        <v>6</v>
      </c>
      <c r="D147" s="335">
        <v>1.4</v>
      </c>
      <c r="E147" s="324">
        <f>'Mat Serv Eventuais'!D9</f>
        <v>13.45</v>
      </c>
      <c r="F147" s="325">
        <f>ROUND(D147*E147,2)</f>
        <v>18.829999999999998</v>
      </c>
      <c r="H147" s="333">
        <v>4750</v>
      </c>
      <c r="I147" s="334" t="s">
        <v>40</v>
      </c>
      <c r="J147" s="335" t="s">
        <v>6</v>
      </c>
      <c r="K147" s="335">
        <v>1.4</v>
      </c>
      <c r="L147" s="324">
        <f>'Mat Serv Eventuais'!E9</f>
        <v>0</v>
      </c>
      <c r="M147" s="325">
        <f>ROUND(K147*L147,2)</f>
        <v>0</v>
      </c>
    </row>
    <row r="148" spans="1:13" x14ac:dyDescent="0.35">
      <c r="A148" s="333">
        <v>6111</v>
      </c>
      <c r="B148" s="334" t="s">
        <v>41</v>
      </c>
      <c r="C148" s="335" t="s">
        <v>6</v>
      </c>
      <c r="D148" s="335">
        <v>1.4</v>
      </c>
      <c r="E148" s="324">
        <f>'Mat Serv Eventuais'!D8</f>
        <v>10.11</v>
      </c>
      <c r="F148" s="325">
        <f>ROUND(D148*E148,2)</f>
        <v>14.15</v>
      </c>
      <c r="H148" s="333">
        <v>6111</v>
      </c>
      <c r="I148" s="334" t="s">
        <v>41</v>
      </c>
      <c r="J148" s="335" t="s">
        <v>6</v>
      </c>
      <c r="K148" s="335">
        <v>1.4</v>
      </c>
      <c r="L148" s="324">
        <f>'Mat Serv Eventuais'!E8</f>
        <v>0</v>
      </c>
      <c r="M148" s="325">
        <f>ROUND(K148*L148,2)</f>
        <v>0</v>
      </c>
    </row>
    <row r="149" spans="1:13" x14ac:dyDescent="0.35">
      <c r="A149" s="315"/>
      <c r="B149" s="326"/>
      <c r="C149" s="631" t="s">
        <v>18</v>
      </c>
      <c r="D149" s="631"/>
      <c r="E149" s="632">
        <f>SUM(F145:F148)</f>
        <v>123.13000000000001</v>
      </c>
      <c r="F149" s="632"/>
      <c r="H149" s="315"/>
      <c r="I149" s="326"/>
      <c r="J149" s="631" t="s">
        <v>18</v>
      </c>
      <c r="K149" s="631"/>
      <c r="L149" s="632">
        <f>SUM(M145:M148)</f>
        <v>0</v>
      </c>
      <c r="M149" s="632"/>
    </row>
    <row r="150" spans="1:13" x14ac:dyDescent="0.35">
      <c r="A150" s="321" t="s">
        <v>13</v>
      </c>
      <c r="B150" s="321" t="s">
        <v>19</v>
      </c>
      <c r="C150" s="321" t="s">
        <v>15</v>
      </c>
      <c r="D150" s="321" t="s">
        <v>16</v>
      </c>
      <c r="E150" s="321" t="s">
        <v>24</v>
      </c>
      <c r="F150" s="321" t="s">
        <v>17</v>
      </c>
      <c r="H150" s="321" t="s">
        <v>13</v>
      </c>
      <c r="I150" s="321" t="s">
        <v>19</v>
      </c>
      <c r="J150" s="321" t="s">
        <v>15</v>
      </c>
      <c r="K150" s="321" t="s">
        <v>16</v>
      </c>
      <c r="L150" s="321" t="s">
        <v>24</v>
      </c>
      <c r="M150" s="321" t="s">
        <v>17</v>
      </c>
    </row>
    <row r="151" spans="1:13" x14ac:dyDescent="0.35">
      <c r="A151" s="333">
        <v>370</v>
      </c>
      <c r="B151" s="334" t="s">
        <v>42</v>
      </c>
      <c r="C151" s="335" t="s">
        <v>60</v>
      </c>
      <c r="D151" s="335">
        <v>1.06E-2</v>
      </c>
      <c r="E151" s="324">
        <f>'Mat Serv Eventuais'!D26</f>
        <v>87.5</v>
      </c>
      <c r="F151" s="325">
        <f t="shared" ref="F151:F161" si="4">ROUND(D151*E151,2)</f>
        <v>0.93</v>
      </c>
      <c r="H151" s="333">
        <v>370</v>
      </c>
      <c r="I151" s="334" t="s">
        <v>42</v>
      </c>
      <c r="J151" s="335" t="s">
        <v>60</v>
      </c>
      <c r="K151" s="335">
        <v>1.06E-2</v>
      </c>
      <c r="L151" s="324">
        <f>'Mat Serv Eventuais'!E26</f>
        <v>0</v>
      </c>
      <c r="M151" s="325">
        <f t="shared" ref="M151:M161" si="5">ROUND(K151*L151,2)</f>
        <v>0</v>
      </c>
    </row>
    <row r="152" spans="1:13" x14ac:dyDescent="0.35">
      <c r="A152" s="333">
        <v>1106</v>
      </c>
      <c r="B152" s="337" t="s">
        <v>61</v>
      </c>
      <c r="C152" s="335" t="s">
        <v>20</v>
      </c>
      <c r="D152" s="335">
        <v>1.72</v>
      </c>
      <c r="E152" s="324">
        <f>'Mat Serv Eventuais'!D28</f>
        <v>0.75</v>
      </c>
      <c r="F152" s="325">
        <f t="shared" si="4"/>
        <v>1.29</v>
      </c>
      <c r="H152" s="333">
        <v>1106</v>
      </c>
      <c r="I152" s="337" t="s">
        <v>61</v>
      </c>
      <c r="J152" s="335" t="s">
        <v>20</v>
      </c>
      <c r="K152" s="335">
        <v>1.72</v>
      </c>
      <c r="L152" s="324">
        <f>'Mat Serv Eventuais'!E28</f>
        <v>0</v>
      </c>
      <c r="M152" s="325">
        <f t="shared" si="5"/>
        <v>0</v>
      </c>
    </row>
    <row r="153" spans="1:13" x14ac:dyDescent="0.35">
      <c r="A153" s="333">
        <v>1379</v>
      </c>
      <c r="B153" s="337" t="s">
        <v>62</v>
      </c>
      <c r="C153" s="335" t="s">
        <v>20</v>
      </c>
      <c r="D153" s="335">
        <v>1.72</v>
      </c>
      <c r="E153" s="324">
        <f>'Mat Serv Eventuais'!D27</f>
        <v>0.64</v>
      </c>
      <c r="F153" s="325">
        <f t="shared" si="4"/>
        <v>1.1000000000000001</v>
      </c>
      <c r="H153" s="333">
        <v>1379</v>
      </c>
      <c r="I153" s="337" t="s">
        <v>62</v>
      </c>
      <c r="J153" s="335" t="s">
        <v>20</v>
      </c>
      <c r="K153" s="335">
        <v>1.72</v>
      </c>
      <c r="L153" s="324">
        <f>'Mat Serv Eventuais'!E27</f>
        <v>0</v>
      </c>
      <c r="M153" s="325">
        <f t="shared" si="5"/>
        <v>0</v>
      </c>
    </row>
    <row r="154" spans="1:13" x14ac:dyDescent="0.35">
      <c r="A154" s="333">
        <v>5067</v>
      </c>
      <c r="B154" s="337" t="s">
        <v>65</v>
      </c>
      <c r="C154" s="335" t="s">
        <v>20</v>
      </c>
      <c r="D154" s="335">
        <v>0.25</v>
      </c>
      <c r="E154" s="324">
        <f>'Mat Serv Eventuais'!D42</f>
        <v>16.100000000000001</v>
      </c>
      <c r="F154" s="325">
        <f t="shared" si="4"/>
        <v>4.03</v>
      </c>
      <c r="H154" s="333">
        <v>5067</v>
      </c>
      <c r="I154" s="337" t="s">
        <v>65</v>
      </c>
      <c r="J154" s="335" t="s">
        <v>20</v>
      </c>
      <c r="K154" s="335">
        <v>0.25</v>
      </c>
      <c r="L154" s="324">
        <f>'Mat Serv Eventuais'!E42</f>
        <v>0</v>
      </c>
      <c r="M154" s="325">
        <f t="shared" si="5"/>
        <v>0</v>
      </c>
    </row>
    <row r="155" spans="1:13" x14ac:dyDescent="0.35">
      <c r="A155" s="333">
        <v>4381</v>
      </c>
      <c r="B155" s="337" t="s">
        <v>66</v>
      </c>
      <c r="C155" s="335" t="s">
        <v>1</v>
      </c>
      <c r="D155" s="335">
        <v>8</v>
      </c>
      <c r="E155" s="324">
        <f>'Mat Serv Eventuais'!D43</f>
        <v>0.3</v>
      </c>
      <c r="F155" s="325">
        <f t="shared" si="4"/>
        <v>2.4</v>
      </c>
      <c r="H155" s="333">
        <v>4381</v>
      </c>
      <c r="I155" s="337" t="s">
        <v>66</v>
      </c>
      <c r="J155" s="335" t="s">
        <v>1</v>
      </c>
      <c r="K155" s="335">
        <v>8</v>
      </c>
      <c r="L155" s="324">
        <f>'Mat Serv Eventuais'!E43</f>
        <v>0</v>
      </c>
      <c r="M155" s="325">
        <f t="shared" si="5"/>
        <v>0</v>
      </c>
    </row>
    <row r="156" spans="1:13" ht="24" customHeight="1" x14ac:dyDescent="0.35">
      <c r="A156" s="333">
        <v>20017</v>
      </c>
      <c r="B156" s="337" t="s">
        <v>67</v>
      </c>
      <c r="C156" s="335" t="s">
        <v>0</v>
      </c>
      <c r="D156" s="335">
        <v>0.36</v>
      </c>
      <c r="E156" s="324">
        <f>'Mat Serv Eventuais'!D44</f>
        <v>3.75</v>
      </c>
      <c r="F156" s="325">
        <f t="shared" si="4"/>
        <v>1.35</v>
      </c>
      <c r="H156" s="333">
        <v>20017</v>
      </c>
      <c r="I156" s="337" t="s">
        <v>67</v>
      </c>
      <c r="J156" s="335" t="s">
        <v>0</v>
      </c>
      <c r="K156" s="335">
        <v>0.36</v>
      </c>
      <c r="L156" s="324">
        <f>'Mat Serv Eventuais'!E44</f>
        <v>0</v>
      </c>
      <c r="M156" s="325">
        <f t="shared" si="5"/>
        <v>0</v>
      </c>
    </row>
    <row r="157" spans="1:13" ht="24" customHeight="1" x14ac:dyDescent="0.35">
      <c r="A157" s="333">
        <v>191</v>
      </c>
      <c r="B157" s="337" t="s">
        <v>68</v>
      </c>
      <c r="C157" s="335" t="s">
        <v>1</v>
      </c>
      <c r="D157" s="335">
        <v>1</v>
      </c>
      <c r="E157" s="324">
        <f>'Mat Serv Eventuais'!D45</f>
        <v>100.75</v>
      </c>
      <c r="F157" s="325">
        <f t="shared" si="4"/>
        <v>100.75</v>
      </c>
      <c r="H157" s="333">
        <v>191</v>
      </c>
      <c r="I157" s="337" t="s">
        <v>68</v>
      </c>
      <c r="J157" s="335" t="s">
        <v>1</v>
      </c>
      <c r="K157" s="335">
        <v>1</v>
      </c>
      <c r="L157" s="324">
        <f>'Mat Serv Eventuais'!E45</f>
        <v>0</v>
      </c>
      <c r="M157" s="325">
        <f t="shared" si="5"/>
        <v>0</v>
      </c>
    </row>
    <row r="158" spans="1:13" x14ac:dyDescent="0.35">
      <c r="A158" s="333">
        <v>20006</v>
      </c>
      <c r="B158" s="337" t="s">
        <v>222</v>
      </c>
      <c r="C158" s="335" t="s">
        <v>1</v>
      </c>
      <c r="D158" s="339">
        <v>11</v>
      </c>
      <c r="E158" s="324">
        <f>'Mat Serv Eventuais'!D46</f>
        <v>2.61</v>
      </c>
      <c r="F158" s="325">
        <f t="shared" si="4"/>
        <v>28.71</v>
      </c>
      <c r="H158" s="333">
        <v>20006</v>
      </c>
      <c r="I158" s="337" t="s">
        <v>222</v>
      </c>
      <c r="J158" s="335" t="s">
        <v>1</v>
      </c>
      <c r="K158" s="339">
        <v>11</v>
      </c>
      <c r="L158" s="324">
        <f>'Mat Serv Eventuais'!E46</f>
        <v>0</v>
      </c>
      <c r="M158" s="325">
        <f t="shared" si="5"/>
        <v>0</v>
      </c>
    </row>
    <row r="159" spans="1:13" x14ac:dyDescent="0.35">
      <c r="A159" s="333">
        <v>4958</v>
      </c>
      <c r="B159" s="337" t="s">
        <v>69</v>
      </c>
      <c r="C159" s="335" t="s">
        <v>59</v>
      </c>
      <c r="D159" s="335">
        <v>1.89</v>
      </c>
      <c r="E159" s="324">
        <f>'Mat Serv Eventuais'!D47</f>
        <v>83.58</v>
      </c>
      <c r="F159" s="325">
        <f t="shared" si="4"/>
        <v>157.97</v>
      </c>
      <c r="H159" s="333">
        <v>4958</v>
      </c>
      <c r="I159" s="337" t="s">
        <v>69</v>
      </c>
      <c r="J159" s="335" t="s">
        <v>59</v>
      </c>
      <c r="K159" s="335">
        <v>1.89</v>
      </c>
      <c r="L159" s="324">
        <f>'Mat Serv Eventuais'!E47</f>
        <v>0</v>
      </c>
      <c r="M159" s="325">
        <f t="shared" si="5"/>
        <v>0</v>
      </c>
    </row>
    <row r="160" spans="1:13" x14ac:dyDescent="0.35">
      <c r="A160" s="333">
        <v>2433</v>
      </c>
      <c r="B160" s="337" t="s">
        <v>70</v>
      </c>
      <c r="C160" s="335" t="s">
        <v>1</v>
      </c>
      <c r="D160" s="335">
        <v>3</v>
      </c>
      <c r="E160" s="324">
        <f>'Mat Serv Eventuais'!D48</f>
        <v>7.9</v>
      </c>
      <c r="F160" s="325">
        <f t="shared" si="4"/>
        <v>23.7</v>
      </c>
      <c r="H160" s="333">
        <v>2433</v>
      </c>
      <c r="I160" s="337" t="s">
        <v>70</v>
      </c>
      <c r="J160" s="335" t="s">
        <v>1</v>
      </c>
      <c r="K160" s="335">
        <v>3</v>
      </c>
      <c r="L160" s="324">
        <f>'Mat Serv Eventuais'!E48</f>
        <v>0</v>
      </c>
      <c r="M160" s="325">
        <f t="shared" si="5"/>
        <v>0</v>
      </c>
    </row>
    <row r="161" spans="1:13" ht="24" customHeight="1" x14ac:dyDescent="0.35">
      <c r="A161" s="333">
        <v>3081</v>
      </c>
      <c r="B161" s="337" t="s">
        <v>71</v>
      </c>
      <c r="C161" s="335" t="s">
        <v>1</v>
      </c>
      <c r="D161" s="335">
        <v>1</v>
      </c>
      <c r="E161" s="324">
        <f>'Mat Serv Eventuais'!D49</f>
        <v>96.74</v>
      </c>
      <c r="F161" s="325">
        <f t="shared" si="4"/>
        <v>96.74</v>
      </c>
      <c r="H161" s="333">
        <v>3081</v>
      </c>
      <c r="I161" s="337" t="s">
        <v>71</v>
      </c>
      <c r="J161" s="335" t="s">
        <v>1</v>
      </c>
      <c r="K161" s="335">
        <v>1</v>
      </c>
      <c r="L161" s="324">
        <f>'Mat Serv Eventuais'!E49</f>
        <v>0</v>
      </c>
      <c r="M161" s="325">
        <f t="shared" si="5"/>
        <v>0</v>
      </c>
    </row>
    <row r="162" spans="1:13" x14ac:dyDescent="0.35">
      <c r="A162" s="320" t="s">
        <v>73</v>
      </c>
      <c r="B162" s="320"/>
      <c r="C162" s="631" t="s">
        <v>18</v>
      </c>
      <c r="D162" s="631"/>
      <c r="E162" s="632">
        <f>SUM(F151:F161)</f>
        <v>418.96999999999997</v>
      </c>
      <c r="F162" s="632"/>
      <c r="H162" s="320" t="s">
        <v>73</v>
      </c>
      <c r="I162" s="320"/>
      <c r="J162" s="631" t="s">
        <v>18</v>
      </c>
      <c r="K162" s="631"/>
      <c r="L162" s="632">
        <f>SUM(M151:M161)</f>
        <v>0</v>
      </c>
      <c r="M162" s="632"/>
    </row>
    <row r="163" spans="1:13" ht="22.5" customHeight="1" x14ac:dyDescent="0.35">
      <c r="A163" s="629" t="s">
        <v>1074</v>
      </c>
      <c r="B163" s="629"/>
      <c r="C163" s="328" t="s">
        <v>36</v>
      </c>
      <c r="D163" s="329"/>
      <c r="E163" s="330"/>
      <c r="F163" s="331">
        <f>SUM(E149,E162)</f>
        <v>542.1</v>
      </c>
      <c r="H163" s="629" t="s">
        <v>176</v>
      </c>
      <c r="I163" s="629"/>
      <c r="J163" s="328" t="s">
        <v>36</v>
      </c>
      <c r="K163" s="329"/>
      <c r="L163" s="330"/>
      <c r="M163" s="331">
        <f>SUM(L149,L162)</f>
        <v>0</v>
      </c>
    </row>
    <row r="164" spans="1:13" ht="6.75" customHeight="1" x14ac:dyDescent="0.35">
      <c r="A164" s="319"/>
      <c r="B164" s="319"/>
      <c r="C164" s="320"/>
      <c r="D164" s="627"/>
      <c r="E164" s="627"/>
      <c r="F164" s="627"/>
      <c r="H164" s="319"/>
      <c r="I164" s="319"/>
      <c r="J164" s="320"/>
      <c r="K164" s="627"/>
      <c r="L164" s="627"/>
      <c r="M164" s="627"/>
    </row>
    <row r="165" spans="1:13" ht="6.75" customHeight="1" x14ac:dyDescent="0.35">
      <c r="A165" s="319"/>
      <c r="B165" s="319"/>
      <c r="C165" s="320"/>
      <c r="D165" s="627"/>
      <c r="E165" s="627"/>
      <c r="F165" s="627"/>
      <c r="H165" s="319"/>
      <c r="I165" s="319"/>
      <c r="J165" s="320"/>
      <c r="K165" s="627"/>
      <c r="L165" s="627"/>
      <c r="M165" s="627"/>
    </row>
    <row r="166" spans="1:13" ht="6.75" customHeight="1" x14ac:dyDescent="0.35">
      <c r="A166" s="319"/>
      <c r="B166" s="319"/>
      <c r="C166" s="320"/>
      <c r="D166" s="627"/>
      <c r="E166" s="627"/>
      <c r="F166" s="627"/>
      <c r="H166" s="319"/>
      <c r="I166" s="319"/>
      <c r="J166" s="320"/>
      <c r="K166" s="627"/>
      <c r="L166" s="627"/>
      <c r="M166" s="627"/>
    </row>
    <row r="167" spans="1:13" ht="15" customHeight="1" x14ac:dyDescent="0.35">
      <c r="A167" s="630" t="s">
        <v>79</v>
      </c>
      <c r="B167" s="630"/>
      <c r="C167" s="630"/>
      <c r="D167" s="630"/>
      <c r="E167" s="630"/>
      <c r="F167" s="630"/>
      <c r="H167" s="630" t="s">
        <v>79</v>
      </c>
      <c r="I167" s="630"/>
      <c r="J167" s="630"/>
      <c r="K167" s="630"/>
      <c r="L167" s="630"/>
      <c r="M167" s="630"/>
    </row>
    <row r="168" spans="1:13" x14ac:dyDescent="0.35">
      <c r="A168" s="321" t="s">
        <v>13</v>
      </c>
      <c r="B168" s="321" t="s">
        <v>14</v>
      </c>
      <c r="C168" s="321" t="s">
        <v>15</v>
      </c>
      <c r="D168" s="321" t="s">
        <v>16</v>
      </c>
      <c r="E168" s="321" t="s">
        <v>24</v>
      </c>
      <c r="F168" s="321" t="s">
        <v>17</v>
      </c>
      <c r="H168" s="321" t="s">
        <v>13</v>
      </c>
      <c r="I168" s="321" t="s">
        <v>14</v>
      </c>
      <c r="J168" s="321" t="s">
        <v>15</v>
      </c>
      <c r="K168" s="321" t="s">
        <v>16</v>
      </c>
      <c r="L168" s="321" t="s">
        <v>24</v>
      </c>
      <c r="M168" s="321" t="s">
        <v>17</v>
      </c>
    </row>
    <row r="169" spans="1:13" x14ac:dyDescent="0.35">
      <c r="A169" s="333">
        <v>6111</v>
      </c>
      <c r="B169" s="334" t="s">
        <v>41</v>
      </c>
      <c r="C169" s="335" t="s">
        <v>6</v>
      </c>
      <c r="D169" s="335">
        <v>0.4</v>
      </c>
      <c r="E169" s="324">
        <f>'Mat Serv Eventuais'!D8</f>
        <v>10.11</v>
      </c>
      <c r="F169" s="325">
        <f>ROUND(D169*E169,2)</f>
        <v>4.04</v>
      </c>
      <c r="H169" s="333">
        <v>6111</v>
      </c>
      <c r="I169" s="334" t="s">
        <v>41</v>
      </c>
      <c r="J169" s="335" t="s">
        <v>6</v>
      </c>
      <c r="K169" s="335">
        <v>0.4</v>
      </c>
      <c r="L169" s="324">
        <f>'Mat Serv Eventuais'!E8</f>
        <v>0</v>
      </c>
      <c r="M169" s="325">
        <f>ROUND(K169*L169,2)</f>
        <v>0</v>
      </c>
    </row>
    <row r="170" spans="1:13" x14ac:dyDescent="0.35">
      <c r="A170" s="315"/>
      <c r="B170" s="326"/>
      <c r="C170" s="631" t="s">
        <v>18</v>
      </c>
      <c r="D170" s="631"/>
      <c r="E170" s="632">
        <f>SUM(F169)</f>
        <v>4.04</v>
      </c>
      <c r="F170" s="632"/>
      <c r="H170" s="315"/>
      <c r="I170" s="326"/>
      <c r="J170" s="631" t="s">
        <v>18</v>
      </c>
      <c r="K170" s="631"/>
      <c r="L170" s="632">
        <f>SUM(M169)</f>
        <v>0</v>
      </c>
      <c r="M170" s="632"/>
    </row>
    <row r="171" spans="1:13" x14ac:dyDescent="0.35">
      <c r="A171" s="321" t="s">
        <v>13</v>
      </c>
      <c r="B171" s="321" t="s">
        <v>19</v>
      </c>
      <c r="C171" s="321" t="s">
        <v>15</v>
      </c>
      <c r="D171" s="321" t="s">
        <v>16</v>
      </c>
      <c r="E171" s="321" t="s">
        <v>24</v>
      </c>
      <c r="F171" s="321" t="s">
        <v>17</v>
      </c>
      <c r="H171" s="321" t="s">
        <v>13</v>
      </c>
      <c r="I171" s="321" t="s">
        <v>19</v>
      </c>
      <c r="J171" s="321" t="s">
        <v>15</v>
      </c>
      <c r="K171" s="321" t="s">
        <v>16</v>
      </c>
      <c r="L171" s="321" t="s">
        <v>24</v>
      </c>
      <c r="M171" s="321" t="s">
        <v>17</v>
      </c>
    </row>
    <row r="172" spans="1:13" x14ac:dyDescent="0.35">
      <c r="A172" s="333">
        <v>626</v>
      </c>
      <c r="B172" s="337" t="s">
        <v>926</v>
      </c>
      <c r="C172" s="335" t="s">
        <v>20</v>
      </c>
      <c r="D172" s="335">
        <v>2.2999999999999998</v>
      </c>
      <c r="E172" s="324">
        <f>'Mat Serv Eventuais'!D53</f>
        <v>17.72</v>
      </c>
      <c r="F172" s="325">
        <f>ROUND(D172*E172,2)</f>
        <v>40.76</v>
      </c>
      <c r="H172" s="333">
        <v>7331</v>
      </c>
      <c r="I172" s="337" t="s">
        <v>80</v>
      </c>
      <c r="J172" s="335" t="s">
        <v>20</v>
      </c>
      <c r="K172" s="335">
        <v>2.2999999999999998</v>
      </c>
      <c r="L172" s="324">
        <f>'Mat Serv Eventuais'!E53</f>
        <v>0</v>
      </c>
      <c r="M172" s="325">
        <f>ROUND(K172*L172,2)</f>
        <v>0</v>
      </c>
    </row>
    <row r="173" spans="1:13" x14ac:dyDescent="0.35">
      <c r="A173" s="320" t="s">
        <v>81</v>
      </c>
      <c r="B173" s="320"/>
      <c r="C173" s="631" t="s">
        <v>18</v>
      </c>
      <c r="D173" s="631"/>
      <c r="E173" s="632">
        <f>SUM(F172)</f>
        <v>40.76</v>
      </c>
      <c r="F173" s="632"/>
      <c r="H173" s="320" t="s">
        <v>81</v>
      </c>
      <c r="I173" s="320"/>
      <c r="J173" s="631" t="s">
        <v>18</v>
      </c>
      <c r="K173" s="631"/>
      <c r="L173" s="632">
        <f>SUM(M172)</f>
        <v>0</v>
      </c>
      <c r="M173" s="632"/>
    </row>
    <row r="174" spans="1:13" ht="22.5" customHeight="1" x14ac:dyDescent="0.35">
      <c r="A174" s="629" t="s">
        <v>1074</v>
      </c>
      <c r="B174" s="629"/>
      <c r="C174" s="328" t="s">
        <v>47</v>
      </c>
      <c r="D174" s="329"/>
      <c r="E174" s="330"/>
      <c r="F174" s="331">
        <f>SUM(E170,E173)</f>
        <v>44.8</v>
      </c>
      <c r="H174" s="629" t="s">
        <v>176</v>
      </c>
      <c r="I174" s="629"/>
      <c r="J174" s="328" t="s">
        <v>47</v>
      </c>
      <c r="K174" s="329"/>
      <c r="L174" s="330"/>
      <c r="M174" s="331">
        <f>SUM(L170,L173)</f>
        <v>0</v>
      </c>
    </row>
    <row r="175" spans="1:13" ht="6.75" customHeight="1" x14ac:dyDescent="0.35">
      <c r="A175" s="340"/>
      <c r="B175" s="319"/>
      <c r="C175" s="320"/>
      <c r="D175" s="627"/>
      <c r="E175" s="627"/>
      <c r="F175" s="627"/>
      <c r="H175" s="340"/>
      <c r="I175" s="319"/>
      <c r="J175" s="320"/>
      <c r="K175" s="627"/>
      <c r="L175" s="627"/>
      <c r="M175" s="627"/>
    </row>
    <row r="176" spans="1:13" ht="6.75" customHeight="1" x14ac:dyDescent="0.35">
      <c r="A176" s="319"/>
      <c r="B176" s="319"/>
      <c r="C176" s="320"/>
      <c r="D176" s="627"/>
      <c r="E176" s="627"/>
      <c r="F176" s="627"/>
      <c r="H176" s="319"/>
      <c r="I176" s="319"/>
      <c r="J176" s="320"/>
      <c r="K176" s="627"/>
      <c r="L176" s="627"/>
      <c r="M176" s="627"/>
    </row>
    <row r="177" spans="1:13" ht="6.75" customHeight="1" x14ac:dyDescent="0.35">
      <c r="A177" s="341"/>
      <c r="B177" s="315"/>
      <c r="C177" s="341"/>
      <c r="D177" s="341"/>
      <c r="E177" s="341"/>
      <c r="F177" s="315"/>
      <c r="H177" s="341"/>
      <c r="I177" s="315"/>
      <c r="J177" s="341"/>
      <c r="K177" s="341"/>
      <c r="L177" s="341"/>
      <c r="M177" s="315"/>
    </row>
    <row r="178" spans="1:13" ht="15" customHeight="1" x14ac:dyDescent="0.35">
      <c r="A178" s="630" t="s">
        <v>82</v>
      </c>
      <c r="B178" s="630"/>
      <c r="C178" s="630"/>
      <c r="D178" s="630"/>
      <c r="E178" s="630"/>
      <c r="F178" s="630"/>
      <c r="H178" s="630" t="s">
        <v>82</v>
      </c>
      <c r="I178" s="630"/>
      <c r="J178" s="630"/>
      <c r="K178" s="630"/>
      <c r="L178" s="630"/>
      <c r="M178" s="630"/>
    </row>
    <row r="179" spans="1:13" x14ac:dyDescent="0.35">
      <c r="A179" s="321" t="s">
        <v>13</v>
      </c>
      <c r="B179" s="321" t="s">
        <v>14</v>
      </c>
      <c r="C179" s="321" t="s">
        <v>15</v>
      </c>
      <c r="D179" s="321" t="s">
        <v>16</v>
      </c>
      <c r="E179" s="321" t="s">
        <v>24</v>
      </c>
      <c r="F179" s="321" t="s">
        <v>17</v>
      </c>
      <c r="H179" s="321" t="s">
        <v>13</v>
      </c>
      <c r="I179" s="321" t="s">
        <v>14</v>
      </c>
      <c r="J179" s="321" t="s">
        <v>15</v>
      </c>
      <c r="K179" s="321" t="s">
        <v>16</v>
      </c>
      <c r="L179" s="321" t="s">
        <v>24</v>
      </c>
      <c r="M179" s="321" t="s">
        <v>17</v>
      </c>
    </row>
    <row r="180" spans="1:13" x14ac:dyDescent="0.35">
      <c r="A180" s="333">
        <v>4783</v>
      </c>
      <c r="B180" s="334" t="s">
        <v>83</v>
      </c>
      <c r="C180" s="335" t="s">
        <v>6</v>
      </c>
      <c r="D180" s="335">
        <v>0.4</v>
      </c>
      <c r="E180" s="324">
        <f>'Mat Serv Eventuais'!D10</f>
        <v>13.45</v>
      </c>
      <c r="F180" s="325">
        <f>ROUND(D180*E180,2)</f>
        <v>5.38</v>
      </c>
      <c r="H180" s="333">
        <v>4783</v>
      </c>
      <c r="I180" s="334" t="s">
        <v>83</v>
      </c>
      <c r="J180" s="335" t="s">
        <v>6</v>
      </c>
      <c r="K180" s="335">
        <v>0.4</v>
      </c>
      <c r="L180" s="324">
        <f>'Mat Serv Eventuais'!E10</f>
        <v>0</v>
      </c>
      <c r="M180" s="325">
        <f>ROUND(K180*L180,2)</f>
        <v>0</v>
      </c>
    </row>
    <row r="181" spans="1:13" x14ac:dyDescent="0.35">
      <c r="A181" s="333">
        <v>34466</v>
      </c>
      <c r="B181" s="336" t="s">
        <v>194</v>
      </c>
      <c r="C181" s="335" t="s">
        <v>6</v>
      </c>
      <c r="D181" s="335">
        <v>0.35</v>
      </c>
      <c r="E181" s="324">
        <f>'Mat Serv Eventuais'!D16</f>
        <v>9.69</v>
      </c>
      <c r="F181" s="325">
        <f>ROUND(D181*E181,2)</f>
        <v>3.39</v>
      </c>
      <c r="H181" s="333">
        <v>34466</v>
      </c>
      <c r="I181" s="336" t="s">
        <v>194</v>
      </c>
      <c r="J181" s="335" t="s">
        <v>6</v>
      </c>
      <c r="K181" s="335">
        <v>0.35</v>
      </c>
      <c r="L181" s="324">
        <f>'Mat Serv Eventuais'!E16</f>
        <v>0</v>
      </c>
      <c r="M181" s="325">
        <f>ROUND(K181*L181,2)</f>
        <v>0</v>
      </c>
    </row>
    <row r="182" spans="1:13" x14ac:dyDescent="0.35">
      <c r="A182" s="315"/>
      <c r="B182" s="326"/>
      <c r="C182" s="631" t="s">
        <v>18</v>
      </c>
      <c r="D182" s="631"/>
      <c r="E182" s="632">
        <f>SUM(F180:F181)</f>
        <v>8.77</v>
      </c>
      <c r="F182" s="632"/>
      <c r="H182" s="315"/>
      <c r="I182" s="326"/>
      <c r="J182" s="631" t="s">
        <v>18</v>
      </c>
      <c r="K182" s="631"/>
      <c r="L182" s="632">
        <f>SUM(M180:M181)</f>
        <v>0</v>
      </c>
      <c r="M182" s="632"/>
    </row>
    <row r="183" spans="1:13" x14ac:dyDescent="0.35">
      <c r="A183" s="321" t="s">
        <v>13</v>
      </c>
      <c r="B183" s="321" t="s">
        <v>19</v>
      </c>
      <c r="C183" s="321" t="s">
        <v>15</v>
      </c>
      <c r="D183" s="321" t="s">
        <v>16</v>
      </c>
      <c r="E183" s="321" t="s">
        <v>24</v>
      </c>
      <c r="F183" s="321" t="s">
        <v>17</v>
      </c>
      <c r="H183" s="321" t="s">
        <v>13</v>
      </c>
      <c r="I183" s="321" t="s">
        <v>19</v>
      </c>
      <c r="J183" s="321" t="s">
        <v>15</v>
      </c>
      <c r="K183" s="321" t="s">
        <v>16</v>
      </c>
      <c r="L183" s="321" t="s">
        <v>24</v>
      </c>
      <c r="M183" s="321" t="s">
        <v>17</v>
      </c>
    </row>
    <row r="184" spans="1:13" x14ac:dyDescent="0.35">
      <c r="A184" s="333">
        <v>38122</v>
      </c>
      <c r="B184" s="334" t="s">
        <v>224</v>
      </c>
      <c r="C184" s="335" t="s">
        <v>50</v>
      </c>
      <c r="D184" s="335">
        <v>0.12</v>
      </c>
      <c r="E184" s="324">
        <f>'Mat Serv Eventuais'!D56</f>
        <v>11.1</v>
      </c>
      <c r="F184" s="325">
        <f>ROUND(D184*E184,2)</f>
        <v>1.33</v>
      </c>
      <c r="H184" s="333">
        <v>38122</v>
      </c>
      <c r="I184" s="334" t="s">
        <v>224</v>
      </c>
      <c r="J184" s="335" t="s">
        <v>50</v>
      </c>
      <c r="K184" s="335">
        <v>0.12</v>
      </c>
      <c r="L184" s="324">
        <f>'Mat Serv Eventuais'!E56</f>
        <v>0</v>
      </c>
      <c r="M184" s="325">
        <f>ROUND(K184*L184,2)</f>
        <v>0</v>
      </c>
    </row>
    <row r="185" spans="1:13" x14ac:dyDescent="0.35">
      <c r="A185" s="333">
        <v>7356</v>
      </c>
      <c r="B185" s="334" t="s">
        <v>84</v>
      </c>
      <c r="C185" s="335" t="s">
        <v>50</v>
      </c>
      <c r="D185" s="335">
        <v>0.17</v>
      </c>
      <c r="E185" s="324">
        <f>'Mat Serv Eventuais'!D57</f>
        <v>19.690000000000001</v>
      </c>
      <c r="F185" s="325">
        <f>ROUND(D185*E185,2)</f>
        <v>3.35</v>
      </c>
      <c r="H185" s="333">
        <v>7356</v>
      </c>
      <c r="I185" s="334" t="s">
        <v>84</v>
      </c>
      <c r="J185" s="335" t="s">
        <v>50</v>
      </c>
      <c r="K185" s="335">
        <v>0.17</v>
      </c>
      <c r="L185" s="324">
        <f>'Mat Serv Eventuais'!E57</f>
        <v>0</v>
      </c>
      <c r="M185" s="325">
        <f>ROUND(K185*L185,2)</f>
        <v>0</v>
      </c>
    </row>
    <row r="186" spans="1:13" x14ac:dyDescent="0.35">
      <c r="A186" s="333">
        <v>3767</v>
      </c>
      <c r="B186" s="337" t="s">
        <v>85</v>
      </c>
      <c r="C186" s="335" t="s">
        <v>1</v>
      </c>
      <c r="D186" s="335">
        <v>0.25</v>
      </c>
      <c r="E186" s="324">
        <f>'Mat Serv Eventuais'!D58</f>
        <v>0.48</v>
      </c>
      <c r="F186" s="325">
        <f>ROUND(D186*E186,2)</f>
        <v>0.12</v>
      </c>
      <c r="H186" s="333">
        <v>3767</v>
      </c>
      <c r="I186" s="337" t="s">
        <v>85</v>
      </c>
      <c r="J186" s="335" t="s">
        <v>1</v>
      </c>
      <c r="K186" s="335">
        <v>0.25</v>
      </c>
      <c r="L186" s="324">
        <f>'Mat Serv Eventuais'!E58</f>
        <v>0</v>
      </c>
      <c r="M186" s="325">
        <f>ROUND(K186*L186,2)</f>
        <v>0</v>
      </c>
    </row>
    <row r="187" spans="1:13" x14ac:dyDescent="0.35">
      <c r="A187" s="320" t="s">
        <v>86</v>
      </c>
      <c r="B187" s="320"/>
      <c r="C187" s="631" t="s">
        <v>18</v>
      </c>
      <c r="D187" s="631"/>
      <c r="E187" s="632">
        <f>SUM(F184:F186)</f>
        <v>4.8</v>
      </c>
      <c r="F187" s="632"/>
      <c r="H187" s="320" t="s">
        <v>86</v>
      </c>
      <c r="I187" s="320"/>
      <c r="J187" s="631" t="s">
        <v>18</v>
      </c>
      <c r="K187" s="631"/>
      <c r="L187" s="632">
        <f>SUM(M184:M186)</f>
        <v>0</v>
      </c>
      <c r="M187" s="632"/>
    </row>
    <row r="188" spans="1:13" ht="22.5" customHeight="1" x14ac:dyDescent="0.35">
      <c r="A188" s="629" t="s">
        <v>1074</v>
      </c>
      <c r="B188" s="629"/>
      <c r="C188" s="328" t="s">
        <v>47</v>
      </c>
      <c r="D188" s="329"/>
      <c r="E188" s="330"/>
      <c r="F188" s="331">
        <f>SUM(E182,E187)</f>
        <v>13.57</v>
      </c>
      <c r="H188" s="629" t="s">
        <v>176</v>
      </c>
      <c r="I188" s="629"/>
      <c r="J188" s="328" t="s">
        <v>47</v>
      </c>
      <c r="K188" s="329"/>
      <c r="L188" s="330"/>
      <c r="M188" s="331">
        <f>SUM(L182,L187)</f>
        <v>0</v>
      </c>
    </row>
    <row r="189" spans="1:13" ht="6.75" customHeight="1" x14ac:dyDescent="0.35">
      <c r="A189" s="319"/>
      <c r="B189" s="319"/>
      <c r="C189" s="320"/>
      <c r="D189" s="627"/>
      <c r="E189" s="627"/>
      <c r="F189" s="627"/>
      <c r="H189" s="319"/>
      <c r="I189" s="319"/>
      <c r="J189" s="320"/>
      <c r="K189" s="627"/>
      <c r="L189" s="627"/>
      <c r="M189" s="627"/>
    </row>
    <row r="190" spans="1:13" ht="15" customHeight="1" x14ac:dyDescent="0.35">
      <c r="A190" s="630" t="s">
        <v>87</v>
      </c>
      <c r="B190" s="630"/>
      <c r="C190" s="630"/>
      <c r="D190" s="630"/>
      <c r="E190" s="630"/>
      <c r="F190" s="630"/>
      <c r="H190" s="630" t="s">
        <v>87</v>
      </c>
      <c r="I190" s="630"/>
      <c r="J190" s="630"/>
      <c r="K190" s="630"/>
      <c r="L190" s="630"/>
      <c r="M190" s="630"/>
    </row>
    <row r="191" spans="1:13" x14ac:dyDescent="0.35">
      <c r="A191" s="321" t="s">
        <v>13</v>
      </c>
      <c r="B191" s="321" t="s">
        <v>14</v>
      </c>
      <c r="C191" s="321" t="s">
        <v>15</v>
      </c>
      <c r="D191" s="321" t="s">
        <v>16</v>
      </c>
      <c r="E191" s="321" t="s">
        <v>24</v>
      </c>
      <c r="F191" s="321" t="s">
        <v>17</v>
      </c>
      <c r="H191" s="321" t="s">
        <v>13</v>
      </c>
      <c r="I191" s="321" t="s">
        <v>14</v>
      </c>
      <c r="J191" s="321" t="s">
        <v>15</v>
      </c>
      <c r="K191" s="321" t="s">
        <v>16</v>
      </c>
      <c r="L191" s="321" t="s">
        <v>24</v>
      </c>
      <c r="M191" s="321" t="s">
        <v>17</v>
      </c>
    </row>
    <row r="192" spans="1:13" x14ac:dyDescent="0.35">
      <c r="A192" s="342">
        <v>4783</v>
      </c>
      <c r="B192" s="343" t="s">
        <v>83</v>
      </c>
      <c r="C192" s="342" t="s">
        <v>6</v>
      </c>
      <c r="D192" s="342">
        <v>0.4</v>
      </c>
      <c r="E192" s="324">
        <f>'Mat Serv Eventuais'!D10</f>
        <v>13.45</v>
      </c>
      <c r="F192" s="325">
        <f>ROUND(D192*E192,2)</f>
        <v>5.38</v>
      </c>
      <c r="H192" s="342">
        <v>4783</v>
      </c>
      <c r="I192" s="343" t="s">
        <v>83</v>
      </c>
      <c r="J192" s="342" t="s">
        <v>6</v>
      </c>
      <c r="K192" s="342">
        <v>0.4</v>
      </c>
      <c r="L192" s="324">
        <f>'Mat Serv Eventuais'!E10</f>
        <v>0</v>
      </c>
      <c r="M192" s="325">
        <f>ROUND(K192*L192,2)</f>
        <v>0</v>
      </c>
    </row>
    <row r="193" spans="1:13" x14ac:dyDescent="0.35">
      <c r="A193" s="333">
        <v>34466</v>
      </c>
      <c r="B193" s="344" t="s">
        <v>194</v>
      </c>
      <c r="C193" s="342" t="s">
        <v>6</v>
      </c>
      <c r="D193" s="342">
        <v>0.35</v>
      </c>
      <c r="E193" s="324">
        <f>'Mat Serv Eventuais'!D16</f>
        <v>9.69</v>
      </c>
      <c r="F193" s="325">
        <f>ROUND(D193*E193,2)</f>
        <v>3.39</v>
      </c>
      <c r="H193" s="333">
        <v>34466</v>
      </c>
      <c r="I193" s="344" t="s">
        <v>194</v>
      </c>
      <c r="J193" s="342" t="s">
        <v>6</v>
      </c>
      <c r="K193" s="342">
        <v>0.35</v>
      </c>
      <c r="L193" s="324">
        <f>'Mat Serv Eventuais'!E16</f>
        <v>0</v>
      </c>
      <c r="M193" s="325">
        <f>ROUND(K193*L193,2)</f>
        <v>0</v>
      </c>
    </row>
    <row r="194" spans="1:13" x14ac:dyDescent="0.35">
      <c r="A194" s="315"/>
      <c r="B194" s="326"/>
      <c r="C194" s="631" t="s">
        <v>18</v>
      </c>
      <c r="D194" s="631"/>
      <c r="E194" s="632">
        <f>SUM(F192:F193)</f>
        <v>8.77</v>
      </c>
      <c r="F194" s="632"/>
      <c r="H194" s="315"/>
      <c r="I194" s="326"/>
      <c r="J194" s="631" t="s">
        <v>18</v>
      </c>
      <c r="K194" s="631"/>
      <c r="L194" s="632">
        <f>SUM(M192:M193)</f>
        <v>0</v>
      </c>
      <c r="M194" s="632"/>
    </row>
    <row r="195" spans="1:13" x14ac:dyDescent="0.35">
      <c r="A195" s="321" t="s">
        <v>13</v>
      </c>
      <c r="B195" s="321" t="s">
        <v>19</v>
      </c>
      <c r="C195" s="321" t="s">
        <v>15</v>
      </c>
      <c r="D195" s="321" t="s">
        <v>16</v>
      </c>
      <c r="E195" s="321" t="s">
        <v>24</v>
      </c>
      <c r="F195" s="321" t="s">
        <v>17</v>
      </c>
      <c r="H195" s="321" t="s">
        <v>13</v>
      </c>
      <c r="I195" s="321" t="s">
        <v>19</v>
      </c>
      <c r="J195" s="321" t="s">
        <v>15</v>
      </c>
      <c r="K195" s="321" t="s">
        <v>16</v>
      </c>
      <c r="L195" s="321" t="s">
        <v>24</v>
      </c>
      <c r="M195" s="321" t="s">
        <v>17</v>
      </c>
    </row>
    <row r="196" spans="1:13" x14ac:dyDescent="0.35">
      <c r="A196" s="342">
        <v>6090</v>
      </c>
      <c r="B196" s="343" t="s">
        <v>88</v>
      </c>
      <c r="C196" s="342" t="s">
        <v>50</v>
      </c>
      <c r="D196" s="342">
        <v>0.12</v>
      </c>
      <c r="E196" s="324">
        <f>'Mat Serv Eventuais'!D59</f>
        <v>12.56</v>
      </c>
      <c r="F196" s="325">
        <f>ROUND(D196*E196,2)</f>
        <v>1.51</v>
      </c>
      <c r="H196" s="342">
        <v>6090</v>
      </c>
      <c r="I196" s="343" t="s">
        <v>88</v>
      </c>
      <c r="J196" s="342" t="s">
        <v>50</v>
      </c>
      <c r="K196" s="342">
        <v>0.12</v>
      </c>
      <c r="L196" s="324">
        <f>'Mat Serv Eventuais'!E59</f>
        <v>0</v>
      </c>
      <c r="M196" s="325">
        <f>ROUND(K196*L196,2)</f>
        <v>0</v>
      </c>
    </row>
    <row r="197" spans="1:13" x14ac:dyDescent="0.35">
      <c r="A197" s="342">
        <v>7345</v>
      </c>
      <c r="B197" s="343" t="s">
        <v>89</v>
      </c>
      <c r="C197" s="342" t="s">
        <v>50</v>
      </c>
      <c r="D197" s="342">
        <v>0.17</v>
      </c>
      <c r="E197" s="324">
        <f>'Mat Serv Eventuais'!D60</f>
        <v>17.02</v>
      </c>
      <c r="F197" s="325">
        <f>ROUND(D197*E197,2)</f>
        <v>2.89</v>
      </c>
      <c r="H197" s="342">
        <v>7345</v>
      </c>
      <c r="I197" s="343" t="s">
        <v>89</v>
      </c>
      <c r="J197" s="342" t="s">
        <v>50</v>
      </c>
      <c r="K197" s="342">
        <v>0.17</v>
      </c>
      <c r="L197" s="324">
        <f>'Mat Serv Eventuais'!E60</f>
        <v>0</v>
      </c>
      <c r="M197" s="325">
        <f>ROUND(K197*L197,2)</f>
        <v>0</v>
      </c>
    </row>
    <row r="198" spans="1:13" x14ac:dyDescent="0.35">
      <c r="A198" s="342">
        <v>3767</v>
      </c>
      <c r="B198" s="345" t="s">
        <v>85</v>
      </c>
      <c r="C198" s="342" t="s">
        <v>1</v>
      </c>
      <c r="D198" s="342">
        <v>0.25</v>
      </c>
      <c r="E198" s="324">
        <f>'Mat Serv Eventuais'!D58</f>
        <v>0.48</v>
      </c>
      <c r="F198" s="325">
        <f>ROUND(D198*E198,2)</f>
        <v>0.12</v>
      </c>
      <c r="H198" s="342">
        <v>3767</v>
      </c>
      <c r="I198" s="345" t="s">
        <v>85</v>
      </c>
      <c r="J198" s="342" t="s">
        <v>1</v>
      </c>
      <c r="K198" s="342">
        <v>0.25</v>
      </c>
      <c r="L198" s="324">
        <f>'Mat Serv Eventuais'!E58</f>
        <v>0</v>
      </c>
      <c r="M198" s="325">
        <f>ROUND(K198*L198,2)</f>
        <v>0</v>
      </c>
    </row>
    <row r="199" spans="1:13" x14ac:dyDescent="0.35">
      <c r="A199" s="320" t="s">
        <v>90</v>
      </c>
      <c r="B199" s="320"/>
      <c r="C199" s="631" t="s">
        <v>18</v>
      </c>
      <c r="D199" s="631"/>
      <c r="E199" s="632">
        <f>SUM(F196:F198)</f>
        <v>4.5200000000000005</v>
      </c>
      <c r="F199" s="632"/>
      <c r="H199" s="320" t="s">
        <v>90</v>
      </c>
      <c r="I199" s="320"/>
      <c r="J199" s="631" t="s">
        <v>18</v>
      </c>
      <c r="K199" s="631"/>
      <c r="L199" s="632">
        <f>SUM(M196:M198)</f>
        <v>0</v>
      </c>
      <c r="M199" s="632"/>
    </row>
    <row r="200" spans="1:13" ht="22.5" customHeight="1" x14ac:dyDescent="0.35">
      <c r="A200" s="629" t="s">
        <v>1074</v>
      </c>
      <c r="B200" s="629"/>
      <c r="C200" s="328" t="s">
        <v>47</v>
      </c>
      <c r="D200" s="329"/>
      <c r="E200" s="330"/>
      <c r="F200" s="331">
        <f>SUM(E194,E199)</f>
        <v>13.29</v>
      </c>
      <c r="H200" s="629" t="s">
        <v>176</v>
      </c>
      <c r="I200" s="629"/>
      <c r="J200" s="328" t="s">
        <v>47</v>
      </c>
      <c r="K200" s="329"/>
      <c r="L200" s="330"/>
      <c r="M200" s="331">
        <f>SUM(L194,L199)</f>
        <v>0</v>
      </c>
    </row>
    <row r="201" spans="1:13" ht="6.75" customHeight="1" x14ac:dyDescent="0.35">
      <c r="A201" s="39"/>
      <c r="B201" s="346"/>
      <c r="C201" s="320"/>
      <c r="D201" s="627"/>
      <c r="E201" s="627"/>
      <c r="F201" s="627"/>
      <c r="H201" s="39"/>
      <c r="I201" s="346"/>
      <c r="J201" s="320"/>
      <c r="K201" s="627"/>
      <c r="L201" s="627"/>
      <c r="M201" s="627"/>
    </row>
    <row r="202" spans="1:13" ht="15" customHeight="1" x14ac:dyDescent="0.35">
      <c r="A202" s="630" t="s">
        <v>91</v>
      </c>
      <c r="B202" s="630"/>
      <c r="C202" s="630"/>
      <c r="D202" s="630"/>
      <c r="E202" s="630"/>
      <c r="F202" s="630"/>
      <c r="H202" s="630" t="s">
        <v>91</v>
      </c>
      <c r="I202" s="630"/>
      <c r="J202" s="630"/>
      <c r="K202" s="630"/>
      <c r="L202" s="630"/>
      <c r="M202" s="630"/>
    </row>
    <row r="203" spans="1:13" x14ac:dyDescent="0.35">
      <c r="A203" s="321" t="s">
        <v>13</v>
      </c>
      <c r="B203" s="321" t="s">
        <v>14</v>
      </c>
      <c r="C203" s="321" t="s">
        <v>15</v>
      </c>
      <c r="D203" s="321" t="s">
        <v>16</v>
      </c>
      <c r="E203" s="321" t="s">
        <v>24</v>
      </c>
      <c r="F203" s="321" t="s">
        <v>17</v>
      </c>
      <c r="H203" s="321" t="s">
        <v>13</v>
      </c>
      <c r="I203" s="321" t="s">
        <v>14</v>
      </c>
      <c r="J203" s="321" t="s">
        <v>15</v>
      </c>
      <c r="K203" s="321" t="s">
        <v>16</v>
      </c>
      <c r="L203" s="321" t="s">
        <v>24</v>
      </c>
      <c r="M203" s="321" t="s">
        <v>17</v>
      </c>
    </row>
    <row r="204" spans="1:13" x14ac:dyDescent="0.35">
      <c r="A204" s="333">
        <v>4783</v>
      </c>
      <c r="B204" s="334" t="s">
        <v>83</v>
      </c>
      <c r="C204" s="335" t="s">
        <v>6</v>
      </c>
      <c r="D204" s="335">
        <v>0.8</v>
      </c>
      <c r="E204" s="324">
        <f>'Mat Serv Eventuais'!D10</f>
        <v>13.45</v>
      </c>
      <c r="F204" s="325">
        <f>ROUND(D204*E204,2)</f>
        <v>10.76</v>
      </c>
      <c r="H204" s="333">
        <v>4783</v>
      </c>
      <c r="I204" s="334" t="s">
        <v>83</v>
      </c>
      <c r="J204" s="335" t="s">
        <v>6</v>
      </c>
      <c r="K204" s="335">
        <v>0.8</v>
      </c>
      <c r="L204" s="324">
        <f>'Mat Serv Eventuais'!E10</f>
        <v>0</v>
      </c>
      <c r="M204" s="325">
        <f>ROUND(K204*L204,2)</f>
        <v>0</v>
      </c>
    </row>
    <row r="205" spans="1:13" x14ac:dyDescent="0.35">
      <c r="A205" s="333">
        <v>34466</v>
      </c>
      <c r="B205" s="344" t="s">
        <v>194</v>
      </c>
      <c r="C205" s="335" t="s">
        <v>6</v>
      </c>
      <c r="D205" s="335">
        <v>0.8</v>
      </c>
      <c r="E205" s="324">
        <f>'Mat Serv Eventuais'!D16</f>
        <v>9.69</v>
      </c>
      <c r="F205" s="325">
        <f>ROUND(D205*E205,2)</f>
        <v>7.75</v>
      </c>
      <c r="H205" s="333">
        <v>34466</v>
      </c>
      <c r="I205" s="344" t="s">
        <v>194</v>
      </c>
      <c r="J205" s="335" t="s">
        <v>6</v>
      </c>
      <c r="K205" s="335">
        <v>0.8</v>
      </c>
      <c r="L205" s="324">
        <f>'Mat Serv Eventuais'!E16</f>
        <v>0</v>
      </c>
      <c r="M205" s="325">
        <f>ROUND(K205*L205,2)</f>
        <v>0</v>
      </c>
    </row>
    <row r="206" spans="1:13" x14ac:dyDescent="0.35">
      <c r="A206" s="315"/>
      <c r="B206" s="326"/>
      <c r="C206" s="631" t="s">
        <v>18</v>
      </c>
      <c r="D206" s="631"/>
      <c r="E206" s="632">
        <f>SUM(F204:F205)</f>
        <v>18.509999999999998</v>
      </c>
      <c r="F206" s="632"/>
      <c r="H206" s="315"/>
      <c r="I206" s="326"/>
      <c r="J206" s="631" t="s">
        <v>18</v>
      </c>
      <c r="K206" s="631"/>
      <c r="L206" s="632">
        <f>SUM(M204:M205)</f>
        <v>0</v>
      </c>
      <c r="M206" s="632"/>
    </row>
    <row r="207" spans="1:13" x14ac:dyDescent="0.35">
      <c r="A207" s="321" t="s">
        <v>13</v>
      </c>
      <c r="B207" s="321" t="s">
        <v>19</v>
      </c>
      <c r="C207" s="321" t="s">
        <v>15</v>
      </c>
      <c r="D207" s="321" t="s">
        <v>16</v>
      </c>
      <c r="E207" s="321" t="s">
        <v>24</v>
      </c>
      <c r="F207" s="321" t="s">
        <v>17</v>
      </c>
      <c r="H207" s="321" t="s">
        <v>13</v>
      </c>
      <c r="I207" s="321" t="s">
        <v>19</v>
      </c>
      <c r="J207" s="321" t="s">
        <v>15</v>
      </c>
      <c r="K207" s="321" t="s">
        <v>16</v>
      </c>
      <c r="L207" s="321" t="s">
        <v>24</v>
      </c>
      <c r="M207" s="321" t="s">
        <v>17</v>
      </c>
    </row>
    <row r="208" spans="1:13" x14ac:dyDescent="0.35">
      <c r="A208" s="333">
        <v>5318</v>
      </c>
      <c r="B208" s="334" t="s">
        <v>92</v>
      </c>
      <c r="C208" s="335" t="s">
        <v>50</v>
      </c>
      <c r="D208" s="335">
        <v>0.03</v>
      </c>
      <c r="E208" s="324">
        <f>'Mat Serv Eventuais'!D61</f>
        <v>13.58</v>
      </c>
      <c r="F208" s="325">
        <f>ROUND(D208*E208,2)</f>
        <v>0.41</v>
      </c>
      <c r="H208" s="333">
        <v>5318</v>
      </c>
      <c r="I208" s="334" t="s">
        <v>92</v>
      </c>
      <c r="J208" s="335" t="s">
        <v>50</v>
      </c>
      <c r="K208" s="335">
        <v>0.03</v>
      </c>
      <c r="L208" s="324">
        <f>'Mat Serv Eventuais'!E61</f>
        <v>0</v>
      </c>
      <c r="M208" s="325">
        <f>ROUND(K208*L208,2)</f>
        <v>0</v>
      </c>
    </row>
    <row r="209" spans="1:13" x14ac:dyDescent="0.35">
      <c r="A209" s="333">
        <v>7307</v>
      </c>
      <c r="B209" s="334" t="s">
        <v>93</v>
      </c>
      <c r="C209" s="335" t="s">
        <v>50</v>
      </c>
      <c r="D209" s="335">
        <v>0.12</v>
      </c>
      <c r="E209" s="324">
        <f>'Mat Serv Eventuais'!D62</f>
        <v>26.64</v>
      </c>
      <c r="F209" s="325">
        <f>ROUND(D209*E209,2)</f>
        <v>3.2</v>
      </c>
      <c r="H209" s="333">
        <v>7307</v>
      </c>
      <c r="I209" s="334" t="s">
        <v>93</v>
      </c>
      <c r="J209" s="335" t="s">
        <v>50</v>
      </c>
      <c r="K209" s="335">
        <v>0.12</v>
      </c>
      <c r="L209" s="324">
        <f>'Mat Serv Eventuais'!E62</f>
        <v>0</v>
      </c>
      <c r="M209" s="325">
        <f>ROUND(K209*L209,2)</f>
        <v>0</v>
      </c>
    </row>
    <row r="210" spans="1:13" x14ac:dyDescent="0.35">
      <c r="A210" s="333">
        <v>7287</v>
      </c>
      <c r="B210" s="334" t="s">
        <v>94</v>
      </c>
      <c r="C210" s="335" t="s">
        <v>50</v>
      </c>
      <c r="D210" s="335">
        <v>0.16</v>
      </c>
      <c r="E210" s="324">
        <f>'Mat Serv Eventuais'!D63</f>
        <v>80.8</v>
      </c>
      <c r="F210" s="325">
        <f>ROUND(D210*E210,2)</f>
        <v>12.93</v>
      </c>
      <c r="H210" s="333">
        <v>7287</v>
      </c>
      <c r="I210" s="334" t="s">
        <v>94</v>
      </c>
      <c r="J210" s="335" t="s">
        <v>50</v>
      </c>
      <c r="K210" s="335">
        <v>0.16</v>
      </c>
      <c r="L210" s="324">
        <f>'Mat Serv Eventuais'!E63</f>
        <v>0</v>
      </c>
      <c r="M210" s="325">
        <f>ROUND(K210*L210,2)</f>
        <v>0</v>
      </c>
    </row>
    <row r="211" spans="1:13" x14ac:dyDescent="0.35">
      <c r="A211" s="333">
        <v>3767</v>
      </c>
      <c r="B211" s="337" t="s">
        <v>85</v>
      </c>
      <c r="C211" s="335" t="s">
        <v>1</v>
      </c>
      <c r="D211" s="335">
        <v>0.3</v>
      </c>
      <c r="E211" s="324">
        <f>'Mat Serv Eventuais'!D58</f>
        <v>0.48</v>
      </c>
      <c r="F211" s="325">
        <f>ROUND(D211*E211,2)</f>
        <v>0.14000000000000001</v>
      </c>
      <c r="H211" s="333">
        <v>3767</v>
      </c>
      <c r="I211" s="337" t="s">
        <v>85</v>
      </c>
      <c r="J211" s="335" t="s">
        <v>1</v>
      </c>
      <c r="K211" s="335">
        <v>0.3</v>
      </c>
      <c r="L211" s="324">
        <f>'Mat Serv Eventuais'!E58</f>
        <v>0</v>
      </c>
      <c r="M211" s="325">
        <f>ROUND(K211*L211,2)</f>
        <v>0</v>
      </c>
    </row>
    <row r="212" spans="1:13" x14ac:dyDescent="0.35">
      <c r="A212" s="320" t="s">
        <v>95</v>
      </c>
      <c r="B212" s="320"/>
      <c r="C212" s="631" t="s">
        <v>18</v>
      </c>
      <c r="D212" s="631"/>
      <c r="E212" s="632">
        <f>SUM(F208:F211)</f>
        <v>16.68</v>
      </c>
      <c r="F212" s="632"/>
      <c r="H212" s="320" t="s">
        <v>95</v>
      </c>
      <c r="I212" s="320"/>
      <c r="J212" s="631" t="s">
        <v>18</v>
      </c>
      <c r="K212" s="631"/>
      <c r="L212" s="632">
        <f>SUM(M208:M211)</f>
        <v>0</v>
      </c>
      <c r="M212" s="632"/>
    </row>
    <row r="213" spans="1:13" ht="22.5" customHeight="1" x14ac:dyDescent="0.35">
      <c r="A213" s="629" t="s">
        <v>1074</v>
      </c>
      <c r="B213" s="629"/>
      <c r="C213" s="328" t="s">
        <v>47</v>
      </c>
      <c r="D213" s="329"/>
      <c r="E213" s="330"/>
      <c r="F213" s="331">
        <f>SUM(E206,E212)</f>
        <v>35.19</v>
      </c>
      <c r="H213" s="629" t="s">
        <v>176</v>
      </c>
      <c r="I213" s="629"/>
      <c r="J213" s="328" t="s">
        <v>47</v>
      </c>
      <c r="K213" s="329"/>
      <c r="L213" s="330"/>
      <c r="M213" s="331">
        <f>SUM(L206,L212)</f>
        <v>0</v>
      </c>
    </row>
    <row r="214" spans="1:13" ht="6.75" customHeight="1" x14ac:dyDescent="0.35">
      <c r="A214" s="319"/>
      <c r="B214" s="319"/>
      <c r="C214" s="320"/>
      <c r="D214" s="627"/>
      <c r="E214" s="627"/>
      <c r="F214" s="627"/>
      <c r="H214" s="319"/>
      <c r="I214" s="319"/>
      <c r="J214" s="320"/>
      <c r="K214" s="627"/>
      <c r="L214" s="627"/>
      <c r="M214" s="627"/>
    </row>
    <row r="215" spans="1:13" ht="15" customHeight="1" x14ac:dyDescent="0.35">
      <c r="A215" s="630" t="s">
        <v>96</v>
      </c>
      <c r="B215" s="630"/>
      <c r="C215" s="630"/>
      <c r="D215" s="630"/>
      <c r="E215" s="630"/>
      <c r="F215" s="630"/>
      <c r="H215" s="630" t="s">
        <v>96</v>
      </c>
      <c r="I215" s="630"/>
      <c r="J215" s="630"/>
      <c r="K215" s="630"/>
      <c r="L215" s="630"/>
      <c r="M215" s="630"/>
    </row>
    <row r="216" spans="1:13" x14ac:dyDescent="0.35">
      <c r="A216" s="321" t="s">
        <v>13</v>
      </c>
      <c r="B216" s="321" t="s">
        <v>14</v>
      </c>
      <c r="C216" s="321" t="s">
        <v>15</v>
      </c>
      <c r="D216" s="321" t="s">
        <v>16</v>
      </c>
      <c r="E216" s="321" t="s">
        <v>24</v>
      </c>
      <c r="F216" s="321" t="s">
        <v>17</v>
      </c>
      <c r="H216" s="321" t="s">
        <v>13</v>
      </c>
      <c r="I216" s="321" t="s">
        <v>14</v>
      </c>
      <c r="J216" s="321" t="s">
        <v>15</v>
      </c>
      <c r="K216" s="321" t="s">
        <v>16</v>
      </c>
      <c r="L216" s="321" t="s">
        <v>24</v>
      </c>
      <c r="M216" s="321" t="s">
        <v>17</v>
      </c>
    </row>
    <row r="217" spans="1:13" x14ac:dyDescent="0.35">
      <c r="A217" s="333">
        <v>4783</v>
      </c>
      <c r="B217" s="334" t="s">
        <v>83</v>
      </c>
      <c r="C217" s="335" t="s">
        <v>6</v>
      </c>
      <c r="D217" s="335">
        <v>1.9</v>
      </c>
      <c r="E217" s="324">
        <f>'Mat Serv Eventuais'!D10</f>
        <v>13.45</v>
      </c>
      <c r="F217" s="325">
        <f>ROUND(D217*E217,2)</f>
        <v>25.56</v>
      </c>
      <c r="H217" s="333">
        <v>4783</v>
      </c>
      <c r="I217" s="334" t="s">
        <v>83</v>
      </c>
      <c r="J217" s="335" t="s">
        <v>6</v>
      </c>
      <c r="K217" s="335">
        <v>1.9</v>
      </c>
      <c r="L217" s="324">
        <f>'Mat Serv Eventuais'!E10</f>
        <v>0</v>
      </c>
      <c r="M217" s="325">
        <f>ROUND(K217*L217,2)</f>
        <v>0</v>
      </c>
    </row>
    <row r="218" spans="1:13" x14ac:dyDescent="0.35">
      <c r="A218" s="333">
        <v>34466</v>
      </c>
      <c r="B218" s="336" t="s">
        <v>194</v>
      </c>
      <c r="C218" s="335" t="s">
        <v>6</v>
      </c>
      <c r="D218" s="335">
        <v>1.9</v>
      </c>
      <c r="E218" s="324">
        <f>'Mat Serv Eventuais'!D16</f>
        <v>9.69</v>
      </c>
      <c r="F218" s="325">
        <f>ROUND(D218*E218,2)</f>
        <v>18.41</v>
      </c>
      <c r="H218" s="333">
        <v>34466</v>
      </c>
      <c r="I218" s="336" t="s">
        <v>194</v>
      </c>
      <c r="J218" s="335" t="s">
        <v>6</v>
      </c>
      <c r="K218" s="335">
        <v>1.9</v>
      </c>
      <c r="L218" s="324">
        <f>'Mat Serv Eventuais'!E16</f>
        <v>0</v>
      </c>
      <c r="M218" s="325">
        <f>ROUND(K218*L218,2)</f>
        <v>0</v>
      </c>
    </row>
    <row r="219" spans="1:13" x14ac:dyDescent="0.35">
      <c r="A219" s="315"/>
      <c r="B219" s="326"/>
      <c r="C219" s="631" t="s">
        <v>18</v>
      </c>
      <c r="D219" s="631"/>
      <c r="E219" s="632">
        <f>SUM(F217:F218)</f>
        <v>43.97</v>
      </c>
      <c r="F219" s="632"/>
      <c r="H219" s="315"/>
      <c r="I219" s="326"/>
      <c r="J219" s="631" t="s">
        <v>18</v>
      </c>
      <c r="K219" s="631"/>
      <c r="L219" s="632">
        <f>SUM(M217:M218)</f>
        <v>0</v>
      </c>
      <c r="M219" s="632"/>
    </row>
    <row r="220" spans="1:13" x14ac:dyDescent="0.35">
      <c r="A220" s="321" t="s">
        <v>13</v>
      </c>
      <c r="B220" s="321" t="s">
        <v>19</v>
      </c>
      <c r="C220" s="321" t="s">
        <v>15</v>
      </c>
      <c r="D220" s="321" t="s">
        <v>16</v>
      </c>
      <c r="E220" s="321" t="s">
        <v>24</v>
      </c>
      <c r="F220" s="321" t="s">
        <v>17</v>
      </c>
      <c r="H220" s="321" t="s">
        <v>13</v>
      </c>
      <c r="I220" s="321" t="s">
        <v>19</v>
      </c>
      <c r="J220" s="321" t="s">
        <v>15</v>
      </c>
      <c r="K220" s="321" t="s">
        <v>16</v>
      </c>
      <c r="L220" s="321" t="s">
        <v>24</v>
      </c>
      <c r="M220" s="321" t="s">
        <v>17</v>
      </c>
    </row>
    <row r="221" spans="1:13" x14ac:dyDescent="0.35">
      <c r="A221" s="333">
        <v>7304</v>
      </c>
      <c r="B221" s="334" t="s">
        <v>97</v>
      </c>
      <c r="C221" s="335" t="s">
        <v>50</v>
      </c>
      <c r="D221" s="335">
        <v>0.5</v>
      </c>
      <c r="E221" s="324">
        <f>'Mat Serv Eventuais'!D64</f>
        <v>50.96</v>
      </c>
      <c r="F221" s="325">
        <f>ROUND(D221*E221,2)</f>
        <v>25.48</v>
      </c>
      <c r="H221" s="333">
        <v>7304</v>
      </c>
      <c r="I221" s="334" t="s">
        <v>97</v>
      </c>
      <c r="J221" s="335" t="s">
        <v>50</v>
      </c>
      <c r="K221" s="335">
        <v>0.5</v>
      </c>
      <c r="L221" s="324">
        <f>'Mat Serv Eventuais'!E64</f>
        <v>0</v>
      </c>
      <c r="M221" s="325">
        <f>ROUND(K221*L221,2)</f>
        <v>0</v>
      </c>
    </row>
    <row r="222" spans="1:13" x14ac:dyDescent="0.35">
      <c r="A222" s="333">
        <v>154</v>
      </c>
      <c r="B222" s="337" t="s">
        <v>98</v>
      </c>
      <c r="C222" s="335" t="s">
        <v>50</v>
      </c>
      <c r="D222" s="335">
        <v>0.3</v>
      </c>
      <c r="E222" s="324">
        <f>'Mat Serv Eventuais'!D65</f>
        <v>49.54</v>
      </c>
      <c r="F222" s="325">
        <f>ROUND(D222*E222,2)</f>
        <v>14.86</v>
      </c>
      <c r="H222" s="333">
        <v>154</v>
      </c>
      <c r="I222" s="337" t="s">
        <v>98</v>
      </c>
      <c r="J222" s="335" t="s">
        <v>50</v>
      </c>
      <c r="K222" s="335">
        <v>0.3</v>
      </c>
      <c r="L222" s="324">
        <f>'Mat Serv Eventuais'!E65</f>
        <v>0</v>
      </c>
      <c r="M222" s="325">
        <f>ROUND(K222*L222,2)</f>
        <v>0</v>
      </c>
    </row>
    <row r="223" spans="1:13" x14ac:dyDescent="0.35">
      <c r="A223" s="333">
        <v>4049</v>
      </c>
      <c r="B223" s="334" t="s">
        <v>99</v>
      </c>
      <c r="C223" s="335" t="s">
        <v>20</v>
      </c>
      <c r="D223" s="335">
        <v>0.8</v>
      </c>
      <c r="E223" s="324">
        <f>'Mat Serv Eventuais'!D66</f>
        <v>34.46</v>
      </c>
      <c r="F223" s="325">
        <f>ROUND(D223*E223,2)</f>
        <v>27.57</v>
      </c>
      <c r="H223" s="333">
        <v>4049</v>
      </c>
      <c r="I223" s="334" t="s">
        <v>99</v>
      </c>
      <c r="J223" s="335" t="s">
        <v>20</v>
      </c>
      <c r="K223" s="335">
        <v>0.8</v>
      </c>
      <c r="L223" s="324">
        <f>'Mat Serv Eventuais'!E66</f>
        <v>0</v>
      </c>
      <c r="M223" s="325">
        <f>ROUND(K223*L223,2)</f>
        <v>0</v>
      </c>
    </row>
    <row r="224" spans="1:13" x14ac:dyDescent="0.35">
      <c r="A224" s="333">
        <v>3767</v>
      </c>
      <c r="B224" s="337" t="s">
        <v>85</v>
      </c>
      <c r="C224" s="335" t="s">
        <v>1</v>
      </c>
      <c r="D224" s="335">
        <v>1.5</v>
      </c>
      <c r="E224" s="324">
        <f>'Mat Serv Eventuais'!D58</f>
        <v>0.48</v>
      </c>
      <c r="F224" s="325">
        <f>ROUND(D224*E224,2)</f>
        <v>0.72</v>
      </c>
      <c r="H224" s="333">
        <v>3767</v>
      </c>
      <c r="I224" s="337" t="s">
        <v>85</v>
      </c>
      <c r="J224" s="335" t="s">
        <v>1</v>
      </c>
      <c r="K224" s="335">
        <v>1.5</v>
      </c>
      <c r="L224" s="324">
        <f>'Mat Serv Eventuais'!E58</f>
        <v>0</v>
      </c>
      <c r="M224" s="325">
        <f>ROUND(K224*L224,2)</f>
        <v>0</v>
      </c>
    </row>
    <row r="225" spans="1:13" x14ac:dyDescent="0.35">
      <c r="A225" s="320" t="s">
        <v>100</v>
      </c>
      <c r="B225" s="320"/>
      <c r="C225" s="631" t="s">
        <v>18</v>
      </c>
      <c r="D225" s="631"/>
      <c r="E225" s="632">
        <f>SUM(F221:F224)</f>
        <v>68.63</v>
      </c>
      <c r="F225" s="632"/>
      <c r="H225" s="320" t="s">
        <v>100</v>
      </c>
      <c r="I225" s="320"/>
      <c r="J225" s="631" t="s">
        <v>18</v>
      </c>
      <c r="K225" s="631"/>
      <c r="L225" s="632">
        <f>SUM(M221:M224)</f>
        <v>0</v>
      </c>
      <c r="M225" s="632"/>
    </row>
    <row r="226" spans="1:13" ht="22.5" customHeight="1" x14ac:dyDescent="0.35">
      <c r="A226" s="629" t="s">
        <v>1074</v>
      </c>
      <c r="B226" s="629"/>
      <c r="C226" s="328" t="s">
        <v>47</v>
      </c>
      <c r="D226" s="329"/>
      <c r="E226" s="330"/>
      <c r="F226" s="331">
        <f>SUM(E219,E225)</f>
        <v>112.6</v>
      </c>
      <c r="H226" s="629" t="s">
        <v>176</v>
      </c>
      <c r="I226" s="629"/>
      <c r="J226" s="328" t="s">
        <v>47</v>
      </c>
      <c r="K226" s="329"/>
      <c r="L226" s="330"/>
      <c r="M226" s="331">
        <f>SUM(L219,L225)</f>
        <v>0</v>
      </c>
    </row>
    <row r="227" spans="1:13" ht="6.75" customHeight="1" x14ac:dyDescent="0.35">
      <c r="A227" s="319"/>
      <c r="B227" s="319"/>
      <c r="C227" s="320"/>
      <c r="D227" s="627"/>
      <c r="E227" s="627"/>
      <c r="F227" s="627"/>
      <c r="H227" s="319"/>
      <c r="I227" s="319"/>
      <c r="J227" s="320"/>
      <c r="K227" s="627"/>
      <c r="L227" s="627"/>
      <c r="M227" s="627"/>
    </row>
    <row r="228" spans="1:13" ht="6.75" customHeight="1" x14ac:dyDescent="0.35">
      <c r="A228" s="319"/>
      <c r="B228" s="319"/>
      <c r="C228" s="320"/>
      <c r="D228" s="627"/>
      <c r="E228" s="627"/>
      <c r="F228" s="627"/>
      <c r="H228" s="319"/>
      <c r="I228" s="319"/>
      <c r="J228" s="320"/>
      <c r="K228" s="627"/>
      <c r="L228" s="627"/>
      <c r="M228" s="627"/>
    </row>
    <row r="229" spans="1:13" ht="15" customHeight="1" x14ac:dyDescent="0.35">
      <c r="A229" s="630" t="s">
        <v>929</v>
      </c>
      <c r="B229" s="630"/>
      <c r="C229" s="630"/>
      <c r="D229" s="630"/>
      <c r="E229" s="630"/>
      <c r="F229" s="630"/>
      <c r="H229" s="630" t="s">
        <v>101</v>
      </c>
      <c r="I229" s="630"/>
      <c r="J229" s="630"/>
      <c r="K229" s="630"/>
      <c r="L229" s="630"/>
      <c r="M229" s="630"/>
    </row>
    <row r="230" spans="1:13" x14ac:dyDescent="0.35">
      <c r="A230" s="321" t="s">
        <v>13</v>
      </c>
      <c r="B230" s="321" t="s">
        <v>14</v>
      </c>
      <c r="C230" s="321" t="s">
        <v>15</v>
      </c>
      <c r="D230" s="321" t="s">
        <v>16</v>
      </c>
      <c r="E230" s="321" t="s">
        <v>24</v>
      </c>
      <c r="F230" s="321" t="s">
        <v>17</v>
      </c>
      <c r="H230" s="321" t="s">
        <v>13</v>
      </c>
      <c r="I230" s="321" t="s">
        <v>14</v>
      </c>
      <c r="J230" s="321" t="s">
        <v>15</v>
      </c>
      <c r="K230" s="321" t="s">
        <v>16</v>
      </c>
      <c r="L230" s="321" t="s">
        <v>24</v>
      </c>
      <c r="M230" s="321" t="s">
        <v>17</v>
      </c>
    </row>
    <row r="231" spans="1:13" x14ac:dyDescent="0.35">
      <c r="A231" s="333">
        <v>4783</v>
      </c>
      <c r="B231" s="334" t="s">
        <v>83</v>
      </c>
      <c r="C231" s="335" t="s">
        <v>6</v>
      </c>
      <c r="D231" s="335">
        <v>1</v>
      </c>
      <c r="E231" s="324">
        <f>'Mat Serv Eventuais'!D10</f>
        <v>13.45</v>
      </c>
      <c r="F231" s="325">
        <f>ROUND(D231*E231,2)</f>
        <v>13.45</v>
      </c>
      <c r="H231" s="333">
        <v>4783</v>
      </c>
      <c r="I231" s="334" t="s">
        <v>83</v>
      </c>
      <c r="J231" s="335" t="s">
        <v>6</v>
      </c>
      <c r="K231" s="335">
        <v>1</v>
      </c>
      <c r="L231" s="324">
        <f>'Mat Serv Eventuais'!E10</f>
        <v>0</v>
      </c>
      <c r="M231" s="325">
        <f>ROUND(K231*L231,2)</f>
        <v>0</v>
      </c>
    </row>
    <row r="232" spans="1:13" x14ac:dyDescent="0.35">
      <c r="A232" s="333">
        <v>34466</v>
      </c>
      <c r="B232" s="336" t="s">
        <v>194</v>
      </c>
      <c r="C232" s="335" t="s">
        <v>6</v>
      </c>
      <c r="D232" s="335">
        <v>0.5</v>
      </c>
      <c r="E232" s="324">
        <f>'Mat Serv Eventuais'!D16</f>
        <v>9.69</v>
      </c>
      <c r="F232" s="325">
        <f>ROUND(D232*E232,2)</f>
        <v>4.8499999999999996</v>
      </c>
      <c r="H232" s="333">
        <v>34466</v>
      </c>
      <c r="I232" s="336" t="s">
        <v>194</v>
      </c>
      <c r="J232" s="335" t="s">
        <v>6</v>
      </c>
      <c r="K232" s="335">
        <v>0.5</v>
      </c>
      <c r="L232" s="324">
        <f>'Mat Serv Eventuais'!E16</f>
        <v>0</v>
      </c>
      <c r="M232" s="325">
        <f>ROUND(K232*L232,2)</f>
        <v>0</v>
      </c>
    </row>
    <row r="233" spans="1:13" x14ac:dyDescent="0.35">
      <c r="A233" s="315"/>
      <c r="B233" s="326"/>
      <c r="C233" s="631" t="s">
        <v>18</v>
      </c>
      <c r="D233" s="631"/>
      <c r="E233" s="632">
        <f>SUM(F231:F232)</f>
        <v>18.299999999999997</v>
      </c>
      <c r="F233" s="632"/>
      <c r="H233" s="315"/>
      <c r="I233" s="326"/>
      <c r="J233" s="631" t="s">
        <v>18</v>
      </c>
      <c r="K233" s="631"/>
      <c r="L233" s="632">
        <f>SUM(M231:M232)</f>
        <v>0</v>
      </c>
      <c r="M233" s="632"/>
    </row>
    <row r="234" spans="1:13" x14ac:dyDescent="0.35">
      <c r="A234" s="321" t="s">
        <v>13</v>
      </c>
      <c r="B234" s="321" t="s">
        <v>19</v>
      </c>
      <c r="C234" s="321" t="s">
        <v>15</v>
      </c>
      <c r="D234" s="321" t="s">
        <v>16</v>
      </c>
      <c r="E234" s="321" t="s">
        <v>24</v>
      </c>
      <c r="F234" s="321" t="s">
        <v>17</v>
      </c>
      <c r="H234" s="321" t="s">
        <v>13</v>
      </c>
      <c r="I234" s="321" t="s">
        <v>19</v>
      </c>
      <c r="J234" s="321" t="s">
        <v>15</v>
      </c>
      <c r="K234" s="321" t="s">
        <v>16</v>
      </c>
      <c r="L234" s="321" t="s">
        <v>24</v>
      </c>
      <c r="M234" s="321" t="s">
        <v>17</v>
      </c>
    </row>
    <row r="235" spans="1:13" ht="24" x14ac:dyDescent="0.35">
      <c r="A235" s="333">
        <v>7343</v>
      </c>
      <c r="B235" s="338" t="s">
        <v>927</v>
      </c>
      <c r="C235" s="335" t="s">
        <v>50</v>
      </c>
      <c r="D235" s="335">
        <v>0.03</v>
      </c>
      <c r="E235" s="324">
        <f>'Mat Serv Eventuais'!D68</f>
        <v>12.09</v>
      </c>
      <c r="F235" s="325">
        <f>ROUND(D235*E235,2)</f>
        <v>0.36</v>
      </c>
      <c r="H235" s="333">
        <v>26032</v>
      </c>
      <c r="I235" s="338" t="s">
        <v>102</v>
      </c>
      <c r="J235" s="335" t="s">
        <v>50</v>
      </c>
      <c r="K235" s="335">
        <v>0.03</v>
      </c>
      <c r="L235" s="324">
        <f>'Mat Serv Eventuais'!E68</f>
        <v>0</v>
      </c>
      <c r="M235" s="325">
        <f>ROUND(K235*L235,2)</f>
        <v>0</v>
      </c>
    </row>
    <row r="236" spans="1:13" x14ac:dyDescent="0.35">
      <c r="A236" s="320" t="s">
        <v>103</v>
      </c>
      <c r="B236" s="320"/>
      <c r="C236" s="631" t="s">
        <v>18</v>
      </c>
      <c r="D236" s="631"/>
      <c r="E236" s="632">
        <f>SUM(F235)</f>
        <v>0.36</v>
      </c>
      <c r="F236" s="632"/>
      <c r="H236" s="320" t="s">
        <v>103</v>
      </c>
      <c r="I236" s="320"/>
      <c r="J236" s="631" t="s">
        <v>18</v>
      </c>
      <c r="K236" s="631"/>
      <c r="L236" s="632">
        <f>SUM(M235)</f>
        <v>0</v>
      </c>
      <c r="M236" s="632"/>
    </row>
    <row r="237" spans="1:13" ht="22.5" customHeight="1" x14ac:dyDescent="0.35">
      <c r="A237" s="629" t="s">
        <v>1074</v>
      </c>
      <c r="B237" s="629"/>
      <c r="C237" s="328" t="s">
        <v>21</v>
      </c>
      <c r="D237" s="329"/>
      <c r="E237" s="330"/>
      <c r="F237" s="331">
        <f>SUM(E233,E236)</f>
        <v>18.659999999999997</v>
      </c>
      <c r="H237" s="629" t="s">
        <v>176</v>
      </c>
      <c r="I237" s="629"/>
      <c r="J237" s="328" t="s">
        <v>21</v>
      </c>
      <c r="K237" s="329"/>
      <c r="L237" s="330"/>
      <c r="M237" s="331">
        <f>SUM(L233,L236)</f>
        <v>0</v>
      </c>
    </row>
    <row r="238" spans="1:13" ht="6.75" customHeight="1" x14ac:dyDescent="0.35">
      <c r="A238" s="319"/>
      <c r="B238" s="319"/>
      <c r="C238" s="320"/>
      <c r="D238" s="627"/>
      <c r="E238" s="627"/>
      <c r="F238" s="627"/>
      <c r="H238" s="319"/>
      <c r="I238" s="319"/>
      <c r="J238" s="320"/>
      <c r="K238" s="627"/>
      <c r="L238" s="627"/>
      <c r="M238" s="627"/>
    </row>
    <row r="239" spans="1:13" ht="6.75" customHeight="1" x14ac:dyDescent="0.35">
      <c r="A239" s="319"/>
      <c r="B239" s="319"/>
      <c r="C239" s="320"/>
      <c r="D239" s="627"/>
      <c r="E239" s="627"/>
      <c r="F239" s="627"/>
      <c r="H239" s="319"/>
      <c r="I239" s="319"/>
      <c r="J239" s="320"/>
      <c r="K239" s="627"/>
      <c r="L239" s="627"/>
      <c r="M239" s="627"/>
    </row>
    <row r="240" spans="1:13" ht="15" customHeight="1" x14ac:dyDescent="0.35">
      <c r="A240" s="630" t="s">
        <v>178</v>
      </c>
      <c r="B240" s="630"/>
      <c r="C240" s="630"/>
      <c r="D240" s="630"/>
      <c r="E240" s="630"/>
      <c r="F240" s="630"/>
      <c r="H240" s="630" t="s">
        <v>178</v>
      </c>
      <c r="I240" s="630"/>
      <c r="J240" s="630"/>
      <c r="K240" s="630"/>
      <c r="L240" s="630"/>
      <c r="M240" s="630"/>
    </row>
    <row r="241" spans="1:13" x14ac:dyDescent="0.35">
      <c r="A241" s="321" t="s">
        <v>13</v>
      </c>
      <c r="B241" s="321" t="s">
        <v>14</v>
      </c>
      <c r="C241" s="321" t="s">
        <v>15</v>
      </c>
      <c r="D241" s="321" t="s">
        <v>16</v>
      </c>
      <c r="E241" s="321" t="s">
        <v>24</v>
      </c>
      <c r="F241" s="321" t="s">
        <v>17</v>
      </c>
      <c r="H241" s="321" t="s">
        <v>13</v>
      </c>
      <c r="I241" s="321" t="s">
        <v>14</v>
      </c>
      <c r="J241" s="321" t="s">
        <v>15</v>
      </c>
      <c r="K241" s="321" t="s">
        <v>16</v>
      </c>
      <c r="L241" s="321" t="s">
        <v>24</v>
      </c>
      <c r="M241" s="321" t="s">
        <v>17</v>
      </c>
    </row>
    <row r="242" spans="1:13" x14ac:dyDescent="0.35">
      <c r="A242" s="333">
        <v>6127</v>
      </c>
      <c r="B242" s="334" t="s">
        <v>175</v>
      </c>
      <c r="C242" s="335" t="s">
        <v>6</v>
      </c>
      <c r="D242" s="335">
        <v>4.7699999999999996</v>
      </c>
      <c r="E242" s="324">
        <f>'Mat Serv Eventuais'!D15</f>
        <v>10.130000000000001</v>
      </c>
      <c r="F242" s="325">
        <f>ROUND(D242*E242,2)</f>
        <v>48.32</v>
      </c>
      <c r="H242" s="333">
        <v>6127</v>
      </c>
      <c r="I242" s="334" t="s">
        <v>175</v>
      </c>
      <c r="J242" s="335" t="s">
        <v>6</v>
      </c>
      <c r="K242" s="335">
        <v>4.7699999999999996</v>
      </c>
      <c r="L242" s="324">
        <f>'Mat Serv Eventuais'!E15</f>
        <v>0</v>
      </c>
      <c r="M242" s="325">
        <f>ROUND(K242*L242,2)</f>
        <v>0</v>
      </c>
    </row>
    <row r="243" spans="1:13" x14ac:dyDescent="0.35">
      <c r="A243" s="333">
        <v>4750</v>
      </c>
      <c r="B243" s="334" t="s">
        <v>40</v>
      </c>
      <c r="C243" s="335" t="s">
        <v>6</v>
      </c>
      <c r="D243" s="335">
        <v>2.4</v>
      </c>
      <c r="E243" s="324">
        <f>'Mat Serv Eventuais'!D9</f>
        <v>13.45</v>
      </c>
      <c r="F243" s="325">
        <f>ROUND(D243*E243,2)</f>
        <v>32.28</v>
      </c>
      <c r="H243" s="333">
        <v>4750</v>
      </c>
      <c r="I243" s="334" t="s">
        <v>40</v>
      </c>
      <c r="J243" s="335" t="s">
        <v>6</v>
      </c>
      <c r="K243" s="335">
        <v>2.4</v>
      </c>
      <c r="L243" s="324">
        <f>'Mat Serv Eventuais'!E9</f>
        <v>0</v>
      </c>
      <c r="M243" s="325">
        <f>ROUND(K243*L243,2)</f>
        <v>0</v>
      </c>
    </row>
    <row r="244" spans="1:13" x14ac:dyDescent="0.35">
      <c r="A244" s="315"/>
      <c r="B244" s="326"/>
      <c r="C244" s="631" t="s">
        <v>18</v>
      </c>
      <c r="D244" s="631"/>
      <c r="E244" s="632">
        <f>SUM(F242:F243)</f>
        <v>80.599999999999994</v>
      </c>
      <c r="F244" s="632"/>
      <c r="H244" s="315"/>
      <c r="I244" s="326"/>
      <c r="J244" s="631" t="s">
        <v>18</v>
      </c>
      <c r="K244" s="631"/>
      <c r="L244" s="632">
        <f>SUM(M242:M243)</f>
        <v>0</v>
      </c>
      <c r="M244" s="632"/>
    </row>
    <row r="245" spans="1:13" x14ac:dyDescent="0.35">
      <c r="A245" s="321" t="s">
        <v>13</v>
      </c>
      <c r="B245" s="321" t="s">
        <v>19</v>
      </c>
      <c r="C245" s="321" t="s">
        <v>15</v>
      </c>
      <c r="D245" s="321" t="s">
        <v>16</v>
      </c>
      <c r="E245" s="321" t="s">
        <v>24</v>
      </c>
      <c r="F245" s="321" t="s">
        <v>17</v>
      </c>
      <c r="H245" s="321" t="s">
        <v>13</v>
      </c>
      <c r="I245" s="321" t="s">
        <v>19</v>
      </c>
      <c r="J245" s="321" t="s">
        <v>15</v>
      </c>
      <c r="K245" s="321" t="s">
        <v>16</v>
      </c>
      <c r="L245" s="321" t="s">
        <v>24</v>
      </c>
      <c r="M245" s="321" t="s">
        <v>17</v>
      </c>
    </row>
    <row r="246" spans="1:13" x14ac:dyDescent="0.35">
      <c r="A246" s="347">
        <v>1380</v>
      </c>
      <c r="B246" s="348" t="s">
        <v>179</v>
      </c>
      <c r="C246" s="349" t="s">
        <v>20</v>
      </c>
      <c r="D246" s="349">
        <v>0.7</v>
      </c>
      <c r="E246" s="350">
        <f>'Mat Serv Eventuais'!D51</f>
        <v>3.75</v>
      </c>
      <c r="F246" s="325">
        <f>ROUND(D246*E246,2)</f>
        <v>2.63</v>
      </c>
      <c r="H246" s="347">
        <v>1380</v>
      </c>
      <c r="I246" s="348" t="s">
        <v>179</v>
      </c>
      <c r="J246" s="349" t="s">
        <v>20</v>
      </c>
      <c r="K246" s="349">
        <v>0.7</v>
      </c>
      <c r="L246" s="350">
        <f>'Mat Serv Eventuais'!E51</f>
        <v>0</v>
      </c>
      <c r="M246" s="325">
        <f>ROUND(K246*L246,2)</f>
        <v>0</v>
      </c>
    </row>
    <row r="247" spans="1:13" x14ac:dyDescent="0.35">
      <c r="A247" s="347">
        <v>34353</v>
      </c>
      <c r="B247" s="348" t="s">
        <v>180</v>
      </c>
      <c r="C247" s="349" t="s">
        <v>20</v>
      </c>
      <c r="D247" s="349">
        <v>4.5</v>
      </c>
      <c r="E247" s="350">
        <f>'Mat Serv Eventuais'!D29</f>
        <v>1.3</v>
      </c>
      <c r="F247" s="325">
        <f>ROUND(D247*E247,2)</f>
        <v>5.85</v>
      </c>
      <c r="H247" s="347">
        <v>34353</v>
      </c>
      <c r="I247" s="348" t="s">
        <v>180</v>
      </c>
      <c r="J247" s="349" t="s">
        <v>20</v>
      </c>
      <c r="K247" s="349">
        <v>4.5</v>
      </c>
      <c r="L247" s="350">
        <f>'Mat Serv Eventuais'!E29</f>
        <v>0</v>
      </c>
      <c r="M247" s="325">
        <f>ROUND(K247*L247,2)</f>
        <v>0</v>
      </c>
    </row>
    <row r="248" spans="1:13" x14ac:dyDescent="0.35">
      <c r="A248" s="347">
        <v>370</v>
      </c>
      <c r="B248" s="348" t="s">
        <v>181</v>
      </c>
      <c r="C248" s="349" t="s">
        <v>7</v>
      </c>
      <c r="D248" s="349">
        <v>3.3E-3</v>
      </c>
      <c r="E248" s="351">
        <f>'Mat Serv Eventuais'!D26</f>
        <v>87.5</v>
      </c>
      <c r="F248" s="325">
        <f>ROUND(D248*E248,2)</f>
        <v>0.28999999999999998</v>
      </c>
      <c r="H248" s="347">
        <v>370</v>
      </c>
      <c r="I248" s="348" t="s">
        <v>181</v>
      </c>
      <c r="J248" s="349" t="s">
        <v>7</v>
      </c>
      <c r="K248" s="349">
        <v>3.3E-3</v>
      </c>
      <c r="L248" s="351">
        <f>'Mat Serv Eventuais'!E26</f>
        <v>0</v>
      </c>
      <c r="M248" s="325">
        <f>ROUND(K248*L248,2)</f>
        <v>0</v>
      </c>
    </row>
    <row r="249" spans="1:13" x14ac:dyDescent="0.35">
      <c r="A249" s="333">
        <v>25976</v>
      </c>
      <c r="B249" s="337" t="s">
        <v>182</v>
      </c>
      <c r="C249" s="335" t="s">
        <v>5</v>
      </c>
      <c r="D249" s="335">
        <v>1</v>
      </c>
      <c r="E249" s="324">
        <f>'Mat Serv Eventuais'!D39</f>
        <v>585.53</v>
      </c>
      <c r="F249" s="325">
        <f>ROUND(D249*E249,2)</f>
        <v>585.53</v>
      </c>
      <c r="H249" s="333">
        <v>25976</v>
      </c>
      <c r="I249" s="337" t="s">
        <v>182</v>
      </c>
      <c r="J249" s="335" t="s">
        <v>5</v>
      </c>
      <c r="K249" s="335">
        <v>1</v>
      </c>
      <c r="L249" s="324">
        <f>'Mat Serv Eventuais'!E39</f>
        <v>0</v>
      </c>
      <c r="M249" s="325">
        <f>ROUND(K249*L249,2)</f>
        <v>0</v>
      </c>
    </row>
    <row r="250" spans="1:13" x14ac:dyDescent="0.35">
      <c r="A250" s="320" t="s">
        <v>183</v>
      </c>
      <c r="B250" s="320"/>
      <c r="C250" s="631" t="s">
        <v>18</v>
      </c>
      <c r="D250" s="631"/>
      <c r="E250" s="632">
        <f>SUM(F246:F249)</f>
        <v>594.29999999999995</v>
      </c>
      <c r="F250" s="632"/>
      <c r="H250" s="320" t="s">
        <v>183</v>
      </c>
      <c r="I250" s="320"/>
      <c r="J250" s="631" t="s">
        <v>18</v>
      </c>
      <c r="K250" s="631"/>
      <c r="L250" s="632">
        <f>SUM(M246:M249)</f>
        <v>0</v>
      </c>
      <c r="M250" s="632"/>
    </row>
    <row r="251" spans="1:13" ht="27.75" customHeight="1" x14ac:dyDescent="0.35">
      <c r="A251" s="629" t="s">
        <v>1074</v>
      </c>
      <c r="B251" s="629"/>
      <c r="C251" s="328" t="s">
        <v>174</v>
      </c>
      <c r="D251" s="329"/>
      <c r="E251" s="330"/>
      <c r="F251" s="331">
        <f>SUM(E244,E250)</f>
        <v>674.9</v>
      </c>
      <c r="H251" s="629" t="s">
        <v>176</v>
      </c>
      <c r="I251" s="629"/>
      <c r="J251" s="328" t="s">
        <v>174</v>
      </c>
      <c r="K251" s="329"/>
      <c r="L251" s="330"/>
      <c r="M251" s="331">
        <f>SUM(L244,L250)</f>
        <v>0</v>
      </c>
    </row>
    <row r="253" spans="1:13" ht="15" customHeight="1" x14ac:dyDescent="0.35">
      <c r="A253" s="630" t="s">
        <v>795</v>
      </c>
      <c r="B253" s="630"/>
      <c r="C253" s="630"/>
      <c r="D253" s="630"/>
      <c r="E253" s="630"/>
      <c r="F253" s="630"/>
      <c r="H253" s="630" t="s">
        <v>795</v>
      </c>
      <c r="I253" s="630"/>
      <c r="J253" s="630"/>
      <c r="K253" s="630"/>
      <c r="L253" s="630"/>
      <c r="M253" s="630"/>
    </row>
    <row r="254" spans="1:13" x14ac:dyDescent="0.35">
      <c r="A254" s="321" t="s">
        <v>13</v>
      </c>
      <c r="B254" s="321" t="s">
        <v>19</v>
      </c>
      <c r="C254" s="321" t="s">
        <v>15</v>
      </c>
      <c r="D254" s="321" t="s">
        <v>16</v>
      </c>
      <c r="E254" s="321" t="s">
        <v>24</v>
      </c>
      <c r="F254" s="321" t="s">
        <v>17</v>
      </c>
      <c r="H254" s="321" t="s">
        <v>13</v>
      </c>
      <c r="I254" s="321" t="s">
        <v>19</v>
      </c>
      <c r="J254" s="321" t="s">
        <v>15</v>
      </c>
      <c r="K254" s="321" t="s">
        <v>16</v>
      </c>
      <c r="L254" s="321" t="s">
        <v>24</v>
      </c>
      <c r="M254" s="321" t="s">
        <v>17</v>
      </c>
    </row>
    <row r="255" spans="1:13" x14ac:dyDescent="0.35">
      <c r="A255" s="347"/>
      <c r="B255" s="352" t="s">
        <v>184</v>
      </c>
      <c r="C255" s="349" t="s">
        <v>185</v>
      </c>
      <c r="D255" s="349">
        <v>20</v>
      </c>
      <c r="E255" s="350">
        <f>ROUND((0.2*E256),2)</f>
        <v>41.59</v>
      </c>
      <c r="F255" s="325">
        <f>E255*D255/100</f>
        <v>8.3180000000000014</v>
      </c>
      <c r="G255" s="314"/>
      <c r="H255" s="347"/>
      <c r="I255" s="352" t="s">
        <v>184</v>
      </c>
      <c r="J255" s="349" t="s">
        <v>185</v>
      </c>
      <c r="K255" s="349">
        <v>20</v>
      </c>
      <c r="L255" s="350">
        <f>ROUND((0.2*L256),2)</f>
        <v>0</v>
      </c>
      <c r="M255" s="325">
        <f>L255*K255/100</f>
        <v>0</v>
      </c>
    </row>
    <row r="256" spans="1:13" x14ac:dyDescent="0.35">
      <c r="A256" s="347">
        <v>10506</v>
      </c>
      <c r="B256" s="348" t="s">
        <v>186</v>
      </c>
      <c r="C256" s="349" t="s">
        <v>5</v>
      </c>
      <c r="D256" s="349">
        <v>1</v>
      </c>
      <c r="E256" s="350">
        <f>'Mat Serv Eventuais'!D37</f>
        <v>207.95</v>
      </c>
      <c r="F256" s="325">
        <f>ROUND(D256*E256,2)</f>
        <v>207.95</v>
      </c>
      <c r="H256" s="347">
        <v>10506</v>
      </c>
      <c r="I256" s="348" t="s">
        <v>186</v>
      </c>
      <c r="J256" s="349" t="s">
        <v>5</v>
      </c>
      <c r="K256" s="349">
        <v>1</v>
      </c>
      <c r="L256" s="350">
        <f>'Mat Serv Eventuais'!E37</f>
        <v>0</v>
      </c>
      <c r="M256" s="325">
        <f>ROUND(K256*L256,2)</f>
        <v>0</v>
      </c>
    </row>
    <row r="257" spans="1:13" x14ac:dyDescent="0.35">
      <c r="A257" s="320" t="s">
        <v>189</v>
      </c>
      <c r="B257" s="320"/>
      <c r="C257" s="631" t="s">
        <v>18</v>
      </c>
      <c r="D257" s="631"/>
      <c r="E257" s="632">
        <f>SUM(F255:F256)</f>
        <v>216.268</v>
      </c>
      <c r="F257" s="632"/>
      <c r="H257" s="320" t="s">
        <v>189</v>
      </c>
      <c r="I257" s="320"/>
      <c r="J257" s="631" t="s">
        <v>18</v>
      </c>
      <c r="K257" s="631"/>
      <c r="L257" s="632">
        <f>SUM(M255:M256)</f>
        <v>0</v>
      </c>
      <c r="M257" s="632"/>
    </row>
    <row r="258" spans="1:13" ht="24.75" customHeight="1" x14ac:dyDescent="0.35">
      <c r="A258" s="629" t="s">
        <v>1074</v>
      </c>
      <c r="B258" s="629"/>
      <c r="C258" s="328" t="s">
        <v>174</v>
      </c>
      <c r="D258" s="329"/>
      <c r="E258" s="330"/>
      <c r="F258" s="331">
        <f>E257</f>
        <v>216.268</v>
      </c>
      <c r="H258" s="629" t="s">
        <v>176</v>
      </c>
      <c r="I258" s="629"/>
      <c r="J258" s="328" t="s">
        <v>174</v>
      </c>
      <c r="K258" s="329"/>
      <c r="L258" s="330"/>
      <c r="M258" s="331">
        <f>L257</f>
        <v>0</v>
      </c>
    </row>
    <row r="260" spans="1:13" ht="15" customHeight="1" x14ac:dyDescent="0.35">
      <c r="A260" s="630" t="s">
        <v>188</v>
      </c>
      <c r="B260" s="630"/>
      <c r="C260" s="630"/>
      <c r="D260" s="630"/>
      <c r="E260" s="630"/>
      <c r="F260" s="630"/>
      <c r="H260" s="630" t="s">
        <v>188</v>
      </c>
      <c r="I260" s="630"/>
      <c r="J260" s="630"/>
      <c r="K260" s="630"/>
      <c r="L260" s="630"/>
      <c r="M260" s="630"/>
    </row>
    <row r="261" spans="1:13" x14ac:dyDescent="0.35">
      <c r="A261" s="321" t="s">
        <v>13</v>
      </c>
      <c r="B261" s="321" t="s">
        <v>14</v>
      </c>
      <c r="C261" s="321" t="s">
        <v>15</v>
      </c>
      <c r="D261" s="321" t="s">
        <v>16</v>
      </c>
      <c r="E261" s="321" t="s">
        <v>24</v>
      </c>
      <c r="F261" s="321" t="s">
        <v>17</v>
      </c>
      <c r="H261" s="321" t="s">
        <v>13</v>
      </c>
      <c r="I261" s="321" t="s">
        <v>14</v>
      </c>
      <c r="J261" s="321" t="s">
        <v>15</v>
      </c>
      <c r="K261" s="321" t="s">
        <v>16</v>
      </c>
      <c r="L261" s="321" t="s">
        <v>24</v>
      </c>
      <c r="M261" s="321" t="s">
        <v>17</v>
      </c>
    </row>
    <row r="262" spans="1:13" x14ac:dyDescent="0.35">
      <c r="A262" s="333">
        <v>6127</v>
      </c>
      <c r="B262" s="334" t="s">
        <v>175</v>
      </c>
      <c r="C262" s="335" t="s">
        <v>6</v>
      </c>
      <c r="D262" s="335">
        <v>2.5</v>
      </c>
      <c r="E262" s="324">
        <f>'Mat Serv Eventuais'!D15</f>
        <v>10.130000000000001</v>
      </c>
      <c r="F262" s="325">
        <f>ROUND(D262*E262,2)</f>
        <v>25.33</v>
      </c>
      <c r="H262" s="333">
        <v>6127</v>
      </c>
      <c r="I262" s="334" t="s">
        <v>175</v>
      </c>
      <c r="J262" s="335" t="s">
        <v>6</v>
      </c>
      <c r="K262" s="335">
        <v>2.5</v>
      </c>
      <c r="L262" s="324">
        <f>'Mat Serv Eventuais'!E15</f>
        <v>0</v>
      </c>
      <c r="M262" s="325">
        <f>ROUND(K262*L262,2)</f>
        <v>0</v>
      </c>
    </row>
    <row r="263" spans="1:13" x14ac:dyDescent="0.35">
      <c r="A263" s="333">
        <v>4750</v>
      </c>
      <c r="B263" s="334" t="s">
        <v>40</v>
      </c>
      <c r="C263" s="335" t="s">
        <v>6</v>
      </c>
      <c r="D263" s="335">
        <v>2.5</v>
      </c>
      <c r="E263" s="324">
        <f>'Mat Serv Eventuais'!D9</f>
        <v>13.45</v>
      </c>
      <c r="F263" s="325">
        <f>ROUND(D263*E263,2)</f>
        <v>33.630000000000003</v>
      </c>
      <c r="H263" s="333">
        <v>4750</v>
      </c>
      <c r="I263" s="334" t="s">
        <v>40</v>
      </c>
      <c r="J263" s="335" t="s">
        <v>6</v>
      </c>
      <c r="K263" s="335">
        <v>2.5</v>
      </c>
      <c r="L263" s="324">
        <f>'Mat Serv Eventuais'!E9</f>
        <v>0</v>
      </c>
      <c r="M263" s="325">
        <f>ROUND(K263*L263,2)</f>
        <v>0</v>
      </c>
    </row>
    <row r="264" spans="1:13" x14ac:dyDescent="0.35">
      <c r="A264" s="315"/>
      <c r="B264" s="326"/>
      <c r="C264" s="631" t="s">
        <v>18</v>
      </c>
      <c r="D264" s="631"/>
      <c r="E264" s="632">
        <f>SUM(F262:F263)</f>
        <v>58.96</v>
      </c>
      <c r="F264" s="632"/>
      <c r="H264" s="315"/>
      <c r="I264" s="326"/>
      <c r="J264" s="631" t="s">
        <v>18</v>
      </c>
      <c r="K264" s="631"/>
      <c r="L264" s="632">
        <f>SUM(M262:M263)</f>
        <v>0</v>
      </c>
      <c r="M264" s="632"/>
    </row>
    <row r="265" spans="1:13" x14ac:dyDescent="0.35">
      <c r="A265" s="321" t="s">
        <v>13</v>
      </c>
      <c r="B265" s="321" t="s">
        <v>19</v>
      </c>
      <c r="C265" s="321" t="s">
        <v>15</v>
      </c>
      <c r="D265" s="321" t="s">
        <v>16</v>
      </c>
      <c r="E265" s="321" t="s">
        <v>24</v>
      </c>
      <c r="F265" s="321" t="s">
        <v>17</v>
      </c>
      <c r="H265" s="321" t="s">
        <v>13</v>
      </c>
      <c r="I265" s="321" t="s">
        <v>19</v>
      </c>
      <c r="J265" s="321" t="s">
        <v>15</v>
      </c>
      <c r="K265" s="321" t="s">
        <v>16</v>
      </c>
      <c r="L265" s="321" t="s">
        <v>24</v>
      </c>
      <c r="M265" s="321" t="s">
        <v>17</v>
      </c>
    </row>
    <row r="266" spans="1:13" x14ac:dyDescent="0.35">
      <c r="A266" s="347">
        <v>11186</v>
      </c>
      <c r="B266" s="348" t="s">
        <v>187</v>
      </c>
      <c r="C266" s="349" t="s">
        <v>5</v>
      </c>
      <c r="D266" s="349">
        <v>1</v>
      </c>
      <c r="E266" s="350">
        <f>'Mat Serv Eventuais'!D41</f>
        <v>336.73</v>
      </c>
      <c r="F266" s="325">
        <f>ROUND(D266*E266,2)</f>
        <v>336.73</v>
      </c>
      <c r="H266" s="347">
        <v>11186</v>
      </c>
      <c r="I266" s="348" t="s">
        <v>187</v>
      </c>
      <c r="J266" s="349" t="s">
        <v>5</v>
      </c>
      <c r="K266" s="349">
        <v>1</v>
      </c>
      <c r="L266" s="350">
        <f>'Mat Serv Eventuais'!E41</f>
        <v>0</v>
      </c>
      <c r="M266" s="325">
        <f>ROUND(K266*L266,2)</f>
        <v>0</v>
      </c>
    </row>
    <row r="267" spans="1:13" x14ac:dyDescent="0.35">
      <c r="A267" s="320" t="s">
        <v>190</v>
      </c>
      <c r="B267" s="320"/>
      <c r="C267" s="631" t="s">
        <v>18</v>
      </c>
      <c r="D267" s="631"/>
      <c r="E267" s="632">
        <f>SUM(F266:F266)</f>
        <v>336.73</v>
      </c>
      <c r="F267" s="632"/>
      <c r="H267" s="320" t="s">
        <v>190</v>
      </c>
      <c r="I267" s="320"/>
      <c r="J267" s="631" t="s">
        <v>18</v>
      </c>
      <c r="K267" s="631"/>
      <c r="L267" s="632">
        <f>SUM(M266:M266)</f>
        <v>0</v>
      </c>
      <c r="M267" s="632"/>
    </row>
    <row r="268" spans="1:13" ht="26.25" customHeight="1" x14ac:dyDescent="0.35">
      <c r="A268" s="629" t="s">
        <v>1074</v>
      </c>
      <c r="B268" s="629"/>
      <c r="C268" s="328" t="s">
        <v>174</v>
      </c>
      <c r="D268" s="329"/>
      <c r="E268" s="330"/>
      <c r="F268" s="331">
        <f>SUM(E264,E267)</f>
        <v>395.69</v>
      </c>
      <c r="H268" s="629" t="s">
        <v>176</v>
      </c>
      <c r="I268" s="629"/>
      <c r="J268" s="328" t="s">
        <v>174</v>
      </c>
      <c r="K268" s="329"/>
      <c r="L268" s="330"/>
      <c r="M268" s="331">
        <f>SUM(L264,L267)</f>
        <v>0</v>
      </c>
    </row>
    <row r="270" spans="1:13" ht="15" customHeight="1" x14ac:dyDescent="0.35">
      <c r="A270" s="630" t="s">
        <v>202</v>
      </c>
      <c r="B270" s="630"/>
      <c r="C270" s="630"/>
      <c r="D270" s="630"/>
      <c r="E270" s="630"/>
      <c r="F270" s="630"/>
      <c r="H270" s="630" t="s">
        <v>202</v>
      </c>
      <c r="I270" s="630"/>
      <c r="J270" s="630"/>
      <c r="K270" s="630"/>
      <c r="L270" s="630"/>
      <c r="M270" s="630"/>
    </row>
    <row r="271" spans="1:13" x14ac:dyDescent="0.35">
      <c r="A271" s="321" t="s">
        <v>13</v>
      </c>
      <c r="B271" s="321" t="s">
        <v>14</v>
      </c>
      <c r="C271" s="321" t="s">
        <v>15</v>
      </c>
      <c r="D271" s="321" t="s">
        <v>16</v>
      </c>
      <c r="E271" s="321" t="s">
        <v>24</v>
      </c>
      <c r="F271" s="321" t="s">
        <v>17</v>
      </c>
      <c r="H271" s="321" t="s">
        <v>13</v>
      </c>
      <c r="I271" s="321" t="s">
        <v>14</v>
      </c>
      <c r="J271" s="321" t="s">
        <v>15</v>
      </c>
      <c r="K271" s="321" t="s">
        <v>16</v>
      </c>
      <c r="L271" s="321" t="s">
        <v>24</v>
      </c>
      <c r="M271" s="321" t="s">
        <v>17</v>
      </c>
    </row>
    <row r="272" spans="1:13" x14ac:dyDescent="0.35">
      <c r="A272" s="333">
        <v>34466</v>
      </c>
      <c r="B272" s="334" t="s">
        <v>194</v>
      </c>
      <c r="C272" s="335" t="s">
        <v>6</v>
      </c>
      <c r="D272" s="335">
        <v>0.2</v>
      </c>
      <c r="E272" s="324">
        <f>'Mat Serv Eventuais'!D16</f>
        <v>9.69</v>
      </c>
      <c r="F272" s="325">
        <f>ROUND(D272*E272,2)</f>
        <v>1.94</v>
      </c>
      <c r="H272" s="333">
        <v>34466</v>
      </c>
      <c r="I272" s="334" t="s">
        <v>194</v>
      </c>
      <c r="J272" s="335" t="s">
        <v>6</v>
      </c>
      <c r="K272" s="335">
        <v>0.2</v>
      </c>
      <c r="L272" s="324">
        <f>'Mat Serv Eventuais'!E16</f>
        <v>0</v>
      </c>
      <c r="M272" s="325">
        <f>ROUND(K272*L272,2)</f>
        <v>0</v>
      </c>
    </row>
    <row r="273" spans="1:13" x14ac:dyDescent="0.35">
      <c r="A273" s="333">
        <v>4783</v>
      </c>
      <c r="B273" s="334" t="s">
        <v>83</v>
      </c>
      <c r="C273" s="335" t="s">
        <v>6</v>
      </c>
      <c r="D273" s="335">
        <v>0.3</v>
      </c>
      <c r="E273" s="324">
        <f>'Mat Serv Eventuais'!D10</f>
        <v>13.45</v>
      </c>
      <c r="F273" s="325">
        <f>ROUND(D273*E273,2)</f>
        <v>4.04</v>
      </c>
      <c r="H273" s="333">
        <v>4783</v>
      </c>
      <c r="I273" s="334" t="s">
        <v>83</v>
      </c>
      <c r="J273" s="335" t="s">
        <v>6</v>
      </c>
      <c r="K273" s="335">
        <v>0.3</v>
      </c>
      <c r="L273" s="324">
        <f>'Mat Serv Eventuais'!E10</f>
        <v>0</v>
      </c>
      <c r="M273" s="325">
        <f>ROUND(K273*L273,2)</f>
        <v>0</v>
      </c>
    </row>
    <row r="274" spans="1:13" x14ac:dyDescent="0.35">
      <c r="A274" s="315"/>
      <c r="B274" s="326"/>
      <c r="C274" s="631" t="s">
        <v>18</v>
      </c>
      <c r="D274" s="631"/>
      <c r="E274" s="632">
        <f>SUM(F272:F273)</f>
        <v>5.98</v>
      </c>
      <c r="F274" s="632"/>
      <c r="H274" s="315"/>
      <c r="I274" s="326"/>
      <c r="J274" s="631" t="s">
        <v>18</v>
      </c>
      <c r="K274" s="631"/>
      <c r="L274" s="632">
        <f>SUM(M272:M273)</f>
        <v>0</v>
      </c>
      <c r="M274" s="632"/>
    </row>
    <row r="275" spans="1:13" x14ac:dyDescent="0.35">
      <c r="A275" s="321" t="s">
        <v>13</v>
      </c>
      <c r="B275" s="321" t="s">
        <v>19</v>
      </c>
      <c r="C275" s="321" t="s">
        <v>15</v>
      </c>
      <c r="D275" s="321" t="s">
        <v>16</v>
      </c>
      <c r="E275" s="321" t="s">
        <v>24</v>
      </c>
      <c r="F275" s="321" t="s">
        <v>17</v>
      </c>
      <c r="H275" s="321" t="s">
        <v>13</v>
      </c>
      <c r="I275" s="321" t="s">
        <v>19</v>
      </c>
      <c r="J275" s="321" t="s">
        <v>15</v>
      </c>
      <c r="K275" s="321" t="s">
        <v>16</v>
      </c>
      <c r="L275" s="321" t="s">
        <v>24</v>
      </c>
      <c r="M275" s="321" t="s">
        <v>17</v>
      </c>
    </row>
    <row r="276" spans="1:13" x14ac:dyDescent="0.35">
      <c r="A276" s="347">
        <v>3767</v>
      </c>
      <c r="B276" s="349" t="s">
        <v>203</v>
      </c>
      <c r="C276" s="349" t="s">
        <v>15</v>
      </c>
      <c r="D276" s="349">
        <v>0.4</v>
      </c>
      <c r="E276" s="351">
        <f>'Mat Serv Eventuais'!D58</f>
        <v>0.48</v>
      </c>
      <c r="F276" s="325">
        <f>ROUND(D276*E276,2)</f>
        <v>0.19</v>
      </c>
      <c r="H276" s="347">
        <v>3767</v>
      </c>
      <c r="I276" s="349" t="s">
        <v>203</v>
      </c>
      <c r="J276" s="349" t="s">
        <v>15</v>
      </c>
      <c r="K276" s="349">
        <v>0.4</v>
      </c>
      <c r="L276" s="351">
        <f>'Mat Serv Eventuais'!E58</f>
        <v>0</v>
      </c>
      <c r="M276" s="325">
        <f>ROUND(K276*L276,2)</f>
        <v>0</v>
      </c>
    </row>
    <row r="277" spans="1:13" x14ac:dyDescent="0.35">
      <c r="A277" s="347" t="s">
        <v>22</v>
      </c>
      <c r="B277" s="349" t="s">
        <v>199</v>
      </c>
      <c r="C277" s="349" t="s">
        <v>109</v>
      </c>
      <c r="D277" s="349">
        <v>0.7</v>
      </c>
      <c r="E277" s="351">
        <f>22.9/6</f>
        <v>3.8166666666666664</v>
      </c>
      <c r="F277" s="325">
        <f>ROUND(D277*E277,2)</f>
        <v>2.67</v>
      </c>
      <c r="H277" s="347" t="s">
        <v>22</v>
      </c>
      <c r="I277" s="349" t="s">
        <v>199</v>
      </c>
      <c r="J277" s="349" t="s">
        <v>109</v>
      </c>
      <c r="K277" s="349">
        <v>0.7</v>
      </c>
      <c r="L277" s="351">
        <f>22.9/6</f>
        <v>3.8166666666666664</v>
      </c>
      <c r="M277" s="325">
        <f>ROUND(K277*L277,2)</f>
        <v>2.67</v>
      </c>
    </row>
    <row r="278" spans="1:13" x14ac:dyDescent="0.35">
      <c r="A278" s="320" t="s">
        <v>200</v>
      </c>
      <c r="B278" s="320"/>
      <c r="C278" s="631" t="s">
        <v>18</v>
      </c>
      <c r="D278" s="631"/>
      <c r="E278" s="632">
        <f>SUM(F276:F277)</f>
        <v>2.86</v>
      </c>
      <c r="F278" s="632"/>
      <c r="H278" s="320" t="s">
        <v>200</v>
      </c>
      <c r="I278" s="320"/>
      <c r="J278" s="631" t="s">
        <v>18</v>
      </c>
      <c r="K278" s="631"/>
      <c r="L278" s="632">
        <f>SUM(M276:M277)</f>
        <v>2.67</v>
      </c>
      <c r="M278" s="632"/>
    </row>
    <row r="279" spans="1:13" ht="24.75" customHeight="1" x14ac:dyDescent="0.35">
      <c r="A279" s="629" t="s">
        <v>1074</v>
      </c>
      <c r="B279" s="629"/>
      <c r="C279" s="328" t="s">
        <v>174</v>
      </c>
      <c r="D279" s="329"/>
      <c r="E279" s="330"/>
      <c r="F279" s="331">
        <f>SUM(E274,E278)</f>
        <v>8.84</v>
      </c>
      <c r="H279" s="629" t="s">
        <v>176</v>
      </c>
      <c r="I279" s="629"/>
      <c r="J279" s="328" t="s">
        <v>174</v>
      </c>
      <c r="K279" s="329"/>
      <c r="L279" s="330"/>
      <c r="M279" s="331">
        <f>SUM(L274,L278)</f>
        <v>2.67</v>
      </c>
    </row>
    <row r="280" spans="1:13" x14ac:dyDescent="0.35">
      <c r="A280" s="353"/>
      <c r="B280" s="320"/>
      <c r="H280" s="353" t="s">
        <v>22</v>
      </c>
      <c r="I280" s="320" t="s">
        <v>23</v>
      </c>
    </row>
    <row r="282" spans="1:13" ht="15" customHeight="1" x14ac:dyDescent="0.35">
      <c r="A282" s="630" t="s">
        <v>201</v>
      </c>
      <c r="B282" s="630"/>
      <c r="C282" s="630"/>
      <c r="D282" s="630"/>
      <c r="E282" s="630"/>
      <c r="F282" s="630"/>
      <c r="H282" s="630" t="s">
        <v>201</v>
      </c>
      <c r="I282" s="630"/>
      <c r="J282" s="630"/>
      <c r="K282" s="630"/>
      <c r="L282" s="630"/>
      <c r="M282" s="630"/>
    </row>
    <row r="283" spans="1:13" x14ac:dyDescent="0.35">
      <c r="A283" s="321" t="s">
        <v>13</v>
      </c>
      <c r="B283" s="321" t="s">
        <v>14</v>
      </c>
      <c r="C283" s="321" t="s">
        <v>15</v>
      </c>
      <c r="D283" s="321" t="s">
        <v>16</v>
      </c>
      <c r="E283" s="321" t="s">
        <v>24</v>
      </c>
      <c r="F283" s="321" t="s">
        <v>17</v>
      </c>
      <c r="H283" s="321" t="s">
        <v>13</v>
      </c>
      <c r="I283" s="321" t="s">
        <v>14</v>
      </c>
      <c r="J283" s="321" t="s">
        <v>15</v>
      </c>
      <c r="K283" s="321" t="s">
        <v>16</v>
      </c>
      <c r="L283" s="321" t="s">
        <v>24</v>
      </c>
      <c r="M283" s="321" t="s">
        <v>17</v>
      </c>
    </row>
    <row r="284" spans="1:13" x14ac:dyDescent="0.35">
      <c r="A284" s="333">
        <v>34466</v>
      </c>
      <c r="B284" s="334" t="s">
        <v>194</v>
      </c>
      <c r="C284" s="335" t="s">
        <v>6</v>
      </c>
      <c r="D284" s="335">
        <v>0.25</v>
      </c>
      <c r="E284" s="324">
        <f>'Mat Serv Eventuais'!D16</f>
        <v>9.69</v>
      </c>
      <c r="F284" s="325">
        <f>ROUND(D284*E284,2)</f>
        <v>2.42</v>
      </c>
      <c r="H284" s="333">
        <v>34466</v>
      </c>
      <c r="I284" s="334" t="s">
        <v>194</v>
      </c>
      <c r="J284" s="335" t="s">
        <v>6</v>
      </c>
      <c r="K284" s="335">
        <v>0.25</v>
      </c>
      <c r="L284" s="324">
        <f>'Mat Serv Eventuais'!E16</f>
        <v>0</v>
      </c>
      <c r="M284" s="325">
        <f>ROUND(K284*L284,2)</f>
        <v>0</v>
      </c>
    </row>
    <row r="285" spans="1:13" x14ac:dyDescent="0.35">
      <c r="A285" s="333">
        <v>4783</v>
      </c>
      <c r="B285" s="334" t="s">
        <v>83</v>
      </c>
      <c r="C285" s="335" t="s">
        <v>6</v>
      </c>
      <c r="D285" s="335">
        <v>0.35</v>
      </c>
      <c r="E285" s="324">
        <f>'Mat Serv Eventuais'!D10</f>
        <v>13.45</v>
      </c>
      <c r="F285" s="325">
        <f>ROUND(D285*E285,2)</f>
        <v>4.71</v>
      </c>
      <c r="H285" s="333">
        <v>4783</v>
      </c>
      <c r="I285" s="334" t="s">
        <v>83</v>
      </c>
      <c r="J285" s="335" t="s">
        <v>6</v>
      </c>
      <c r="K285" s="335">
        <v>0.35</v>
      </c>
      <c r="L285" s="324">
        <f>'Mat Serv Eventuais'!E10</f>
        <v>0</v>
      </c>
      <c r="M285" s="325">
        <f>ROUND(K285*L285,2)</f>
        <v>0</v>
      </c>
    </row>
    <row r="286" spans="1:13" x14ac:dyDescent="0.35">
      <c r="A286" s="315"/>
      <c r="B286" s="326"/>
      <c r="C286" s="631" t="s">
        <v>18</v>
      </c>
      <c r="D286" s="631"/>
      <c r="E286" s="632">
        <f>SUM(F284:F285)</f>
        <v>7.13</v>
      </c>
      <c r="F286" s="632"/>
      <c r="H286" s="315"/>
      <c r="I286" s="326"/>
      <c r="J286" s="631" t="s">
        <v>18</v>
      </c>
      <c r="K286" s="631"/>
      <c r="L286" s="632">
        <f>SUM(M284:M285)</f>
        <v>0</v>
      </c>
      <c r="M286" s="632"/>
    </row>
    <row r="287" spans="1:13" x14ac:dyDescent="0.35">
      <c r="A287" s="321" t="s">
        <v>13</v>
      </c>
      <c r="B287" s="321" t="s">
        <v>19</v>
      </c>
      <c r="C287" s="321" t="s">
        <v>15</v>
      </c>
      <c r="D287" s="321" t="s">
        <v>16</v>
      </c>
      <c r="E287" s="321" t="s">
        <v>24</v>
      </c>
      <c r="F287" s="321" t="s">
        <v>17</v>
      </c>
      <c r="H287" s="321" t="s">
        <v>13</v>
      </c>
      <c r="I287" s="321" t="s">
        <v>19</v>
      </c>
      <c r="J287" s="321" t="s">
        <v>15</v>
      </c>
      <c r="K287" s="321" t="s">
        <v>16</v>
      </c>
      <c r="L287" s="321" t="s">
        <v>24</v>
      </c>
      <c r="M287" s="321" t="s">
        <v>17</v>
      </c>
    </row>
    <row r="288" spans="1:13" x14ac:dyDescent="0.35">
      <c r="A288" s="347">
        <v>3767</v>
      </c>
      <c r="B288" s="348" t="s">
        <v>203</v>
      </c>
      <c r="C288" s="349" t="s">
        <v>15</v>
      </c>
      <c r="D288" s="349">
        <v>0.5</v>
      </c>
      <c r="E288" s="351">
        <f>'Mat Serv Eventuais'!D58</f>
        <v>0.48</v>
      </c>
      <c r="F288" s="325">
        <f>ROUND(D288*E288,2)</f>
        <v>0.24</v>
      </c>
      <c r="H288" s="347">
        <v>3767</v>
      </c>
      <c r="I288" s="348" t="s">
        <v>203</v>
      </c>
      <c r="J288" s="349" t="s">
        <v>15</v>
      </c>
      <c r="K288" s="349">
        <v>0.5</v>
      </c>
      <c r="L288" s="351">
        <f>'Mat Serv Eventuais'!E58</f>
        <v>0</v>
      </c>
      <c r="M288" s="325">
        <f>ROUND(K288*L288,2)</f>
        <v>0</v>
      </c>
    </row>
    <row r="289" spans="1:13" x14ac:dyDescent="0.35">
      <c r="A289" s="347">
        <v>4056</v>
      </c>
      <c r="B289" s="348" t="s">
        <v>204</v>
      </c>
      <c r="C289" s="349" t="s">
        <v>108</v>
      </c>
      <c r="D289" s="349">
        <v>0.7</v>
      </c>
      <c r="E289" s="351">
        <f>('Mat Serv Eventuais'!D54)/3.6</f>
        <v>6.1194444444444445</v>
      </c>
      <c r="F289" s="325">
        <f>ROUND(D289*E289,2)</f>
        <v>4.28</v>
      </c>
      <c r="G289" s="314"/>
      <c r="H289" s="347">
        <v>4056</v>
      </c>
      <c r="I289" s="348" t="s">
        <v>204</v>
      </c>
      <c r="J289" s="349" t="s">
        <v>108</v>
      </c>
      <c r="K289" s="349">
        <v>0.7</v>
      </c>
      <c r="L289" s="351">
        <f>('Mat Serv Eventuais'!E54)/3.6</f>
        <v>0</v>
      </c>
      <c r="M289" s="325">
        <f>ROUND(K289*L289,2)</f>
        <v>0</v>
      </c>
    </row>
    <row r="290" spans="1:13" x14ac:dyDescent="0.35">
      <c r="A290" s="320" t="s">
        <v>200</v>
      </c>
      <c r="B290" s="320"/>
      <c r="C290" s="631" t="s">
        <v>18</v>
      </c>
      <c r="D290" s="631"/>
      <c r="E290" s="632">
        <f>SUM(F288:F289)</f>
        <v>4.5200000000000005</v>
      </c>
      <c r="F290" s="632"/>
      <c r="H290" s="320" t="s">
        <v>200</v>
      </c>
      <c r="I290" s="320"/>
      <c r="J290" s="631" t="s">
        <v>18</v>
      </c>
      <c r="K290" s="631"/>
      <c r="L290" s="632">
        <f>SUM(M288:M289)</f>
        <v>0</v>
      </c>
      <c r="M290" s="632"/>
    </row>
    <row r="291" spans="1:13" ht="23.25" customHeight="1" x14ac:dyDescent="0.35">
      <c r="A291" s="629" t="s">
        <v>1074</v>
      </c>
      <c r="B291" s="629"/>
      <c r="C291" s="328" t="s">
        <v>174</v>
      </c>
      <c r="D291" s="329"/>
      <c r="E291" s="330"/>
      <c r="F291" s="331">
        <f>SUM(E286,E290)</f>
        <v>11.65</v>
      </c>
      <c r="H291" s="629" t="s">
        <v>176</v>
      </c>
      <c r="I291" s="629"/>
      <c r="J291" s="328" t="s">
        <v>174</v>
      </c>
      <c r="K291" s="329"/>
      <c r="L291" s="330"/>
      <c r="M291" s="331">
        <f>SUM(L286,L290)</f>
        <v>0</v>
      </c>
    </row>
    <row r="293" spans="1:13" ht="15" customHeight="1" x14ac:dyDescent="0.35">
      <c r="A293" s="630" t="s">
        <v>212</v>
      </c>
      <c r="B293" s="630"/>
      <c r="C293" s="630"/>
      <c r="D293" s="630"/>
      <c r="E293" s="630"/>
      <c r="F293" s="630"/>
      <c r="G293" s="314"/>
      <c r="H293" s="630" t="s">
        <v>212</v>
      </c>
      <c r="I293" s="630"/>
      <c r="J293" s="630"/>
      <c r="K293" s="630"/>
      <c r="L293" s="630"/>
      <c r="M293" s="630"/>
    </row>
    <row r="294" spans="1:13" x14ac:dyDescent="0.35">
      <c r="A294" s="321" t="s">
        <v>13</v>
      </c>
      <c r="B294" s="321" t="s">
        <v>14</v>
      </c>
      <c r="C294" s="321" t="s">
        <v>15</v>
      </c>
      <c r="D294" s="321" t="s">
        <v>16</v>
      </c>
      <c r="E294" s="321" t="s">
        <v>24</v>
      </c>
      <c r="F294" s="321" t="s">
        <v>17</v>
      </c>
      <c r="G294" s="314"/>
      <c r="H294" s="321" t="s">
        <v>13</v>
      </c>
      <c r="I294" s="321" t="s">
        <v>14</v>
      </c>
      <c r="J294" s="321" t="s">
        <v>15</v>
      </c>
      <c r="K294" s="321" t="s">
        <v>16</v>
      </c>
      <c r="L294" s="321" t="s">
        <v>24</v>
      </c>
      <c r="M294" s="321" t="s">
        <v>17</v>
      </c>
    </row>
    <row r="295" spans="1:13" x14ac:dyDescent="0.35">
      <c r="A295" s="333">
        <v>2436</v>
      </c>
      <c r="B295" s="334" t="s">
        <v>213</v>
      </c>
      <c r="C295" s="335" t="s">
        <v>6</v>
      </c>
      <c r="D295" s="335">
        <v>0.14000000000000001</v>
      </c>
      <c r="E295" s="324">
        <f>'Mat Serv Eventuais'!D7</f>
        <v>13.45</v>
      </c>
      <c r="F295" s="325">
        <f>ROUND(D295*E295,2)</f>
        <v>1.88</v>
      </c>
      <c r="G295" s="314"/>
      <c r="H295" s="333">
        <v>2436</v>
      </c>
      <c r="I295" s="334" t="s">
        <v>213</v>
      </c>
      <c r="J295" s="335" t="s">
        <v>6</v>
      </c>
      <c r="K295" s="335">
        <v>0.14000000000000001</v>
      </c>
      <c r="L295" s="324">
        <f>'Mat Serv Eventuais'!E7</f>
        <v>0</v>
      </c>
      <c r="M295" s="325">
        <f>ROUND(K295*L295,2)</f>
        <v>0</v>
      </c>
    </row>
    <row r="296" spans="1:13" x14ac:dyDescent="0.35">
      <c r="A296" s="333">
        <v>6111</v>
      </c>
      <c r="B296" s="334" t="s">
        <v>41</v>
      </c>
      <c r="C296" s="335" t="s">
        <v>6</v>
      </c>
      <c r="D296" s="335">
        <v>0.14000000000000001</v>
      </c>
      <c r="E296" s="324">
        <f>'Mat Serv Eventuais'!D8</f>
        <v>10.11</v>
      </c>
      <c r="F296" s="325">
        <f>ROUND(D296*E296,2)</f>
        <v>1.42</v>
      </c>
      <c r="G296" s="314"/>
      <c r="H296" s="333">
        <v>6111</v>
      </c>
      <c r="I296" s="334" t="s">
        <v>41</v>
      </c>
      <c r="J296" s="335" t="s">
        <v>6</v>
      </c>
      <c r="K296" s="335">
        <v>0.14000000000000001</v>
      </c>
      <c r="L296" s="324">
        <f>'Mat Serv Eventuais'!E8</f>
        <v>0</v>
      </c>
      <c r="M296" s="325">
        <f>ROUND(K296*L296,2)</f>
        <v>0</v>
      </c>
    </row>
    <row r="297" spans="1:13" x14ac:dyDescent="0.35">
      <c r="A297" s="315"/>
      <c r="B297" s="326"/>
      <c r="C297" s="631" t="s">
        <v>18</v>
      </c>
      <c r="D297" s="631"/>
      <c r="E297" s="632">
        <f>SUM(F295:F296)</f>
        <v>3.3</v>
      </c>
      <c r="F297" s="632"/>
      <c r="G297" s="314"/>
      <c r="H297" s="315"/>
      <c r="I297" s="326"/>
      <c r="J297" s="631" t="s">
        <v>18</v>
      </c>
      <c r="K297" s="631"/>
      <c r="L297" s="632">
        <f>SUM(M295:M296)</f>
        <v>0</v>
      </c>
      <c r="M297" s="632"/>
    </row>
    <row r="298" spans="1:13" x14ac:dyDescent="0.35">
      <c r="A298" s="321" t="s">
        <v>13</v>
      </c>
      <c r="B298" s="321" t="s">
        <v>19</v>
      </c>
      <c r="C298" s="321" t="s">
        <v>15</v>
      </c>
      <c r="D298" s="321" t="s">
        <v>16</v>
      </c>
      <c r="E298" s="321" t="s">
        <v>24</v>
      </c>
      <c r="F298" s="321" t="s">
        <v>17</v>
      </c>
      <c r="G298" s="314"/>
      <c r="H298" s="321" t="s">
        <v>13</v>
      </c>
      <c r="I298" s="321" t="s">
        <v>19</v>
      </c>
      <c r="J298" s="321" t="s">
        <v>15</v>
      </c>
      <c r="K298" s="321" t="s">
        <v>16</v>
      </c>
      <c r="L298" s="321" t="s">
        <v>24</v>
      </c>
      <c r="M298" s="321" t="s">
        <v>17</v>
      </c>
    </row>
    <row r="299" spans="1:13" x14ac:dyDescent="0.35">
      <c r="A299" s="350" t="s">
        <v>22</v>
      </c>
      <c r="B299" s="334" t="s">
        <v>217</v>
      </c>
      <c r="C299" s="350" t="s">
        <v>215</v>
      </c>
      <c r="D299" s="349">
        <v>1.05</v>
      </c>
      <c r="E299" s="354">
        <f>'Anexo BV - Materiais reposição'!F99</f>
        <v>2.6890491803278689</v>
      </c>
      <c r="F299" s="325">
        <f>ROUND(D299*E299,2)</f>
        <v>2.82</v>
      </c>
      <c r="G299" s="314"/>
      <c r="H299" s="350" t="s">
        <v>22</v>
      </c>
      <c r="I299" s="334" t="s">
        <v>217</v>
      </c>
      <c r="J299" s="350" t="s">
        <v>215</v>
      </c>
      <c r="K299" s="349">
        <v>1.05</v>
      </c>
      <c r="L299" s="350">
        <v>0.69</v>
      </c>
      <c r="M299" s="325">
        <f>ROUND(K299*L299,2)</f>
        <v>0.72</v>
      </c>
    </row>
    <row r="300" spans="1:13" x14ac:dyDescent="0.35">
      <c r="A300" s="350">
        <v>343</v>
      </c>
      <c r="B300" s="334" t="s">
        <v>214</v>
      </c>
      <c r="C300" s="350" t="s">
        <v>215</v>
      </c>
      <c r="D300" s="349">
        <v>1.05</v>
      </c>
      <c r="E300" s="350">
        <f>'Mat Serv Eventuais'!D55</f>
        <v>0.3</v>
      </c>
      <c r="F300" s="325">
        <f>ROUND(D300*E300,2)</f>
        <v>0.32</v>
      </c>
      <c r="H300" s="350">
        <v>343</v>
      </c>
      <c r="I300" s="334" t="s">
        <v>214</v>
      </c>
      <c r="J300" s="350" t="s">
        <v>215</v>
      </c>
      <c r="K300" s="349">
        <v>1.05</v>
      </c>
      <c r="L300" s="350">
        <f>'Mat Serv Eventuais'!E55</f>
        <v>0</v>
      </c>
      <c r="M300" s="325">
        <f>ROUND(K300*L300,2)</f>
        <v>0</v>
      </c>
    </row>
    <row r="301" spans="1:13" x14ac:dyDescent="0.35">
      <c r="A301" s="320" t="s">
        <v>220</v>
      </c>
      <c r="B301" s="320"/>
      <c r="C301" s="633" t="s">
        <v>18</v>
      </c>
      <c r="D301" s="631"/>
      <c r="E301" s="632">
        <f>SUM(F299:F300)</f>
        <v>3.1399999999999997</v>
      </c>
      <c r="F301" s="632"/>
      <c r="H301" s="320" t="s">
        <v>220</v>
      </c>
      <c r="I301" s="320"/>
      <c r="J301" s="633" t="s">
        <v>18</v>
      </c>
      <c r="K301" s="631"/>
      <c r="L301" s="632">
        <f>SUM(M299:M300)</f>
        <v>0.72</v>
      </c>
      <c r="M301" s="632"/>
    </row>
    <row r="302" spans="1:13" ht="39" customHeight="1" x14ac:dyDescent="0.35">
      <c r="A302" s="629" t="s">
        <v>1074</v>
      </c>
      <c r="B302" s="629"/>
      <c r="C302" s="328" t="s">
        <v>21</v>
      </c>
      <c r="D302" s="329"/>
      <c r="E302" s="330"/>
      <c r="F302" s="331">
        <f>SUM(E297,E301)</f>
        <v>6.4399999999999995</v>
      </c>
      <c r="H302" s="629" t="s">
        <v>176</v>
      </c>
      <c r="I302" s="629"/>
      <c r="J302" s="328" t="s">
        <v>21</v>
      </c>
      <c r="K302" s="329"/>
      <c r="L302" s="330"/>
      <c r="M302" s="331">
        <f>SUM(L297,L301)</f>
        <v>0.72</v>
      </c>
    </row>
    <row r="303" spans="1:13" x14ac:dyDescent="0.35">
      <c r="A303" s="355"/>
      <c r="B303" s="356"/>
      <c r="H303" s="355" t="s">
        <v>22</v>
      </c>
      <c r="I303" s="356" t="s">
        <v>216</v>
      </c>
    </row>
  </sheetData>
  <mergeCells count="330">
    <mergeCell ref="J290:K290"/>
    <mergeCell ref="L290:M290"/>
    <mergeCell ref="H291:I291"/>
    <mergeCell ref="H293:M293"/>
    <mergeCell ref="J297:K297"/>
    <mergeCell ref="L297:M297"/>
    <mergeCell ref="J301:K301"/>
    <mergeCell ref="L301:M301"/>
    <mergeCell ref="H302:I302"/>
    <mergeCell ref="J278:K278"/>
    <mergeCell ref="L278:M278"/>
    <mergeCell ref="H279:I279"/>
    <mergeCell ref="H282:M282"/>
    <mergeCell ref="J286:K286"/>
    <mergeCell ref="L286:M286"/>
    <mergeCell ref="H253:M253"/>
    <mergeCell ref="J257:K257"/>
    <mergeCell ref="L257:M257"/>
    <mergeCell ref="H258:I258"/>
    <mergeCell ref="H260:M260"/>
    <mergeCell ref="J264:K264"/>
    <mergeCell ref="L264:M264"/>
    <mergeCell ref="J267:K267"/>
    <mergeCell ref="L267:M267"/>
    <mergeCell ref="H240:M240"/>
    <mergeCell ref="J244:K244"/>
    <mergeCell ref="L244:M244"/>
    <mergeCell ref="J250:K250"/>
    <mergeCell ref="L250:M250"/>
    <mergeCell ref="H251:I251"/>
    <mergeCell ref="H268:I268"/>
    <mergeCell ref="H270:M270"/>
    <mergeCell ref="J274:K274"/>
    <mergeCell ref="L274:M274"/>
    <mergeCell ref="K228:M228"/>
    <mergeCell ref="H229:M229"/>
    <mergeCell ref="J233:K233"/>
    <mergeCell ref="L233:M233"/>
    <mergeCell ref="J236:K236"/>
    <mergeCell ref="L236:M236"/>
    <mergeCell ref="H237:I237"/>
    <mergeCell ref="K238:M238"/>
    <mergeCell ref="K239:M239"/>
    <mergeCell ref="H226:I226"/>
    <mergeCell ref="K227:M227"/>
    <mergeCell ref="J199:K199"/>
    <mergeCell ref="L199:M199"/>
    <mergeCell ref="H200:I200"/>
    <mergeCell ref="K201:M201"/>
    <mergeCell ref="H202:M202"/>
    <mergeCell ref="J206:K206"/>
    <mergeCell ref="L206:M206"/>
    <mergeCell ref="J212:K212"/>
    <mergeCell ref="L212:M212"/>
    <mergeCell ref="K176:M176"/>
    <mergeCell ref="H178:M178"/>
    <mergeCell ref="H213:I213"/>
    <mergeCell ref="K214:M214"/>
    <mergeCell ref="H215:M215"/>
    <mergeCell ref="J219:K219"/>
    <mergeCell ref="L219:M219"/>
    <mergeCell ref="J225:K225"/>
    <mergeCell ref="L225:M225"/>
    <mergeCell ref="J182:K182"/>
    <mergeCell ref="L182:M182"/>
    <mergeCell ref="J187:K187"/>
    <mergeCell ref="L187:M187"/>
    <mergeCell ref="H188:I188"/>
    <mergeCell ref="K189:M189"/>
    <mergeCell ref="H190:M190"/>
    <mergeCell ref="J194:K194"/>
    <mergeCell ref="L194:M194"/>
    <mergeCell ref="K166:M166"/>
    <mergeCell ref="H167:M167"/>
    <mergeCell ref="J170:K170"/>
    <mergeCell ref="L170:M170"/>
    <mergeCell ref="J173:K173"/>
    <mergeCell ref="L173:M173"/>
    <mergeCell ref="H174:I174"/>
    <mergeCell ref="K175:M175"/>
    <mergeCell ref="J162:K162"/>
    <mergeCell ref="L162:M162"/>
    <mergeCell ref="H163:I163"/>
    <mergeCell ref="K164:M164"/>
    <mergeCell ref="K165:M165"/>
    <mergeCell ref="J149:K149"/>
    <mergeCell ref="L149:M149"/>
    <mergeCell ref="H98:M98"/>
    <mergeCell ref="J104:K104"/>
    <mergeCell ref="L104:M104"/>
    <mergeCell ref="J118:K118"/>
    <mergeCell ref="L118:M118"/>
    <mergeCell ref="H119:I119"/>
    <mergeCell ref="K120:M120"/>
    <mergeCell ref="K97:M97"/>
    <mergeCell ref="H121:M121"/>
    <mergeCell ref="J127:K127"/>
    <mergeCell ref="L127:M127"/>
    <mergeCell ref="J140:K140"/>
    <mergeCell ref="L140:M140"/>
    <mergeCell ref="H141:I141"/>
    <mergeCell ref="K142:M142"/>
    <mergeCell ref="H143:M143"/>
    <mergeCell ref="J89:K89"/>
    <mergeCell ref="L89:M89"/>
    <mergeCell ref="J94:K94"/>
    <mergeCell ref="L94:M94"/>
    <mergeCell ref="H95:I95"/>
    <mergeCell ref="K96:M96"/>
    <mergeCell ref="H74:M74"/>
    <mergeCell ref="J78:K78"/>
    <mergeCell ref="L78:M78"/>
    <mergeCell ref="J81:K81"/>
    <mergeCell ref="L81:M81"/>
    <mergeCell ref="H82:I82"/>
    <mergeCell ref="K83:M83"/>
    <mergeCell ref="K84:M84"/>
    <mergeCell ref="H85:M85"/>
    <mergeCell ref="J65:K65"/>
    <mergeCell ref="L65:M65"/>
    <mergeCell ref="J71:K71"/>
    <mergeCell ref="L71:M71"/>
    <mergeCell ref="H72:I72"/>
    <mergeCell ref="K73:M73"/>
    <mergeCell ref="K47:M47"/>
    <mergeCell ref="H48:M48"/>
    <mergeCell ref="J52:K52"/>
    <mergeCell ref="L52:M52"/>
    <mergeCell ref="J58:K58"/>
    <mergeCell ref="L58:M58"/>
    <mergeCell ref="J40:K40"/>
    <mergeCell ref="L40:M40"/>
    <mergeCell ref="J43:K43"/>
    <mergeCell ref="L43:M43"/>
    <mergeCell ref="H44:I44"/>
    <mergeCell ref="K46:M46"/>
    <mergeCell ref="H59:I59"/>
    <mergeCell ref="K60:M60"/>
    <mergeCell ref="H61:M61"/>
    <mergeCell ref="H34:I34"/>
    <mergeCell ref="K35:M35"/>
    <mergeCell ref="H36:M36"/>
    <mergeCell ref="H13:I13"/>
    <mergeCell ref="K14:M14"/>
    <mergeCell ref="K15:M15"/>
    <mergeCell ref="H16:M16"/>
    <mergeCell ref="J20:K20"/>
    <mergeCell ref="L20:M20"/>
    <mergeCell ref="J23:K23"/>
    <mergeCell ref="L23:M23"/>
    <mergeCell ref="H24:I24"/>
    <mergeCell ref="L9:M9"/>
    <mergeCell ref="J12:K12"/>
    <mergeCell ref="L12:M12"/>
    <mergeCell ref="K25:M25"/>
    <mergeCell ref="H26:M26"/>
    <mergeCell ref="J30:K30"/>
    <mergeCell ref="L30:M30"/>
    <mergeCell ref="J33:K33"/>
    <mergeCell ref="L33:M33"/>
    <mergeCell ref="H1:M1"/>
    <mergeCell ref="A293:F293"/>
    <mergeCell ref="C297:D297"/>
    <mergeCell ref="E297:F297"/>
    <mergeCell ref="C301:D301"/>
    <mergeCell ref="E301:F301"/>
    <mergeCell ref="A302:B302"/>
    <mergeCell ref="C290:D290"/>
    <mergeCell ref="E290:F290"/>
    <mergeCell ref="A291:B291"/>
    <mergeCell ref="A270:F270"/>
    <mergeCell ref="C274:D274"/>
    <mergeCell ref="E274:F274"/>
    <mergeCell ref="C278:D278"/>
    <mergeCell ref="K3:M3"/>
    <mergeCell ref="K4:M4"/>
    <mergeCell ref="H5:M5"/>
    <mergeCell ref="J9:K9"/>
    <mergeCell ref="D239:F239"/>
    <mergeCell ref="A279:B279"/>
    <mergeCell ref="E278:F278"/>
    <mergeCell ref="A282:F282"/>
    <mergeCell ref="C286:D286"/>
    <mergeCell ref="E286:F286"/>
    <mergeCell ref="C257:D257"/>
    <mergeCell ref="E257:F257"/>
    <mergeCell ref="A258:B258"/>
    <mergeCell ref="A260:F260"/>
    <mergeCell ref="C264:D264"/>
    <mergeCell ref="E264:F264"/>
    <mergeCell ref="C267:D267"/>
    <mergeCell ref="E267:F267"/>
    <mergeCell ref="A268:B268"/>
    <mergeCell ref="A240:F240"/>
    <mergeCell ref="C244:D244"/>
    <mergeCell ref="E244:F244"/>
    <mergeCell ref="C250:D250"/>
    <mergeCell ref="E250:F250"/>
    <mergeCell ref="A251:B251"/>
    <mergeCell ref="A253:F253"/>
    <mergeCell ref="D176:F176"/>
    <mergeCell ref="A178:F178"/>
    <mergeCell ref="C182:D182"/>
    <mergeCell ref="E182:F182"/>
    <mergeCell ref="C187:D187"/>
    <mergeCell ref="E187:F187"/>
    <mergeCell ref="A237:B237"/>
    <mergeCell ref="D238:F238"/>
    <mergeCell ref="D228:F228"/>
    <mergeCell ref="A229:F229"/>
    <mergeCell ref="C233:D233"/>
    <mergeCell ref="E233:F233"/>
    <mergeCell ref="C236:D236"/>
    <mergeCell ref="E236:F236"/>
    <mergeCell ref="A226:B226"/>
    <mergeCell ref="D227:F227"/>
    <mergeCell ref="A213:B213"/>
    <mergeCell ref="D214:F214"/>
    <mergeCell ref="A215:F215"/>
    <mergeCell ref="C219:D219"/>
    <mergeCell ref="E219:F219"/>
    <mergeCell ref="C225:D225"/>
    <mergeCell ref="E225:F225"/>
    <mergeCell ref="A188:B188"/>
    <mergeCell ref="A200:B200"/>
    <mergeCell ref="D201:F201"/>
    <mergeCell ref="A202:F202"/>
    <mergeCell ref="C206:D206"/>
    <mergeCell ref="E206:F206"/>
    <mergeCell ref="C212:D212"/>
    <mergeCell ref="E212:F212"/>
    <mergeCell ref="D189:F189"/>
    <mergeCell ref="A190:F190"/>
    <mergeCell ref="C194:D194"/>
    <mergeCell ref="E194:F194"/>
    <mergeCell ref="C199:D199"/>
    <mergeCell ref="E199:F199"/>
    <mergeCell ref="A174:B174"/>
    <mergeCell ref="D175:F175"/>
    <mergeCell ref="D166:F166"/>
    <mergeCell ref="A167:F167"/>
    <mergeCell ref="C170:D170"/>
    <mergeCell ref="E170:F170"/>
    <mergeCell ref="C162:D162"/>
    <mergeCell ref="E162:F162"/>
    <mergeCell ref="A163:B163"/>
    <mergeCell ref="D164:F164"/>
    <mergeCell ref="D165:F165"/>
    <mergeCell ref="C173:D173"/>
    <mergeCell ref="E173:F173"/>
    <mergeCell ref="C149:D149"/>
    <mergeCell ref="E149:F149"/>
    <mergeCell ref="C118:D118"/>
    <mergeCell ref="E118:F118"/>
    <mergeCell ref="A119:B119"/>
    <mergeCell ref="D120:F120"/>
    <mergeCell ref="A121:F121"/>
    <mergeCell ref="C127:D127"/>
    <mergeCell ref="E127:F127"/>
    <mergeCell ref="C140:D140"/>
    <mergeCell ref="E140:F140"/>
    <mergeCell ref="A141:B141"/>
    <mergeCell ref="D142:F142"/>
    <mergeCell ref="C71:D71"/>
    <mergeCell ref="E71:F71"/>
    <mergeCell ref="A72:B72"/>
    <mergeCell ref="D73:F73"/>
    <mergeCell ref="A74:F74"/>
    <mergeCell ref="C78:D78"/>
    <mergeCell ref="E78:F78"/>
    <mergeCell ref="D97:F97"/>
    <mergeCell ref="A143:F143"/>
    <mergeCell ref="A98:F98"/>
    <mergeCell ref="C104:D104"/>
    <mergeCell ref="E104:F104"/>
    <mergeCell ref="C94:D94"/>
    <mergeCell ref="E94:F94"/>
    <mergeCell ref="A95:B95"/>
    <mergeCell ref="D96:F96"/>
    <mergeCell ref="D84:F84"/>
    <mergeCell ref="A85:F85"/>
    <mergeCell ref="C89:D89"/>
    <mergeCell ref="E89:F89"/>
    <mergeCell ref="C81:D81"/>
    <mergeCell ref="E81:F81"/>
    <mergeCell ref="A82:B82"/>
    <mergeCell ref="D83:F83"/>
    <mergeCell ref="A59:B59"/>
    <mergeCell ref="D60:F60"/>
    <mergeCell ref="A61:F61"/>
    <mergeCell ref="C65:D65"/>
    <mergeCell ref="E65:F65"/>
    <mergeCell ref="D47:F47"/>
    <mergeCell ref="A48:F48"/>
    <mergeCell ref="C52:D52"/>
    <mergeCell ref="E52:F52"/>
    <mergeCell ref="D4:F4"/>
    <mergeCell ref="A5:F5"/>
    <mergeCell ref="C9:D9"/>
    <mergeCell ref="E9:F9"/>
    <mergeCell ref="C12:D12"/>
    <mergeCell ref="E12:F12"/>
    <mergeCell ref="D46:F46"/>
    <mergeCell ref="A44:B44"/>
    <mergeCell ref="C58:D58"/>
    <mergeCell ref="E58:F58"/>
    <mergeCell ref="D3:F3"/>
    <mergeCell ref="A1:F1"/>
    <mergeCell ref="A34:B34"/>
    <mergeCell ref="D35:F35"/>
    <mergeCell ref="A36:F36"/>
    <mergeCell ref="C40:D40"/>
    <mergeCell ref="E40:F40"/>
    <mergeCell ref="C43:D43"/>
    <mergeCell ref="E43:F43"/>
    <mergeCell ref="A24:B24"/>
    <mergeCell ref="D25:F25"/>
    <mergeCell ref="A26:F26"/>
    <mergeCell ref="C30:D30"/>
    <mergeCell ref="E30:F30"/>
    <mergeCell ref="C33:D33"/>
    <mergeCell ref="E33:F33"/>
    <mergeCell ref="D15:F15"/>
    <mergeCell ref="A16:F16"/>
    <mergeCell ref="C20:D20"/>
    <mergeCell ref="E20:F20"/>
    <mergeCell ref="C23:D23"/>
    <mergeCell ref="E23:F23"/>
    <mergeCell ref="A13:B13"/>
    <mergeCell ref="D14:F14"/>
  </mergeCells>
  <pageMargins left="1.1023622047244095" right="0.51181102362204722" top="0.78740157480314965" bottom="0.78740157480314965" header="0.31496062992125984" footer="0.31496062992125984"/>
  <pageSetup paperSize="9" scale="74" orientation="portrait" r:id="rId1"/>
  <headerFooter>
    <oddHeader>&amp;C27</oddHeader>
    <oddFooter>&amp;C27</oddFooter>
  </headerFooter>
  <rowBreaks count="6" manualBreakCount="6">
    <brk id="25" max="16383" man="1"/>
    <brk id="60" max="16383" man="1"/>
    <brk id="142" max="16383" man="1"/>
    <brk id="176" max="16383" man="1"/>
    <brk id="239" max="16383" man="1"/>
    <brk id="302" max="12" man="1"/>
  </rowBreaks>
  <colBreaks count="2" manualBreakCount="2">
    <brk id="6" max="354" man="1"/>
    <brk id="7" max="3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G78"/>
  <sheetViews>
    <sheetView workbookViewId="0">
      <selection activeCell="J4" sqref="J4"/>
    </sheetView>
  </sheetViews>
  <sheetFormatPr defaultRowHeight="14.5" x14ac:dyDescent="0.35"/>
  <cols>
    <col min="1" max="1" width="4.453125" style="1" customWidth="1"/>
    <col min="2" max="2" width="64.7265625" style="2" customWidth="1"/>
    <col min="3" max="3" width="7.453125" style="1" customWidth="1"/>
    <col min="4" max="5" width="9.453125" style="1" customWidth="1"/>
    <col min="6" max="6" width="25.54296875" style="373" customWidth="1"/>
    <col min="7" max="7" width="9.81640625" style="4" customWidth="1"/>
    <col min="8" max="257" width="9.1796875" style="1"/>
    <col min="258" max="258" width="5.54296875" style="1" customWidth="1"/>
    <col min="259" max="259" width="71.54296875" style="1" customWidth="1"/>
    <col min="260" max="260" width="7.453125" style="1" customWidth="1"/>
    <col min="261" max="261" width="9.453125" style="1" customWidth="1"/>
    <col min="262" max="262" width="35.1796875" style="1" customWidth="1"/>
    <col min="263" max="263" width="6.81640625" style="1" customWidth="1"/>
    <col min="264" max="513" width="9.1796875" style="1"/>
    <col min="514" max="514" width="5.54296875" style="1" customWidth="1"/>
    <col min="515" max="515" width="71.54296875" style="1" customWidth="1"/>
    <col min="516" max="516" width="7.453125" style="1" customWidth="1"/>
    <col min="517" max="517" width="9.453125" style="1" customWidth="1"/>
    <col min="518" max="518" width="35.1796875" style="1" customWidth="1"/>
    <col min="519" max="519" width="6.81640625" style="1" customWidth="1"/>
    <col min="520" max="769" width="9.1796875" style="1"/>
    <col min="770" max="770" width="5.54296875" style="1" customWidth="1"/>
    <col min="771" max="771" width="71.54296875" style="1" customWidth="1"/>
    <col min="772" max="772" width="7.453125" style="1" customWidth="1"/>
    <col min="773" max="773" width="9.453125" style="1" customWidth="1"/>
    <col min="774" max="774" width="35.1796875" style="1" customWidth="1"/>
    <col min="775" max="775" width="6.81640625" style="1" customWidth="1"/>
    <col min="776" max="1025" width="9.1796875" style="1"/>
    <col min="1026" max="1026" width="5.54296875" style="1" customWidth="1"/>
    <col min="1027" max="1027" width="71.54296875" style="1" customWidth="1"/>
    <col min="1028" max="1028" width="7.453125" style="1" customWidth="1"/>
    <col min="1029" max="1029" width="9.453125" style="1" customWidth="1"/>
    <col min="1030" max="1030" width="35.1796875" style="1" customWidth="1"/>
    <col min="1031" max="1031" width="6.81640625" style="1" customWidth="1"/>
    <col min="1032" max="1281" width="9.1796875" style="1"/>
    <col min="1282" max="1282" width="5.54296875" style="1" customWidth="1"/>
    <col min="1283" max="1283" width="71.54296875" style="1" customWidth="1"/>
    <col min="1284" max="1284" width="7.453125" style="1" customWidth="1"/>
    <col min="1285" max="1285" width="9.453125" style="1" customWidth="1"/>
    <col min="1286" max="1286" width="35.1796875" style="1" customWidth="1"/>
    <col min="1287" max="1287" width="6.81640625" style="1" customWidth="1"/>
    <col min="1288" max="1537" width="9.1796875" style="1"/>
    <col min="1538" max="1538" width="5.54296875" style="1" customWidth="1"/>
    <col min="1539" max="1539" width="71.54296875" style="1" customWidth="1"/>
    <col min="1540" max="1540" width="7.453125" style="1" customWidth="1"/>
    <col min="1541" max="1541" width="9.453125" style="1" customWidth="1"/>
    <col min="1542" max="1542" width="35.1796875" style="1" customWidth="1"/>
    <col min="1543" max="1543" width="6.81640625" style="1" customWidth="1"/>
    <col min="1544" max="1793" width="9.1796875" style="1"/>
    <col min="1794" max="1794" width="5.54296875" style="1" customWidth="1"/>
    <col min="1795" max="1795" width="71.54296875" style="1" customWidth="1"/>
    <col min="1796" max="1796" width="7.453125" style="1" customWidth="1"/>
    <col min="1797" max="1797" width="9.453125" style="1" customWidth="1"/>
    <col min="1798" max="1798" width="35.1796875" style="1" customWidth="1"/>
    <col min="1799" max="1799" width="6.81640625" style="1" customWidth="1"/>
    <col min="1800" max="2049" width="9.1796875" style="1"/>
    <col min="2050" max="2050" width="5.54296875" style="1" customWidth="1"/>
    <col min="2051" max="2051" width="71.54296875" style="1" customWidth="1"/>
    <col min="2052" max="2052" width="7.453125" style="1" customWidth="1"/>
    <col min="2053" max="2053" width="9.453125" style="1" customWidth="1"/>
    <col min="2054" max="2054" width="35.1796875" style="1" customWidth="1"/>
    <col min="2055" max="2055" width="6.81640625" style="1" customWidth="1"/>
    <col min="2056" max="2305" width="9.1796875" style="1"/>
    <col min="2306" max="2306" width="5.54296875" style="1" customWidth="1"/>
    <col min="2307" max="2307" width="71.54296875" style="1" customWidth="1"/>
    <col min="2308" max="2308" width="7.453125" style="1" customWidth="1"/>
    <col min="2309" max="2309" width="9.453125" style="1" customWidth="1"/>
    <col min="2310" max="2310" width="35.1796875" style="1" customWidth="1"/>
    <col min="2311" max="2311" width="6.81640625" style="1" customWidth="1"/>
    <col min="2312" max="2561" width="9.1796875" style="1"/>
    <col min="2562" max="2562" width="5.54296875" style="1" customWidth="1"/>
    <col min="2563" max="2563" width="71.54296875" style="1" customWidth="1"/>
    <col min="2564" max="2564" width="7.453125" style="1" customWidth="1"/>
    <col min="2565" max="2565" width="9.453125" style="1" customWidth="1"/>
    <col min="2566" max="2566" width="35.1796875" style="1" customWidth="1"/>
    <col min="2567" max="2567" width="6.81640625" style="1" customWidth="1"/>
    <col min="2568" max="2817" width="9.1796875" style="1"/>
    <col min="2818" max="2818" width="5.54296875" style="1" customWidth="1"/>
    <col min="2819" max="2819" width="71.54296875" style="1" customWidth="1"/>
    <col min="2820" max="2820" width="7.453125" style="1" customWidth="1"/>
    <col min="2821" max="2821" width="9.453125" style="1" customWidth="1"/>
    <col min="2822" max="2822" width="35.1796875" style="1" customWidth="1"/>
    <col min="2823" max="2823" width="6.81640625" style="1" customWidth="1"/>
    <col min="2824" max="3073" width="9.1796875" style="1"/>
    <col min="3074" max="3074" width="5.54296875" style="1" customWidth="1"/>
    <col min="3075" max="3075" width="71.54296875" style="1" customWidth="1"/>
    <col min="3076" max="3076" width="7.453125" style="1" customWidth="1"/>
    <col min="3077" max="3077" width="9.453125" style="1" customWidth="1"/>
    <col min="3078" max="3078" width="35.1796875" style="1" customWidth="1"/>
    <col min="3079" max="3079" width="6.81640625" style="1" customWidth="1"/>
    <col min="3080" max="3329" width="9.1796875" style="1"/>
    <col min="3330" max="3330" width="5.54296875" style="1" customWidth="1"/>
    <col min="3331" max="3331" width="71.54296875" style="1" customWidth="1"/>
    <col min="3332" max="3332" width="7.453125" style="1" customWidth="1"/>
    <col min="3333" max="3333" width="9.453125" style="1" customWidth="1"/>
    <col min="3334" max="3334" width="35.1796875" style="1" customWidth="1"/>
    <col min="3335" max="3335" width="6.81640625" style="1" customWidth="1"/>
    <col min="3336" max="3585" width="9.1796875" style="1"/>
    <col min="3586" max="3586" width="5.54296875" style="1" customWidth="1"/>
    <col min="3587" max="3587" width="71.54296875" style="1" customWidth="1"/>
    <col min="3588" max="3588" width="7.453125" style="1" customWidth="1"/>
    <col min="3589" max="3589" width="9.453125" style="1" customWidth="1"/>
    <col min="3590" max="3590" width="35.1796875" style="1" customWidth="1"/>
    <col min="3591" max="3591" width="6.81640625" style="1" customWidth="1"/>
    <col min="3592" max="3841" width="9.1796875" style="1"/>
    <col min="3842" max="3842" width="5.54296875" style="1" customWidth="1"/>
    <col min="3843" max="3843" width="71.54296875" style="1" customWidth="1"/>
    <col min="3844" max="3844" width="7.453125" style="1" customWidth="1"/>
    <col min="3845" max="3845" width="9.453125" style="1" customWidth="1"/>
    <col min="3846" max="3846" width="35.1796875" style="1" customWidth="1"/>
    <col min="3847" max="3847" width="6.81640625" style="1" customWidth="1"/>
    <col min="3848" max="4097" width="9.1796875" style="1"/>
    <col min="4098" max="4098" width="5.54296875" style="1" customWidth="1"/>
    <col min="4099" max="4099" width="71.54296875" style="1" customWidth="1"/>
    <col min="4100" max="4100" width="7.453125" style="1" customWidth="1"/>
    <col min="4101" max="4101" width="9.453125" style="1" customWidth="1"/>
    <col min="4102" max="4102" width="35.1796875" style="1" customWidth="1"/>
    <col min="4103" max="4103" width="6.81640625" style="1" customWidth="1"/>
    <col min="4104" max="4353" width="9.1796875" style="1"/>
    <col min="4354" max="4354" width="5.54296875" style="1" customWidth="1"/>
    <col min="4355" max="4355" width="71.54296875" style="1" customWidth="1"/>
    <col min="4356" max="4356" width="7.453125" style="1" customWidth="1"/>
    <col min="4357" max="4357" width="9.453125" style="1" customWidth="1"/>
    <col min="4358" max="4358" width="35.1796875" style="1" customWidth="1"/>
    <col min="4359" max="4359" width="6.81640625" style="1" customWidth="1"/>
    <col min="4360" max="4609" width="9.1796875" style="1"/>
    <col min="4610" max="4610" width="5.54296875" style="1" customWidth="1"/>
    <col min="4611" max="4611" width="71.54296875" style="1" customWidth="1"/>
    <col min="4612" max="4612" width="7.453125" style="1" customWidth="1"/>
    <col min="4613" max="4613" width="9.453125" style="1" customWidth="1"/>
    <col min="4614" max="4614" width="35.1796875" style="1" customWidth="1"/>
    <col min="4615" max="4615" width="6.81640625" style="1" customWidth="1"/>
    <col min="4616" max="4865" width="9.1796875" style="1"/>
    <col min="4866" max="4866" width="5.54296875" style="1" customWidth="1"/>
    <col min="4867" max="4867" width="71.54296875" style="1" customWidth="1"/>
    <col min="4868" max="4868" width="7.453125" style="1" customWidth="1"/>
    <col min="4869" max="4869" width="9.453125" style="1" customWidth="1"/>
    <col min="4870" max="4870" width="35.1796875" style="1" customWidth="1"/>
    <col min="4871" max="4871" width="6.81640625" style="1" customWidth="1"/>
    <col min="4872" max="5121" width="9.1796875" style="1"/>
    <col min="5122" max="5122" width="5.54296875" style="1" customWidth="1"/>
    <col min="5123" max="5123" width="71.54296875" style="1" customWidth="1"/>
    <col min="5124" max="5124" width="7.453125" style="1" customWidth="1"/>
    <col min="5125" max="5125" width="9.453125" style="1" customWidth="1"/>
    <col min="5126" max="5126" width="35.1796875" style="1" customWidth="1"/>
    <col min="5127" max="5127" width="6.81640625" style="1" customWidth="1"/>
    <col min="5128" max="5377" width="9.1796875" style="1"/>
    <col min="5378" max="5378" width="5.54296875" style="1" customWidth="1"/>
    <col min="5379" max="5379" width="71.54296875" style="1" customWidth="1"/>
    <col min="5380" max="5380" width="7.453125" style="1" customWidth="1"/>
    <col min="5381" max="5381" width="9.453125" style="1" customWidth="1"/>
    <col min="5382" max="5382" width="35.1796875" style="1" customWidth="1"/>
    <col min="5383" max="5383" width="6.81640625" style="1" customWidth="1"/>
    <col min="5384" max="5633" width="9.1796875" style="1"/>
    <col min="5634" max="5634" width="5.54296875" style="1" customWidth="1"/>
    <col min="5635" max="5635" width="71.54296875" style="1" customWidth="1"/>
    <col min="5636" max="5636" width="7.453125" style="1" customWidth="1"/>
    <col min="5637" max="5637" width="9.453125" style="1" customWidth="1"/>
    <col min="5638" max="5638" width="35.1796875" style="1" customWidth="1"/>
    <col min="5639" max="5639" width="6.81640625" style="1" customWidth="1"/>
    <col min="5640" max="5889" width="9.1796875" style="1"/>
    <col min="5890" max="5890" width="5.54296875" style="1" customWidth="1"/>
    <col min="5891" max="5891" width="71.54296875" style="1" customWidth="1"/>
    <col min="5892" max="5892" width="7.453125" style="1" customWidth="1"/>
    <col min="5893" max="5893" width="9.453125" style="1" customWidth="1"/>
    <col min="5894" max="5894" width="35.1796875" style="1" customWidth="1"/>
    <col min="5895" max="5895" width="6.81640625" style="1" customWidth="1"/>
    <col min="5896" max="6145" width="9.1796875" style="1"/>
    <col min="6146" max="6146" width="5.54296875" style="1" customWidth="1"/>
    <col min="6147" max="6147" width="71.54296875" style="1" customWidth="1"/>
    <col min="6148" max="6148" width="7.453125" style="1" customWidth="1"/>
    <col min="6149" max="6149" width="9.453125" style="1" customWidth="1"/>
    <col min="6150" max="6150" width="35.1796875" style="1" customWidth="1"/>
    <col min="6151" max="6151" width="6.81640625" style="1" customWidth="1"/>
    <col min="6152" max="6401" width="9.1796875" style="1"/>
    <col min="6402" max="6402" width="5.54296875" style="1" customWidth="1"/>
    <col min="6403" max="6403" width="71.54296875" style="1" customWidth="1"/>
    <col min="6404" max="6404" width="7.453125" style="1" customWidth="1"/>
    <col min="6405" max="6405" width="9.453125" style="1" customWidth="1"/>
    <col min="6406" max="6406" width="35.1796875" style="1" customWidth="1"/>
    <col min="6407" max="6407" width="6.81640625" style="1" customWidth="1"/>
    <col min="6408" max="6657" width="9.1796875" style="1"/>
    <col min="6658" max="6658" width="5.54296875" style="1" customWidth="1"/>
    <col min="6659" max="6659" width="71.54296875" style="1" customWidth="1"/>
    <col min="6660" max="6660" width="7.453125" style="1" customWidth="1"/>
    <col min="6661" max="6661" width="9.453125" style="1" customWidth="1"/>
    <col min="6662" max="6662" width="35.1796875" style="1" customWidth="1"/>
    <col min="6663" max="6663" width="6.81640625" style="1" customWidth="1"/>
    <col min="6664" max="6913" width="9.1796875" style="1"/>
    <col min="6914" max="6914" width="5.54296875" style="1" customWidth="1"/>
    <col min="6915" max="6915" width="71.54296875" style="1" customWidth="1"/>
    <col min="6916" max="6916" width="7.453125" style="1" customWidth="1"/>
    <col min="6917" max="6917" width="9.453125" style="1" customWidth="1"/>
    <col min="6918" max="6918" width="35.1796875" style="1" customWidth="1"/>
    <col min="6919" max="6919" width="6.81640625" style="1" customWidth="1"/>
    <col min="6920" max="7169" width="9.1796875" style="1"/>
    <col min="7170" max="7170" width="5.54296875" style="1" customWidth="1"/>
    <col min="7171" max="7171" width="71.54296875" style="1" customWidth="1"/>
    <col min="7172" max="7172" width="7.453125" style="1" customWidth="1"/>
    <col min="7173" max="7173" width="9.453125" style="1" customWidth="1"/>
    <col min="7174" max="7174" width="35.1796875" style="1" customWidth="1"/>
    <col min="7175" max="7175" width="6.81640625" style="1" customWidth="1"/>
    <col min="7176" max="7425" width="9.1796875" style="1"/>
    <col min="7426" max="7426" width="5.54296875" style="1" customWidth="1"/>
    <col min="7427" max="7427" width="71.54296875" style="1" customWidth="1"/>
    <col min="7428" max="7428" width="7.453125" style="1" customWidth="1"/>
    <col min="7429" max="7429" width="9.453125" style="1" customWidth="1"/>
    <col min="7430" max="7430" width="35.1796875" style="1" customWidth="1"/>
    <col min="7431" max="7431" width="6.81640625" style="1" customWidth="1"/>
    <col min="7432" max="7681" width="9.1796875" style="1"/>
    <col min="7682" max="7682" width="5.54296875" style="1" customWidth="1"/>
    <col min="7683" max="7683" width="71.54296875" style="1" customWidth="1"/>
    <col min="7684" max="7684" width="7.453125" style="1" customWidth="1"/>
    <col min="7685" max="7685" width="9.453125" style="1" customWidth="1"/>
    <col min="7686" max="7686" width="35.1796875" style="1" customWidth="1"/>
    <col min="7687" max="7687" width="6.81640625" style="1" customWidth="1"/>
    <col min="7688" max="7937" width="9.1796875" style="1"/>
    <col min="7938" max="7938" width="5.54296875" style="1" customWidth="1"/>
    <col min="7939" max="7939" width="71.54296875" style="1" customWidth="1"/>
    <col min="7940" max="7940" width="7.453125" style="1" customWidth="1"/>
    <col min="7941" max="7941" width="9.453125" style="1" customWidth="1"/>
    <col min="7942" max="7942" width="35.1796875" style="1" customWidth="1"/>
    <col min="7943" max="7943" width="6.81640625" style="1" customWidth="1"/>
    <col min="7944" max="8193" width="9.1796875" style="1"/>
    <col min="8194" max="8194" width="5.54296875" style="1" customWidth="1"/>
    <col min="8195" max="8195" width="71.54296875" style="1" customWidth="1"/>
    <col min="8196" max="8196" width="7.453125" style="1" customWidth="1"/>
    <col min="8197" max="8197" width="9.453125" style="1" customWidth="1"/>
    <col min="8198" max="8198" width="35.1796875" style="1" customWidth="1"/>
    <col min="8199" max="8199" width="6.81640625" style="1" customWidth="1"/>
    <col min="8200" max="8449" width="9.1796875" style="1"/>
    <col min="8450" max="8450" width="5.54296875" style="1" customWidth="1"/>
    <col min="8451" max="8451" width="71.54296875" style="1" customWidth="1"/>
    <col min="8452" max="8452" width="7.453125" style="1" customWidth="1"/>
    <col min="8453" max="8453" width="9.453125" style="1" customWidth="1"/>
    <col min="8454" max="8454" width="35.1796875" style="1" customWidth="1"/>
    <col min="8455" max="8455" width="6.81640625" style="1" customWidth="1"/>
    <col min="8456" max="8705" width="9.1796875" style="1"/>
    <col min="8706" max="8706" width="5.54296875" style="1" customWidth="1"/>
    <col min="8707" max="8707" width="71.54296875" style="1" customWidth="1"/>
    <col min="8708" max="8708" width="7.453125" style="1" customWidth="1"/>
    <col min="8709" max="8709" width="9.453125" style="1" customWidth="1"/>
    <col min="8710" max="8710" width="35.1796875" style="1" customWidth="1"/>
    <col min="8711" max="8711" width="6.81640625" style="1" customWidth="1"/>
    <col min="8712" max="8961" width="9.1796875" style="1"/>
    <col min="8962" max="8962" width="5.54296875" style="1" customWidth="1"/>
    <col min="8963" max="8963" width="71.54296875" style="1" customWidth="1"/>
    <col min="8964" max="8964" width="7.453125" style="1" customWidth="1"/>
    <col min="8965" max="8965" width="9.453125" style="1" customWidth="1"/>
    <col min="8966" max="8966" width="35.1796875" style="1" customWidth="1"/>
    <col min="8967" max="8967" width="6.81640625" style="1" customWidth="1"/>
    <col min="8968" max="9217" width="9.1796875" style="1"/>
    <col min="9218" max="9218" width="5.54296875" style="1" customWidth="1"/>
    <col min="9219" max="9219" width="71.54296875" style="1" customWidth="1"/>
    <col min="9220" max="9220" width="7.453125" style="1" customWidth="1"/>
    <col min="9221" max="9221" width="9.453125" style="1" customWidth="1"/>
    <col min="9222" max="9222" width="35.1796875" style="1" customWidth="1"/>
    <col min="9223" max="9223" width="6.81640625" style="1" customWidth="1"/>
    <col min="9224" max="9473" width="9.1796875" style="1"/>
    <col min="9474" max="9474" width="5.54296875" style="1" customWidth="1"/>
    <col min="9475" max="9475" width="71.54296875" style="1" customWidth="1"/>
    <col min="9476" max="9476" width="7.453125" style="1" customWidth="1"/>
    <col min="9477" max="9477" width="9.453125" style="1" customWidth="1"/>
    <col min="9478" max="9478" width="35.1796875" style="1" customWidth="1"/>
    <col min="9479" max="9479" width="6.81640625" style="1" customWidth="1"/>
    <col min="9480" max="9729" width="9.1796875" style="1"/>
    <col min="9730" max="9730" width="5.54296875" style="1" customWidth="1"/>
    <col min="9731" max="9731" width="71.54296875" style="1" customWidth="1"/>
    <col min="9732" max="9732" width="7.453125" style="1" customWidth="1"/>
    <col min="9733" max="9733" width="9.453125" style="1" customWidth="1"/>
    <col min="9734" max="9734" width="35.1796875" style="1" customWidth="1"/>
    <col min="9735" max="9735" width="6.81640625" style="1" customWidth="1"/>
    <col min="9736" max="9985" width="9.1796875" style="1"/>
    <col min="9986" max="9986" width="5.54296875" style="1" customWidth="1"/>
    <col min="9987" max="9987" width="71.54296875" style="1" customWidth="1"/>
    <col min="9988" max="9988" width="7.453125" style="1" customWidth="1"/>
    <col min="9989" max="9989" width="9.453125" style="1" customWidth="1"/>
    <col min="9990" max="9990" width="35.1796875" style="1" customWidth="1"/>
    <col min="9991" max="9991" width="6.81640625" style="1" customWidth="1"/>
    <col min="9992" max="10241" width="9.1796875" style="1"/>
    <col min="10242" max="10242" width="5.54296875" style="1" customWidth="1"/>
    <col min="10243" max="10243" width="71.54296875" style="1" customWidth="1"/>
    <col min="10244" max="10244" width="7.453125" style="1" customWidth="1"/>
    <col min="10245" max="10245" width="9.453125" style="1" customWidth="1"/>
    <col min="10246" max="10246" width="35.1796875" style="1" customWidth="1"/>
    <col min="10247" max="10247" width="6.81640625" style="1" customWidth="1"/>
    <col min="10248" max="10497" width="9.1796875" style="1"/>
    <col min="10498" max="10498" width="5.54296875" style="1" customWidth="1"/>
    <col min="10499" max="10499" width="71.54296875" style="1" customWidth="1"/>
    <col min="10500" max="10500" width="7.453125" style="1" customWidth="1"/>
    <col min="10501" max="10501" width="9.453125" style="1" customWidth="1"/>
    <col min="10502" max="10502" width="35.1796875" style="1" customWidth="1"/>
    <col min="10503" max="10503" width="6.81640625" style="1" customWidth="1"/>
    <col min="10504" max="10753" width="9.1796875" style="1"/>
    <col min="10754" max="10754" width="5.54296875" style="1" customWidth="1"/>
    <col min="10755" max="10755" width="71.54296875" style="1" customWidth="1"/>
    <col min="10756" max="10756" width="7.453125" style="1" customWidth="1"/>
    <col min="10757" max="10757" width="9.453125" style="1" customWidth="1"/>
    <col min="10758" max="10758" width="35.1796875" style="1" customWidth="1"/>
    <col min="10759" max="10759" width="6.81640625" style="1" customWidth="1"/>
    <col min="10760" max="11009" width="9.1796875" style="1"/>
    <col min="11010" max="11010" width="5.54296875" style="1" customWidth="1"/>
    <col min="11011" max="11011" width="71.54296875" style="1" customWidth="1"/>
    <col min="11012" max="11012" width="7.453125" style="1" customWidth="1"/>
    <col min="11013" max="11013" width="9.453125" style="1" customWidth="1"/>
    <col min="11014" max="11014" width="35.1796875" style="1" customWidth="1"/>
    <col min="11015" max="11015" width="6.81640625" style="1" customWidth="1"/>
    <col min="11016" max="11265" width="9.1796875" style="1"/>
    <col min="11266" max="11266" width="5.54296875" style="1" customWidth="1"/>
    <col min="11267" max="11267" width="71.54296875" style="1" customWidth="1"/>
    <col min="11268" max="11268" width="7.453125" style="1" customWidth="1"/>
    <col min="11269" max="11269" width="9.453125" style="1" customWidth="1"/>
    <col min="11270" max="11270" width="35.1796875" style="1" customWidth="1"/>
    <col min="11271" max="11271" width="6.81640625" style="1" customWidth="1"/>
    <col min="11272" max="11521" width="9.1796875" style="1"/>
    <col min="11522" max="11522" width="5.54296875" style="1" customWidth="1"/>
    <col min="11523" max="11523" width="71.54296875" style="1" customWidth="1"/>
    <col min="11524" max="11524" width="7.453125" style="1" customWidth="1"/>
    <col min="11525" max="11525" width="9.453125" style="1" customWidth="1"/>
    <col min="11526" max="11526" width="35.1796875" style="1" customWidth="1"/>
    <col min="11527" max="11527" width="6.81640625" style="1" customWidth="1"/>
    <col min="11528" max="11777" width="9.1796875" style="1"/>
    <col min="11778" max="11778" width="5.54296875" style="1" customWidth="1"/>
    <col min="11779" max="11779" width="71.54296875" style="1" customWidth="1"/>
    <col min="11780" max="11780" width="7.453125" style="1" customWidth="1"/>
    <col min="11781" max="11781" width="9.453125" style="1" customWidth="1"/>
    <col min="11782" max="11782" width="35.1796875" style="1" customWidth="1"/>
    <col min="11783" max="11783" width="6.81640625" style="1" customWidth="1"/>
    <col min="11784" max="12033" width="9.1796875" style="1"/>
    <col min="12034" max="12034" width="5.54296875" style="1" customWidth="1"/>
    <col min="12035" max="12035" width="71.54296875" style="1" customWidth="1"/>
    <col min="12036" max="12036" width="7.453125" style="1" customWidth="1"/>
    <col min="12037" max="12037" width="9.453125" style="1" customWidth="1"/>
    <col min="12038" max="12038" width="35.1796875" style="1" customWidth="1"/>
    <col min="12039" max="12039" width="6.81640625" style="1" customWidth="1"/>
    <col min="12040" max="12289" width="9.1796875" style="1"/>
    <col min="12290" max="12290" width="5.54296875" style="1" customWidth="1"/>
    <col min="12291" max="12291" width="71.54296875" style="1" customWidth="1"/>
    <col min="12292" max="12292" width="7.453125" style="1" customWidth="1"/>
    <col min="12293" max="12293" width="9.453125" style="1" customWidth="1"/>
    <col min="12294" max="12294" width="35.1796875" style="1" customWidth="1"/>
    <col min="12295" max="12295" width="6.81640625" style="1" customWidth="1"/>
    <col min="12296" max="12545" width="9.1796875" style="1"/>
    <col min="12546" max="12546" width="5.54296875" style="1" customWidth="1"/>
    <col min="12547" max="12547" width="71.54296875" style="1" customWidth="1"/>
    <col min="12548" max="12548" width="7.453125" style="1" customWidth="1"/>
    <col min="12549" max="12549" width="9.453125" style="1" customWidth="1"/>
    <col min="12550" max="12550" width="35.1796875" style="1" customWidth="1"/>
    <col min="12551" max="12551" width="6.81640625" style="1" customWidth="1"/>
    <col min="12552" max="12801" width="9.1796875" style="1"/>
    <col min="12802" max="12802" width="5.54296875" style="1" customWidth="1"/>
    <col min="12803" max="12803" width="71.54296875" style="1" customWidth="1"/>
    <col min="12804" max="12804" width="7.453125" style="1" customWidth="1"/>
    <col min="12805" max="12805" width="9.453125" style="1" customWidth="1"/>
    <col min="12806" max="12806" width="35.1796875" style="1" customWidth="1"/>
    <col min="12807" max="12807" width="6.81640625" style="1" customWidth="1"/>
    <col min="12808" max="13057" width="9.1796875" style="1"/>
    <col min="13058" max="13058" width="5.54296875" style="1" customWidth="1"/>
    <col min="13059" max="13059" width="71.54296875" style="1" customWidth="1"/>
    <col min="13060" max="13060" width="7.453125" style="1" customWidth="1"/>
    <col min="13061" max="13061" width="9.453125" style="1" customWidth="1"/>
    <col min="13062" max="13062" width="35.1796875" style="1" customWidth="1"/>
    <col min="13063" max="13063" width="6.81640625" style="1" customWidth="1"/>
    <col min="13064" max="13313" width="9.1796875" style="1"/>
    <col min="13314" max="13314" width="5.54296875" style="1" customWidth="1"/>
    <col min="13315" max="13315" width="71.54296875" style="1" customWidth="1"/>
    <col min="13316" max="13316" width="7.453125" style="1" customWidth="1"/>
    <col min="13317" max="13317" width="9.453125" style="1" customWidth="1"/>
    <col min="13318" max="13318" width="35.1796875" style="1" customWidth="1"/>
    <col min="13319" max="13319" width="6.81640625" style="1" customWidth="1"/>
    <col min="13320" max="13569" width="9.1796875" style="1"/>
    <col min="13570" max="13570" width="5.54296875" style="1" customWidth="1"/>
    <col min="13571" max="13571" width="71.54296875" style="1" customWidth="1"/>
    <col min="13572" max="13572" width="7.453125" style="1" customWidth="1"/>
    <col min="13573" max="13573" width="9.453125" style="1" customWidth="1"/>
    <col min="13574" max="13574" width="35.1796875" style="1" customWidth="1"/>
    <col min="13575" max="13575" width="6.81640625" style="1" customWidth="1"/>
    <col min="13576" max="13825" width="9.1796875" style="1"/>
    <col min="13826" max="13826" width="5.54296875" style="1" customWidth="1"/>
    <col min="13827" max="13827" width="71.54296875" style="1" customWidth="1"/>
    <col min="13828" max="13828" width="7.453125" style="1" customWidth="1"/>
    <col min="13829" max="13829" width="9.453125" style="1" customWidth="1"/>
    <col min="13830" max="13830" width="35.1796875" style="1" customWidth="1"/>
    <col min="13831" max="13831" width="6.81640625" style="1" customWidth="1"/>
    <col min="13832" max="14081" width="9.1796875" style="1"/>
    <col min="14082" max="14082" width="5.54296875" style="1" customWidth="1"/>
    <col min="14083" max="14083" width="71.54296875" style="1" customWidth="1"/>
    <col min="14084" max="14084" width="7.453125" style="1" customWidth="1"/>
    <col min="14085" max="14085" width="9.453125" style="1" customWidth="1"/>
    <col min="14086" max="14086" width="35.1796875" style="1" customWidth="1"/>
    <col min="14087" max="14087" width="6.81640625" style="1" customWidth="1"/>
    <col min="14088" max="14337" width="9.1796875" style="1"/>
    <col min="14338" max="14338" width="5.54296875" style="1" customWidth="1"/>
    <col min="14339" max="14339" width="71.54296875" style="1" customWidth="1"/>
    <col min="14340" max="14340" width="7.453125" style="1" customWidth="1"/>
    <col min="14341" max="14341" width="9.453125" style="1" customWidth="1"/>
    <col min="14342" max="14342" width="35.1796875" style="1" customWidth="1"/>
    <col min="14343" max="14343" width="6.81640625" style="1" customWidth="1"/>
    <col min="14344" max="14593" width="9.1796875" style="1"/>
    <col min="14594" max="14594" width="5.54296875" style="1" customWidth="1"/>
    <col min="14595" max="14595" width="71.54296875" style="1" customWidth="1"/>
    <col min="14596" max="14596" width="7.453125" style="1" customWidth="1"/>
    <col min="14597" max="14597" width="9.453125" style="1" customWidth="1"/>
    <col min="14598" max="14598" width="35.1796875" style="1" customWidth="1"/>
    <col min="14599" max="14599" width="6.81640625" style="1" customWidth="1"/>
    <col min="14600" max="14849" width="9.1796875" style="1"/>
    <col min="14850" max="14850" width="5.54296875" style="1" customWidth="1"/>
    <col min="14851" max="14851" width="71.54296875" style="1" customWidth="1"/>
    <col min="14852" max="14852" width="7.453125" style="1" customWidth="1"/>
    <col min="14853" max="14853" width="9.453125" style="1" customWidth="1"/>
    <col min="14854" max="14854" width="35.1796875" style="1" customWidth="1"/>
    <col min="14855" max="14855" width="6.81640625" style="1" customWidth="1"/>
    <col min="14856" max="15105" width="9.1796875" style="1"/>
    <col min="15106" max="15106" width="5.54296875" style="1" customWidth="1"/>
    <col min="15107" max="15107" width="71.54296875" style="1" customWidth="1"/>
    <col min="15108" max="15108" width="7.453125" style="1" customWidth="1"/>
    <col min="15109" max="15109" width="9.453125" style="1" customWidth="1"/>
    <col min="15110" max="15110" width="35.1796875" style="1" customWidth="1"/>
    <col min="15111" max="15111" width="6.81640625" style="1" customWidth="1"/>
    <col min="15112" max="15361" width="9.1796875" style="1"/>
    <col min="15362" max="15362" width="5.54296875" style="1" customWidth="1"/>
    <col min="15363" max="15363" width="71.54296875" style="1" customWidth="1"/>
    <col min="15364" max="15364" width="7.453125" style="1" customWidth="1"/>
    <col min="15365" max="15365" width="9.453125" style="1" customWidth="1"/>
    <col min="15366" max="15366" width="35.1796875" style="1" customWidth="1"/>
    <col min="15367" max="15367" width="6.81640625" style="1" customWidth="1"/>
    <col min="15368" max="15617" width="9.1796875" style="1"/>
    <col min="15618" max="15618" width="5.54296875" style="1" customWidth="1"/>
    <col min="15619" max="15619" width="71.54296875" style="1" customWidth="1"/>
    <col min="15620" max="15620" width="7.453125" style="1" customWidth="1"/>
    <col min="15621" max="15621" width="9.453125" style="1" customWidth="1"/>
    <col min="15622" max="15622" width="35.1796875" style="1" customWidth="1"/>
    <col min="15623" max="15623" width="6.81640625" style="1" customWidth="1"/>
    <col min="15624" max="15873" width="9.1796875" style="1"/>
    <col min="15874" max="15874" width="5.54296875" style="1" customWidth="1"/>
    <col min="15875" max="15875" width="71.54296875" style="1" customWidth="1"/>
    <col min="15876" max="15876" width="7.453125" style="1" customWidth="1"/>
    <col min="15877" max="15877" width="9.453125" style="1" customWidth="1"/>
    <col min="15878" max="15878" width="35.1796875" style="1" customWidth="1"/>
    <col min="15879" max="15879" width="6.81640625" style="1" customWidth="1"/>
    <col min="15880" max="16129" width="9.1796875" style="1"/>
    <col min="16130" max="16130" width="5.54296875" style="1" customWidth="1"/>
    <col min="16131" max="16131" width="71.54296875" style="1" customWidth="1"/>
    <col min="16132" max="16132" width="7.453125" style="1" customWidth="1"/>
    <col min="16133" max="16133" width="9.453125" style="1" customWidth="1"/>
    <col min="16134" max="16134" width="35.1796875" style="1" customWidth="1"/>
    <col min="16135" max="16135" width="6.81640625" style="1" customWidth="1"/>
    <col min="16136" max="16384" width="9.1796875" style="1"/>
  </cols>
  <sheetData>
    <row r="1" spans="1:7" ht="47.25" customHeight="1" x14ac:dyDescent="0.35">
      <c r="A1" s="634" t="s">
        <v>766</v>
      </c>
      <c r="B1" s="634"/>
      <c r="C1" s="634"/>
      <c r="D1" s="634"/>
      <c r="E1" s="634"/>
      <c r="F1" s="634"/>
      <c r="G1" s="634"/>
    </row>
    <row r="2" spans="1:7" s="20" customFormat="1" ht="21" x14ac:dyDescent="0.35">
      <c r="A2" s="186" t="s">
        <v>8</v>
      </c>
      <c r="B2" s="186" t="s">
        <v>9</v>
      </c>
      <c r="C2" s="186" t="s">
        <v>763</v>
      </c>
      <c r="D2" s="186" t="s">
        <v>767</v>
      </c>
      <c r="E2" s="186"/>
      <c r="F2" s="635" t="s">
        <v>768</v>
      </c>
      <c r="G2" s="635"/>
    </row>
    <row r="3" spans="1:7" s="2" customFormat="1" x14ac:dyDescent="0.35">
      <c r="A3" s="25">
        <v>1</v>
      </c>
      <c r="B3" s="26" t="s">
        <v>769</v>
      </c>
      <c r="C3" s="27"/>
      <c r="D3" s="27"/>
      <c r="E3" s="27"/>
      <c r="F3" s="27"/>
      <c r="G3" s="375"/>
    </row>
    <row r="4" spans="1:7" s="2" customFormat="1" x14ac:dyDescent="0.35">
      <c r="A4" s="22" t="s">
        <v>226</v>
      </c>
      <c r="B4" s="23" t="s">
        <v>774</v>
      </c>
      <c r="C4" s="21" t="s">
        <v>38</v>
      </c>
      <c r="D4" s="374">
        <v>13.45</v>
      </c>
      <c r="E4" s="374"/>
      <c r="F4" s="21" t="s">
        <v>1080</v>
      </c>
      <c r="G4" s="21">
        <v>2696</v>
      </c>
    </row>
    <row r="5" spans="1:7" s="2" customFormat="1" x14ac:dyDescent="0.35">
      <c r="A5" s="22" t="s">
        <v>228</v>
      </c>
      <c r="B5" s="28" t="s">
        <v>777</v>
      </c>
      <c r="C5" s="21" t="s">
        <v>38</v>
      </c>
      <c r="D5" s="21">
        <v>9.52</v>
      </c>
      <c r="E5" s="21"/>
      <c r="F5" s="21" t="s">
        <v>1079</v>
      </c>
      <c r="G5" s="376">
        <v>246</v>
      </c>
    </row>
    <row r="6" spans="1:7" s="2" customFormat="1" x14ac:dyDescent="0.35">
      <c r="A6" s="22" t="s">
        <v>229</v>
      </c>
      <c r="B6" s="29" t="s">
        <v>775</v>
      </c>
      <c r="C6" s="21" t="s">
        <v>38</v>
      </c>
      <c r="D6" s="21">
        <v>9.4499999999999993</v>
      </c>
      <c r="E6" s="21"/>
      <c r="F6" s="21" t="s">
        <v>1079</v>
      </c>
      <c r="G6" s="22">
        <v>247</v>
      </c>
    </row>
    <row r="7" spans="1:7" s="2" customFormat="1" x14ac:dyDescent="0.35">
      <c r="A7" s="22" t="s">
        <v>231</v>
      </c>
      <c r="B7" s="30" t="s">
        <v>776</v>
      </c>
      <c r="C7" s="21" t="s">
        <v>38</v>
      </c>
      <c r="D7" s="21">
        <v>13.45</v>
      </c>
      <c r="E7" s="21"/>
      <c r="F7" s="21" t="s">
        <v>1079</v>
      </c>
      <c r="G7" s="377">
        <v>2436</v>
      </c>
    </row>
    <row r="8" spans="1:7" s="2" customFormat="1" x14ac:dyDescent="0.35">
      <c r="A8" s="22" t="s">
        <v>233</v>
      </c>
      <c r="B8" s="30" t="s">
        <v>41</v>
      </c>
      <c r="C8" s="21" t="s">
        <v>38</v>
      </c>
      <c r="D8" s="21">
        <v>10.11</v>
      </c>
      <c r="E8" s="21"/>
      <c r="F8" s="21" t="s">
        <v>1079</v>
      </c>
      <c r="G8" s="377">
        <v>6111</v>
      </c>
    </row>
    <row r="9" spans="1:7" s="2" customFormat="1" x14ac:dyDescent="0.35">
      <c r="A9" s="22" t="s">
        <v>234</v>
      </c>
      <c r="B9" s="31" t="s">
        <v>40</v>
      </c>
      <c r="C9" s="21" t="s">
        <v>38</v>
      </c>
      <c r="D9" s="21">
        <v>13.45</v>
      </c>
      <c r="E9" s="21"/>
      <c r="F9" s="21" t="s">
        <v>1079</v>
      </c>
      <c r="G9" s="377">
        <v>4750</v>
      </c>
    </row>
    <row r="10" spans="1:7" s="2" customFormat="1" x14ac:dyDescent="0.35">
      <c r="A10" s="22" t="s">
        <v>235</v>
      </c>
      <c r="B10" s="30" t="s">
        <v>83</v>
      </c>
      <c r="C10" s="21" t="s">
        <v>38</v>
      </c>
      <c r="D10" s="21">
        <v>13.45</v>
      </c>
      <c r="E10" s="21"/>
      <c r="F10" s="21" t="s">
        <v>1079</v>
      </c>
      <c r="G10" s="377">
        <v>4783</v>
      </c>
    </row>
    <row r="11" spans="1:7" s="2" customFormat="1" x14ac:dyDescent="0.35">
      <c r="A11" s="22" t="s">
        <v>236</v>
      </c>
      <c r="B11" s="31" t="s">
        <v>52</v>
      </c>
      <c r="C11" s="21" t="s">
        <v>38</v>
      </c>
      <c r="D11" s="21">
        <v>16.05</v>
      </c>
      <c r="E11" s="21"/>
      <c r="F11" s="21" t="s">
        <v>1079</v>
      </c>
      <c r="G11" s="377">
        <v>12869</v>
      </c>
    </row>
    <row r="12" spans="1:7" s="2" customFormat="1" x14ac:dyDescent="0.35">
      <c r="A12" s="22" t="s">
        <v>238</v>
      </c>
      <c r="B12" s="31" t="s">
        <v>58</v>
      </c>
      <c r="C12" s="21" t="s">
        <v>38</v>
      </c>
      <c r="D12" s="374">
        <v>16.05</v>
      </c>
      <c r="E12" s="374"/>
      <c r="F12" s="21" t="s">
        <v>1079</v>
      </c>
      <c r="G12" s="377">
        <v>4760</v>
      </c>
    </row>
    <row r="13" spans="1:7" s="2" customFormat="1" x14ac:dyDescent="0.35">
      <c r="A13" s="22" t="s">
        <v>240</v>
      </c>
      <c r="B13" s="31" t="s">
        <v>63</v>
      </c>
      <c r="C13" s="21" t="s">
        <v>38</v>
      </c>
      <c r="D13" s="21">
        <v>10.59</v>
      </c>
      <c r="E13" s="21"/>
      <c r="F13" s="21" t="s">
        <v>1079</v>
      </c>
      <c r="G13" s="377">
        <v>6117</v>
      </c>
    </row>
    <row r="14" spans="1:7" s="2" customFormat="1" x14ac:dyDescent="0.35">
      <c r="A14" s="22" t="s">
        <v>241</v>
      </c>
      <c r="B14" s="31" t="s">
        <v>64</v>
      </c>
      <c r="C14" s="21" t="s">
        <v>38</v>
      </c>
      <c r="D14" s="21">
        <v>13.45</v>
      </c>
      <c r="E14" s="21"/>
      <c r="F14" s="21" t="s">
        <v>1079</v>
      </c>
      <c r="G14" s="377">
        <v>1213</v>
      </c>
    </row>
    <row r="15" spans="1:7" s="2" customFormat="1" x14ac:dyDescent="0.35">
      <c r="A15" s="22" t="s">
        <v>243</v>
      </c>
      <c r="B15" s="28" t="s">
        <v>175</v>
      </c>
      <c r="C15" s="21" t="s">
        <v>38</v>
      </c>
      <c r="D15" s="21">
        <v>10.130000000000001</v>
      </c>
      <c r="E15" s="21"/>
      <c r="F15" s="21" t="s">
        <v>1079</v>
      </c>
      <c r="G15" s="22">
        <v>6127</v>
      </c>
    </row>
    <row r="16" spans="1:7" s="2" customFormat="1" x14ac:dyDescent="0.35">
      <c r="A16" s="22" t="s">
        <v>244</v>
      </c>
      <c r="B16" s="32" t="s">
        <v>194</v>
      </c>
      <c r="C16" s="21" t="s">
        <v>38</v>
      </c>
      <c r="D16" s="21">
        <v>9.69</v>
      </c>
      <c r="E16" s="21"/>
      <c r="F16" s="21" t="s">
        <v>1079</v>
      </c>
      <c r="G16" s="378">
        <v>34466</v>
      </c>
    </row>
    <row r="17" spans="1:7" s="2" customFormat="1" x14ac:dyDescent="0.35">
      <c r="A17" s="22" t="s">
        <v>246</v>
      </c>
      <c r="B17" s="32" t="s">
        <v>928</v>
      </c>
      <c r="C17" s="21" t="s">
        <v>38</v>
      </c>
      <c r="D17" s="21">
        <v>84.68</v>
      </c>
      <c r="E17" s="21"/>
      <c r="F17" s="21" t="s">
        <v>1079</v>
      </c>
      <c r="G17" s="379">
        <v>34780</v>
      </c>
    </row>
    <row r="18" spans="1:7" s="2" customFormat="1" x14ac:dyDescent="0.35">
      <c r="A18" s="33">
        <v>2</v>
      </c>
      <c r="B18" s="26" t="s">
        <v>778</v>
      </c>
      <c r="C18" s="34"/>
      <c r="D18" s="380"/>
      <c r="E18" s="380"/>
      <c r="F18" s="27"/>
      <c r="G18" s="381"/>
    </row>
    <row r="19" spans="1:7" s="2" customFormat="1" x14ac:dyDescent="0.35">
      <c r="A19" s="22" t="s">
        <v>248</v>
      </c>
      <c r="B19" s="35" t="s">
        <v>28</v>
      </c>
      <c r="C19" s="21" t="s">
        <v>215</v>
      </c>
      <c r="D19" s="37">
        <v>27.39</v>
      </c>
      <c r="E19" s="37"/>
      <c r="F19" s="21" t="s">
        <v>1079</v>
      </c>
      <c r="G19" s="377">
        <v>987</v>
      </c>
    </row>
    <row r="20" spans="1:7" s="2" customFormat="1" x14ac:dyDescent="0.35">
      <c r="A20" s="22" t="s">
        <v>250</v>
      </c>
      <c r="B20" s="35" t="s">
        <v>30</v>
      </c>
      <c r="C20" s="21" t="s">
        <v>215</v>
      </c>
      <c r="D20" s="37">
        <v>92.45</v>
      </c>
      <c r="E20" s="37"/>
      <c r="F20" s="21" t="s">
        <v>1079</v>
      </c>
      <c r="G20" s="377">
        <v>1006</v>
      </c>
    </row>
    <row r="21" spans="1:7" s="2" customFormat="1" x14ac:dyDescent="0.35">
      <c r="A21" s="22" t="s">
        <v>252</v>
      </c>
      <c r="B21" s="35" t="s">
        <v>32</v>
      </c>
      <c r="C21" s="21" t="s">
        <v>215</v>
      </c>
      <c r="D21" s="382">
        <v>115.37</v>
      </c>
      <c r="E21" s="382"/>
      <c r="F21" s="21" t="s">
        <v>1079</v>
      </c>
      <c r="G21" s="377">
        <v>990</v>
      </c>
    </row>
    <row r="22" spans="1:7" s="2" customFormat="1" x14ac:dyDescent="0.35">
      <c r="A22" s="22" t="s">
        <v>254</v>
      </c>
      <c r="B22" s="35" t="s">
        <v>34</v>
      </c>
      <c r="C22" s="21" t="s">
        <v>215</v>
      </c>
      <c r="D22" s="37">
        <v>141.6</v>
      </c>
      <c r="E22" s="37"/>
      <c r="F22" s="21" t="s">
        <v>1079</v>
      </c>
      <c r="G22" s="377">
        <v>1005</v>
      </c>
    </row>
    <row r="23" spans="1:7" s="2" customFormat="1" x14ac:dyDescent="0.35">
      <c r="A23" s="22" t="s">
        <v>256</v>
      </c>
      <c r="B23" s="35" t="s">
        <v>35</v>
      </c>
      <c r="C23" s="37" t="s">
        <v>779</v>
      </c>
      <c r="D23" s="37">
        <v>2.31</v>
      </c>
      <c r="E23" s="37"/>
      <c r="F23" s="21" t="s">
        <v>1079</v>
      </c>
      <c r="G23" s="377">
        <v>1872</v>
      </c>
    </row>
    <row r="24" spans="1:7" s="2" customFormat="1" x14ac:dyDescent="0.35">
      <c r="A24" s="22" t="s">
        <v>258</v>
      </c>
      <c r="B24" s="35" t="s">
        <v>37</v>
      </c>
      <c r="C24" s="37" t="s">
        <v>779</v>
      </c>
      <c r="D24" s="382">
        <v>4.5999999999999996</v>
      </c>
      <c r="E24" s="382"/>
      <c r="F24" s="21" t="s">
        <v>1079</v>
      </c>
      <c r="G24" s="377">
        <v>1873</v>
      </c>
    </row>
    <row r="25" spans="1:7" x14ac:dyDescent="0.35">
      <c r="A25" s="33">
        <v>3</v>
      </c>
      <c r="B25" s="36" t="s">
        <v>781</v>
      </c>
      <c r="C25" s="38"/>
      <c r="D25" s="383"/>
      <c r="E25" s="383"/>
      <c r="F25" s="38"/>
      <c r="G25" s="381"/>
    </row>
    <row r="26" spans="1:7" x14ac:dyDescent="0.35">
      <c r="A26" s="22" t="s">
        <v>382</v>
      </c>
      <c r="B26" s="31" t="s">
        <v>42</v>
      </c>
      <c r="C26" s="37" t="s">
        <v>782</v>
      </c>
      <c r="D26" s="384">
        <v>87.5</v>
      </c>
      <c r="E26" s="10"/>
      <c r="F26" s="21" t="s">
        <v>1079</v>
      </c>
      <c r="G26" s="377">
        <v>370</v>
      </c>
    </row>
    <row r="27" spans="1:7" x14ac:dyDescent="0.35">
      <c r="A27" s="22" t="s">
        <v>384</v>
      </c>
      <c r="B27" s="31" t="s">
        <v>43</v>
      </c>
      <c r="C27" s="37" t="s">
        <v>109</v>
      </c>
      <c r="D27" s="384">
        <v>0.64</v>
      </c>
      <c r="E27" s="9"/>
      <c r="F27" s="21" t="s">
        <v>1079</v>
      </c>
      <c r="G27" s="377">
        <v>1379</v>
      </c>
    </row>
    <row r="28" spans="1:7" x14ac:dyDescent="0.35">
      <c r="A28" s="22" t="s">
        <v>385</v>
      </c>
      <c r="B28" s="31" t="s">
        <v>44</v>
      </c>
      <c r="C28" s="37" t="s">
        <v>109</v>
      </c>
      <c r="D28" s="384">
        <v>0.75</v>
      </c>
      <c r="E28" s="10"/>
      <c r="F28" s="21" t="s">
        <v>1079</v>
      </c>
      <c r="G28" s="377">
        <v>1106</v>
      </c>
    </row>
    <row r="29" spans="1:7" x14ac:dyDescent="0.35">
      <c r="A29" s="22" t="s">
        <v>386</v>
      </c>
      <c r="B29" s="40" t="s">
        <v>180</v>
      </c>
      <c r="C29" s="22" t="s">
        <v>109</v>
      </c>
      <c r="D29" s="385">
        <v>1.3</v>
      </c>
      <c r="E29" s="8"/>
      <c r="F29" s="21" t="s">
        <v>1079</v>
      </c>
      <c r="G29" s="378">
        <v>34353</v>
      </c>
    </row>
    <row r="30" spans="1:7" x14ac:dyDescent="0.35">
      <c r="A30" s="22" t="s">
        <v>388</v>
      </c>
      <c r="B30" s="35" t="s">
        <v>45</v>
      </c>
      <c r="C30" s="37" t="s">
        <v>779</v>
      </c>
      <c r="D30" s="384">
        <v>0.47</v>
      </c>
      <c r="E30" s="10"/>
      <c r="F30" s="21" t="s">
        <v>1079</v>
      </c>
      <c r="G30" s="377">
        <v>7258</v>
      </c>
    </row>
    <row r="31" spans="1:7" x14ac:dyDescent="0.35">
      <c r="A31" s="22" t="s">
        <v>389</v>
      </c>
      <c r="B31" s="35" t="s">
        <v>53</v>
      </c>
      <c r="C31" s="37" t="s">
        <v>779</v>
      </c>
      <c r="D31" s="384">
        <v>69.209999999999994</v>
      </c>
      <c r="E31" s="10"/>
      <c r="F31" s="21" t="s">
        <v>1079</v>
      </c>
      <c r="G31" s="377">
        <v>7186</v>
      </c>
    </row>
    <row r="32" spans="1:7" x14ac:dyDescent="0.35">
      <c r="A32" s="22" t="s">
        <v>391</v>
      </c>
      <c r="B32" s="35" t="s">
        <v>54</v>
      </c>
      <c r="C32" s="37" t="s">
        <v>779</v>
      </c>
      <c r="D32" s="385">
        <v>0.95</v>
      </c>
      <c r="E32" s="11"/>
      <c r="F32" s="21" t="s">
        <v>1079</v>
      </c>
      <c r="G32" s="377">
        <v>4299</v>
      </c>
    </row>
    <row r="33" spans="1:7" x14ac:dyDescent="0.35">
      <c r="A33" s="22" t="s">
        <v>239</v>
      </c>
      <c r="B33" s="35" t="s">
        <v>925</v>
      </c>
      <c r="C33" s="37" t="s">
        <v>779</v>
      </c>
      <c r="D33" s="384">
        <v>8.89</v>
      </c>
      <c r="E33" s="9"/>
      <c r="F33" s="21" t="s">
        <v>1079</v>
      </c>
      <c r="G33" s="377">
        <v>4307</v>
      </c>
    </row>
    <row r="34" spans="1:7" x14ac:dyDescent="0.35">
      <c r="A34" s="22" t="s">
        <v>393</v>
      </c>
      <c r="B34" s="35" t="s">
        <v>57</v>
      </c>
      <c r="C34" s="37" t="s">
        <v>108</v>
      </c>
      <c r="D34" s="384">
        <v>3.52</v>
      </c>
      <c r="E34" s="12"/>
      <c r="F34" s="21" t="s">
        <v>1079</v>
      </c>
      <c r="G34" s="377">
        <v>4221</v>
      </c>
    </row>
    <row r="35" spans="1:7" x14ac:dyDescent="0.35">
      <c r="A35" s="22" t="s">
        <v>394</v>
      </c>
      <c r="B35" s="40" t="s">
        <v>198</v>
      </c>
      <c r="C35" s="22" t="s">
        <v>109</v>
      </c>
      <c r="D35" s="385">
        <v>2.41</v>
      </c>
      <c r="E35" s="13"/>
      <c r="F35" s="21" t="s">
        <v>1079</v>
      </c>
      <c r="G35" s="378">
        <v>39434</v>
      </c>
    </row>
    <row r="36" spans="1:7" ht="21" x14ac:dyDescent="0.35">
      <c r="A36" s="22" t="s">
        <v>396</v>
      </c>
      <c r="B36" s="40" t="s">
        <v>177</v>
      </c>
      <c r="C36" s="22" t="s">
        <v>783</v>
      </c>
      <c r="D36" s="385">
        <v>16.29</v>
      </c>
      <c r="E36" s="11"/>
      <c r="F36" s="21" t="s">
        <v>1079</v>
      </c>
      <c r="G36" s="378">
        <v>39414</v>
      </c>
    </row>
    <row r="37" spans="1:7" x14ac:dyDescent="0.35">
      <c r="A37" s="22" t="s">
        <v>398</v>
      </c>
      <c r="B37" s="40" t="s">
        <v>186</v>
      </c>
      <c r="C37" s="22" t="s">
        <v>783</v>
      </c>
      <c r="D37" s="385">
        <v>207.95</v>
      </c>
      <c r="E37" s="13"/>
      <c r="F37" s="21" t="s">
        <v>1079</v>
      </c>
      <c r="G37" s="378">
        <v>10506</v>
      </c>
    </row>
    <row r="38" spans="1:7" x14ac:dyDescent="0.35">
      <c r="A38" s="22" t="s">
        <v>400</v>
      </c>
      <c r="B38" s="40" t="s">
        <v>221</v>
      </c>
      <c r="C38" s="22" t="s">
        <v>783</v>
      </c>
      <c r="D38" s="385">
        <v>264.14999999999998</v>
      </c>
      <c r="E38" s="11"/>
      <c r="F38" s="21" t="s">
        <v>1079</v>
      </c>
      <c r="G38" s="378">
        <v>10841</v>
      </c>
    </row>
    <row r="39" spans="1:7" x14ac:dyDescent="0.35">
      <c r="A39" s="22" t="s">
        <v>401</v>
      </c>
      <c r="B39" s="32" t="s">
        <v>787</v>
      </c>
      <c r="C39" s="22" t="s">
        <v>783</v>
      </c>
      <c r="D39" s="385">
        <v>585.53</v>
      </c>
      <c r="E39" s="8"/>
      <c r="F39" s="21" t="s">
        <v>1079</v>
      </c>
      <c r="G39" s="378">
        <v>25976</v>
      </c>
    </row>
    <row r="40" spans="1:7" x14ac:dyDescent="0.35">
      <c r="A40" s="22" t="s">
        <v>402</v>
      </c>
      <c r="B40" s="32" t="s">
        <v>223</v>
      </c>
      <c r="C40" s="22" t="s">
        <v>109</v>
      </c>
      <c r="D40" s="385">
        <v>14.93</v>
      </c>
      <c r="E40" s="22"/>
      <c r="F40" s="21" t="s">
        <v>1079</v>
      </c>
      <c r="G40" s="378">
        <v>1375</v>
      </c>
    </row>
    <row r="41" spans="1:7" x14ac:dyDescent="0.35">
      <c r="A41" s="22" t="s">
        <v>403</v>
      </c>
      <c r="B41" s="32" t="s">
        <v>187</v>
      </c>
      <c r="C41" s="37" t="s">
        <v>783</v>
      </c>
      <c r="D41" s="385">
        <v>336.73</v>
      </c>
      <c r="E41" s="22"/>
      <c r="F41" s="21" t="s">
        <v>1079</v>
      </c>
      <c r="G41" s="378">
        <v>11186</v>
      </c>
    </row>
    <row r="42" spans="1:7" x14ac:dyDescent="0.35">
      <c r="A42" s="22" t="s">
        <v>404</v>
      </c>
      <c r="B42" s="35" t="s">
        <v>65</v>
      </c>
      <c r="C42" s="37" t="s">
        <v>109</v>
      </c>
      <c r="D42" s="384">
        <v>16.100000000000001</v>
      </c>
      <c r="E42" s="9"/>
      <c r="F42" s="21" t="s">
        <v>1079</v>
      </c>
      <c r="G42" s="377">
        <v>5067</v>
      </c>
    </row>
    <row r="43" spans="1:7" x14ac:dyDescent="0.35">
      <c r="A43" s="22" t="s">
        <v>405</v>
      </c>
      <c r="B43" s="35" t="s">
        <v>923</v>
      </c>
      <c r="C43" s="37" t="s">
        <v>779</v>
      </c>
      <c r="D43" s="384">
        <v>0.3</v>
      </c>
      <c r="E43" s="9"/>
      <c r="F43" s="21" t="s">
        <v>1079</v>
      </c>
      <c r="G43" s="377">
        <v>11058</v>
      </c>
    </row>
    <row r="44" spans="1:7" x14ac:dyDescent="0.35">
      <c r="A44" s="22" t="s">
        <v>407</v>
      </c>
      <c r="B44" s="35" t="s">
        <v>67</v>
      </c>
      <c r="C44" s="37" t="s">
        <v>215</v>
      </c>
      <c r="D44" s="384">
        <v>3.75</v>
      </c>
      <c r="E44" s="9"/>
      <c r="F44" s="21" t="s">
        <v>1079</v>
      </c>
      <c r="G44" s="377">
        <v>20017</v>
      </c>
    </row>
    <row r="45" spans="1:7" x14ac:dyDescent="0.35">
      <c r="A45" s="22" t="s">
        <v>408</v>
      </c>
      <c r="B45" s="35" t="s">
        <v>68</v>
      </c>
      <c r="C45" s="37" t="s">
        <v>784</v>
      </c>
      <c r="D45" s="384">
        <v>100.75</v>
      </c>
      <c r="E45" s="9"/>
      <c r="F45" s="21" t="s">
        <v>1079</v>
      </c>
      <c r="G45" s="377">
        <v>195</v>
      </c>
    </row>
    <row r="46" spans="1:7" ht="21" x14ac:dyDescent="0.35">
      <c r="A46" s="22" t="s">
        <v>410</v>
      </c>
      <c r="B46" s="40" t="s">
        <v>924</v>
      </c>
      <c r="C46" s="22" t="s">
        <v>215</v>
      </c>
      <c r="D46" s="385">
        <v>2.61</v>
      </c>
      <c r="E46" s="11"/>
      <c r="F46" s="21" t="s">
        <v>1079</v>
      </c>
      <c r="G46" s="378">
        <v>20017</v>
      </c>
    </row>
    <row r="47" spans="1:7" x14ac:dyDescent="0.35">
      <c r="A47" s="22" t="s">
        <v>412</v>
      </c>
      <c r="B47" s="35" t="s">
        <v>69</v>
      </c>
      <c r="C47" s="37" t="s">
        <v>783</v>
      </c>
      <c r="D47" s="384">
        <v>83.58</v>
      </c>
      <c r="E47" s="12"/>
      <c r="F47" s="21" t="s">
        <v>1079</v>
      </c>
      <c r="G47" s="377">
        <v>4958</v>
      </c>
    </row>
    <row r="48" spans="1:7" x14ac:dyDescent="0.35">
      <c r="A48" s="22" t="s">
        <v>413</v>
      </c>
      <c r="B48" s="35" t="s">
        <v>70</v>
      </c>
      <c r="C48" s="37" t="s">
        <v>779</v>
      </c>
      <c r="D48" s="384">
        <v>7.9</v>
      </c>
      <c r="E48" s="9"/>
      <c r="F48" s="21" t="s">
        <v>1079</v>
      </c>
      <c r="G48" s="377">
        <v>2433</v>
      </c>
    </row>
    <row r="49" spans="1:7" x14ac:dyDescent="0.35">
      <c r="A49" s="22" t="s">
        <v>414</v>
      </c>
      <c r="B49" s="35" t="s">
        <v>71</v>
      </c>
      <c r="C49" s="37" t="s">
        <v>780</v>
      </c>
      <c r="D49" s="384">
        <v>96.74</v>
      </c>
      <c r="E49" s="9"/>
      <c r="F49" s="21" t="s">
        <v>1079</v>
      </c>
      <c r="G49" s="377">
        <v>3081</v>
      </c>
    </row>
    <row r="50" spans="1:7" x14ac:dyDescent="0.35">
      <c r="A50" s="22" t="s">
        <v>415</v>
      </c>
      <c r="B50" s="35" t="s">
        <v>72</v>
      </c>
      <c r="C50" s="37" t="s">
        <v>779</v>
      </c>
      <c r="D50" s="384">
        <v>83.16</v>
      </c>
      <c r="E50" s="9"/>
      <c r="F50" s="21" t="s">
        <v>1079</v>
      </c>
      <c r="G50" s="377">
        <v>3108</v>
      </c>
    </row>
    <row r="51" spans="1:7" x14ac:dyDescent="0.35">
      <c r="A51" s="22" t="s">
        <v>416</v>
      </c>
      <c r="B51" s="35" t="s">
        <v>179</v>
      </c>
      <c r="C51" s="37" t="s">
        <v>109</v>
      </c>
      <c r="D51" s="384">
        <v>3.75</v>
      </c>
      <c r="E51" s="9"/>
      <c r="F51" s="21" t="s">
        <v>1079</v>
      </c>
      <c r="G51" s="377">
        <v>1380</v>
      </c>
    </row>
    <row r="52" spans="1:7" x14ac:dyDescent="0.35">
      <c r="A52" s="22" t="s">
        <v>418</v>
      </c>
      <c r="B52" s="40" t="s">
        <v>78</v>
      </c>
      <c r="C52" s="22" t="s">
        <v>215</v>
      </c>
      <c r="D52" s="385">
        <v>52.09</v>
      </c>
      <c r="E52" s="13"/>
      <c r="F52" s="21" t="s">
        <v>1079</v>
      </c>
      <c r="G52" s="378">
        <v>20231</v>
      </c>
    </row>
    <row r="53" spans="1:7" x14ac:dyDescent="0.35">
      <c r="A53" s="22" t="s">
        <v>420</v>
      </c>
      <c r="B53" s="40" t="s">
        <v>926</v>
      </c>
      <c r="C53" s="22" t="s">
        <v>109</v>
      </c>
      <c r="D53" s="385">
        <v>17.72</v>
      </c>
      <c r="E53" s="8"/>
      <c r="F53" s="21" t="s">
        <v>1079</v>
      </c>
      <c r="G53" s="378">
        <v>626</v>
      </c>
    </row>
    <row r="54" spans="1:7" x14ac:dyDescent="0.35">
      <c r="A54" s="22" t="s">
        <v>421</v>
      </c>
      <c r="B54" s="40" t="s">
        <v>204</v>
      </c>
      <c r="C54" s="37" t="s">
        <v>337</v>
      </c>
      <c r="D54" s="385">
        <v>22.03</v>
      </c>
      <c r="E54" s="8"/>
      <c r="F54" s="21" t="s">
        <v>1079</v>
      </c>
      <c r="G54" s="378">
        <v>4056</v>
      </c>
    </row>
    <row r="55" spans="1:7" x14ac:dyDescent="0.35">
      <c r="A55" s="22" t="s">
        <v>423</v>
      </c>
      <c r="B55" s="41" t="s">
        <v>214</v>
      </c>
      <c r="C55" s="22" t="s">
        <v>215</v>
      </c>
      <c r="D55" s="385">
        <v>0.3</v>
      </c>
      <c r="E55" s="13"/>
      <c r="F55" s="21" t="s">
        <v>1079</v>
      </c>
      <c r="G55" s="22">
        <v>343</v>
      </c>
    </row>
    <row r="56" spans="1:7" x14ac:dyDescent="0.35">
      <c r="A56" s="22" t="s">
        <v>424</v>
      </c>
      <c r="B56" s="32" t="s">
        <v>224</v>
      </c>
      <c r="C56" s="22" t="s">
        <v>108</v>
      </c>
      <c r="D56" s="385">
        <v>11.1</v>
      </c>
      <c r="E56" s="13"/>
      <c r="F56" s="21" t="s">
        <v>1079</v>
      </c>
      <c r="G56" s="378">
        <v>38122</v>
      </c>
    </row>
    <row r="57" spans="1:7" x14ac:dyDescent="0.35">
      <c r="A57" s="22" t="s">
        <v>426</v>
      </c>
      <c r="B57" s="31" t="s">
        <v>84</v>
      </c>
      <c r="C57" s="37" t="s">
        <v>785</v>
      </c>
      <c r="D57" s="385">
        <v>19.690000000000001</v>
      </c>
      <c r="E57" s="13"/>
      <c r="F57" s="21" t="s">
        <v>1079</v>
      </c>
      <c r="G57" s="377">
        <v>7356</v>
      </c>
    </row>
    <row r="58" spans="1:7" x14ac:dyDescent="0.35">
      <c r="A58" s="22" t="s">
        <v>428</v>
      </c>
      <c r="B58" s="35" t="s">
        <v>85</v>
      </c>
      <c r="C58" s="37" t="s">
        <v>779</v>
      </c>
      <c r="D58" s="385">
        <v>0.48</v>
      </c>
      <c r="E58" s="13"/>
      <c r="F58" s="21" t="s">
        <v>1079</v>
      </c>
      <c r="G58" s="377">
        <v>3767</v>
      </c>
    </row>
    <row r="59" spans="1:7" x14ac:dyDescent="0.35">
      <c r="A59" s="22" t="s">
        <v>429</v>
      </c>
      <c r="B59" s="42" t="s">
        <v>88</v>
      </c>
      <c r="C59" s="37" t="s">
        <v>108</v>
      </c>
      <c r="D59" s="385">
        <v>12.56</v>
      </c>
      <c r="E59" s="13"/>
      <c r="F59" s="21" t="s">
        <v>1079</v>
      </c>
      <c r="G59" s="386">
        <v>6090</v>
      </c>
    </row>
    <row r="60" spans="1:7" x14ac:dyDescent="0.35">
      <c r="A60" s="22" t="s">
        <v>430</v>
      </c>
      <c r="B60" s="42" t="s">
        <v>89</v>
      </c>
      <c r="C60" s="37" t="s">
        <v>108</v>
      </c>
      <c r="D60" s="385">
        <v>17.02</v>
      </c>
      <c r="E60" s="13"/>
      <c r="F60" s="21" t="s">
        <v>1079</v>
      </c>
      <c r="G60" s="386">
        <v>7345</v>
      </c>
    </row>
    <row r="61" spans="1:7" x14ac:dyDescent="0.35">
      <c r="A61" s="22" t="s">
        <v>431</v>
      </c>
      <c r="B61" s="31" t="s">
        <v>92</v>
      </c>
      <c r="C61" s="37" t="s">
        <v>108</v>
      </c>
      <c r="D61" s="385">
        <v>13.58</v>
      </c>
      <c r="E61" s="13"/>
      <c r="F61" s="21" t="s">
        <v>1079</v>
      </c>
      <c r="G61" s="377">
        <v>5318</v>
      </c>
    </row>
    <row r="62" spans="1:7" x14ac:dyDescent="0.35">
      <c r="A62" s="22" t="s">
        <v>432</v>
      </c>
      <c r="B62" s="31" t="s">
        <v>93</v>
      </c>
      <c r="C62" s="37" t="s">
        <v>108</v>
      </c>
      <c r="D62" s="385">
        <v>26.64</v>
      </c>
      <c r="E62" s="13"/>
      <c r="F62" s="21" t="s">
        <v>1079</v>
      </c>
      <c r="G62" s="377">
        <v>7307</v>
      </c>
    </row>
    <row r="63" spans="1:7" x14ac:dyDescent="0.35">
      <c r="A63" s="22" t="s">
        <v>433</v>
      </c>
      <c r="B63" s="31" t="s">
        <v>94</v>
      </c>
      <c r="C63" s="37" t="s">
        <v>337</v>
      </c>
      <c r="D63" s="385">
        <v>80.8</v>
      </c>
      <c r="E63" s="13"/>
      <c r="F63" s="21" t="s">
        <v>1079</v>
      </c>
      <c r="G63" s="377">
        <v>7287</v>
      </c>
    </row>
    <row r="64" spans="1:7" x14ac:dyDescent="0.35">
      <c r="A64" s="22" t="s">
        <v>435</v>
      </c>
      <c r="B64" s="31" t="s">
        <v>97</v>
      </c>
      <c r="C64" s="37" t="s">
        <v>108</v>
      </c>
      <c r="D64" s="385">
        <v>50.96</v>
      </c>
      <c r="E64" s="13"/>
      <c r="F64" s="21" t="s">
        <v>1079</v>
      </c>
      <c r="G64" s="377">
        <v>7304</v>
      </c>
    </row>
    <row r="65" spans="1:7" x14ac:dyDescent="0.35">
      <c r="A65" s="22" t="s">
        <v>436</v>
      </c>
      <c r="B65" s="31" t="s">
        <v>98</v>
      </c>
      <c r="C65" s="37" t="s">
        <v>108</v>
      </c>
      <c r="D65" s="385">
        <v>49.54</v>
      </c>
      <c r="E65" s="385"/>
      <c r="F65" s="21" t="s">
        <v>1079</v>
      </c>
      <c r="G65" s="377">
        <v>154</v>
      </c>
    </row>
    <row r="66" spans="1:7" x14ac:dyDescent="0.35">
      <c r="A66" s="22" t="s">
        <v>437</v>
      </c>
      <c r="B66" s="31" t="s">
        <v>99</v>
      </c>
      <c r="C66" s="37" t="s">
        <v>108</v>
      </c>
      <c r="D66" s="385">
        <v>34.46</v>
      </c>
      <c r="E66" s="385"/>
      <c r="F66" s="21" t="s">
        <v>1079</v>
      </c>
      <c r="G66" s="377">
        <v>4049</v>
      </c>
    </row>
    <row r="67" spans="1:7" x14ac:dyDescent="0.35">
      <c r="A67" s="22" t="s">
        <v>438</v>
      </c>
      <c r="B67" s="32" t="s">
        <v>195</v>
      </c>
      <c r="C67" s="22" t="s">
        <v>109</v>
      </c>
      <c r="D67" s="385">
        <v>6.06</v>
      </c>
      <c r="E67" s="385"/>
      <c r="F67" s="21" t="s">
        <v>1079</v>
      </c>
      <c r="G67" s="378">
        <v>38877</v>
      </c>
    </row>
    <row r="68" spans="1:7" ht="24.75" customHeight="1" x14ac:dyDescent="0.35">
      <c r="A68" s="22" t="s">
        <v>439</v>
      </c>
      <c r="B68" s="43" t="s">
        <v>927</v>
      </c>
      <c r="C68" s="37" t="s">
        <v>108</v>
      </c>
      <c r="D68" s="385">
        <v>12.09</v>
      </c>
      <c r="E68" s="385"/>
      <c r="F68" s="21" t="s">
        <v>1079</v>
      </c>
      <c r="G68" s="377">
        <v>7343</v>
      </c>
    </row>
    <row r="69" spans="1:7" ht="22.5" customHeight="1" x14ac:dyDescent="0.35">
      <c r="A69" s="22" t="s">
        <v>440</v>
      </c>
      <c r="B69" s="44" t="s">
        <v>209</v>
      </c>
      <c r="C69" s="37" t="s">
        <v>783</v>
      </c>
      <c r="D69" s="385">
        <v>15.38</v>
      </c>
      <c r="E69" s="388"/>
      <c r="F69" s="21" t="s">
        <v>1079</v>
      </c>
      <c r="G69" s="387">
        <v>72180</v>
      </c>
    </row>
    <row r="70" spans="1:7" x14ac:dyDescent="0.35">
      <c r="A70" s="33">
        <v>4</v>
      </c>
      <c r="B70" s="36" t="s">
        <v>786</v>
      </c>
      <c r="C70" s="38"/>
      <c r="D70" s="383"/>
      <c r="E70" s="383"/>
      <c r="F70" s="38"/>
      <c r="G70" s="381"/>
    </row>
    <row r="71" spans="1:7" x14ac:dyDescent="0.35">
      <c r="A71" s="22" t="s">
        <v>501</v>
      </c>
      <c r="B71" s="35" t="s">
        <v>104</v>
      </c>
      <c r="C71" s="37" t="s">
        <v>779</v>
      </c>
      <c r="D71" s="384">
        <v>20.170000000000002</v>
      </c>
      <c r="E71" s="384"/>
      <c r="F71" s="21" t="s">
        <v>1079</v>
      </c>
      <c r="G71" s="377">
        <v>20078</v>
      </c>
    </row>
    <row r="72" spans="1:7" x14ac:dyDescent="0.35">
      <c r="A72" s="22" t="s">
        <v>503</v>
      </c>
      <c r="B72" s="35" t="s">
        <v>105</v>
      </c>
      <c r="C72" s="37" t="s">
        <v>779</v>
      </c>
      <c r="D72" s="384">
        <v>3.8</v>
      </c>
      <c r="E72" s="384"/>
      <c r="F72" s="21" t="s">
        <v>1079</v>
      </c>
      <c r="G72" s="377">
        <v>3146</v>
      </c>
    </row>
    <row r="73" spans="1:7" x14ac:dyDescent="0.35">
      <c r="A73" s="22" t="s">
        <v>505</v>
      </c>
      <c r="B73" s="31" t="s">
        <v>106</v>
      </c>
      <c r="C73" s="37" t="s">
        <v>779</v>
      </c>
      <c r="D73" s="384">
        <v>47.85</v>
      </c>
      <c r="E73" s="384"/>
      <c r="F73" s="21" t="s">
        <v>1079</v>
      </c>
      <c r="G73" s="377">
        <v>20083</v>
      </c>
    </row>
    <row r="74" spans="1:7" x14ac:dyDescent="0.35">
      <c r="A74" s="22" t="s">
        <v>508</v>
      </c>
      <c r="B74" s="35" t="s">
        <v>107</v>
      </c>
      <c r="C74" s="37" t="s">
        <v>779</v>
      </c>
      <c r="D74" s="384">
        <v>6.1</v>
      </c>
      <c r="E74" s="384"/>
      <c r="F74" s="21" t="s">
        <v>1079</v>
      </c>
      <c r="G74" s="377">
        <v>119</v>
      </c>
    </row>
    <row r="75" spans="1:7" x14ac:dyDescent="0.35">
      <c r="A75" s="22" t="s">
        <v>510</v>
      </c>
      <c r="B75" s="35" t="s">
        <v>110</v>
      </c>
      <c r="C75" s="37" t="s">
        <v>779</v>
      </c>
      <c r="D75" s="384">
        <v>206.5</v>
      </c>
      <c r="E75" s="384"/>
      <c r="F75" s="21" t="s">
        <v>1079</v>
      </c>
      <c r="G75" s="377">
        <v>21112</v>
      </c>
    </row>
    <row r="76" spans="1:7" x14ac:dyDescent="0.35">
      <c r="A76" s="22" t="s">
        <v>511</v>
      </c>
      <c r="B76" s="35" t="s">
        <v>111</v>
      </c>
      <c r="C76" s="37" t="s">
        <v>779</v>
      </c>
      <c r="D76" s="384">
        <v>255.75</v>
      </c>
      <c r="E76" s="384"/>
      <c r="F76" s="21" t="s">
        <v>1079</v>
      </c>
      <c r="G76" s="377">
        <v>10432</v>
      </c>
    </row>
    <row r="77" spans="1:7" x14ac:dyDescent="0.35">
      <c r="B77" s="20"/>
      <c r="C77" s="19"/>
      <c r="D77" s="19"/>
      <c r="E77" s="19"/>
      <c r="G77" s="39"/>
    </row>
    <row r="78" spans="1:7" x14ac:dyDescent="0.35">
      <c r="B78" s="20"/>
      <c r="C78" s="19"/>
      <c r="D78" s="19"/>
      <c r="E78" s="19"/>
      <c r="G78" s="39"/>
    </row>
  </sheetData>
  <mergeCells count="2">
    <mergeCell ref="A1:G1"/>
    <mergeCell ref="F2:G2"/>
  </mergeCells>
  <pageMargins left="1.1023622047244095" right="0.51181102362204722" top="0.78740157480314965" bottom="0.78740157480314965" header="0.31496062992125984" footer="0.31496062992125984"/>
  <pageSetup paperSize="9" scale="90" orientation="landscape" r:id="rId1"/>
  <headerFooter>
    <oddHeader>&amp;C27</oddHeader>
    <oddFooter>&amp;C27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H32"/>
  <sheetViews>
    <sheetView workbookViewId="0">
      <selection activeCell="E2" sqref="E2"/>
    </sheetView>
  </sheetViews>
  <sheetFormatPr defaultColWidth="9.1796875" defaultRowHeight="14.5" x14ac:dyDescent="0.35"/>
  <cols>
    <col min="1" max="1" width="4.7265625" style="2" customWidth="1"/>
    <col min="2" max="2" width="32.453125" style="6" customWidth="1"/>
    <col min="3" max="3" width="5.26953125" style="7" customWidth="1"/>
    <col min="4" max="4" width="13.453125" style="1" customWidth="1"/>
    <col min="5" max="5" width="19.453125" style="1" customWidth="1"/>
    <col min="6" max="16384" width="9.1796875" style="1"/>
  </cols>
  <sheetData>
    <row r="1" spans="1:8" s="19" customFormat="1" ht="37.5" customHeight="1" x14ac:dyDescent="0.35">
      <c r="A1" s="648" t="s">
        <v>1152</v>
      </c>
      <c r="B1" s="648"/>
      <c r="C1" s="648"/>
      <c r="D1" s="648"/>
    </row>
    <row r="2" spans="1:8" s="357" customFormat="1" ht="27" customHeight="1" x14ac:dyDescent="0.35">
      <c r="A2" s="24" t="s">
        <v>8</v>
      </c>
      <c r="B2" s="24" t="s">
        <v>9</v>
      </c>
      <c r="C2" s="24" t="s">
        <v>770</v>
      </c>
      <c r="D2" s="24" t="s">
        <v>764</v>
      </c>
    </row>
    <row r="3" spans="1:8" ht="15" customHeight="1" x14ac:dyDescent="0.35">
      <c r="A3" s="636">
        <v>1</v>
      </c>
      <c r="B3" s="639" t="s">
        <v>172</v>
      </c>
      <c r="C3" s="649" t="s">
        <v>1</v>
      </c>
      <c r="D3" s="645">
        <v>48.333333333333336</v>
      </c>
      <c r="E3" s="5"/>
      <c r="F3" s="5"/>
      <c r="G3" s="5"/>
      <c r="H3" s="5"/>
    </row>
    <row r="4" spans="1:8" ht="15" customHeight="1" x14ac:dyDescent="0.35">
      <c r="A4" s="637"/>
      <c r="B4" s="640"/>
      <c r="C4" s="650"/>
      <c r="D4" s="646"/>
      <c r="E4" s="5"/>
      <c r="F4" s="5"/>
      <c r="G4" s="5"/>
      <c r="H4" s="5"/>
    </row>
    <row r="5" spans="1:8" ht="15" customHeight="1" x14ac:dyDescent="0.35">
      <c r="A5" s="638"/>
      <c r="B5" s="641"/>
      <c r="C5" s="651"/>
      <c r="D5" s="647"/>
      <c r="E5" s="5"/>
      <c r="F5" s="5"/>
      <c r="G5" s="5"/>
      <c r="H5" s="5"/>
    </row>
    <row r="6" spans="1:8" ht="15" customHeight="1" x14ac:dyDescent="0.35">
      <c r="A6" s="636">
        <v>2</v>
      </c>
      <c r="B6" s="639" t="s">
        <v>173</v>
      </c>
      <c r="C6" s="642" t="s">
        <v>1</v>
      </c>
      <c r="D6" s="645">
        <v>83.333333333333329</v>
      </c>
      <c r="E6" s="5"/>
      <c r="F6" s="5"/>
      <c r="G6" s="5"/>
      <c r="H6" s="5"/>
    </row>
    <row r="7" spans="1:8" ht="15" customHeight="1" x14ac:dyDescent="0.35">
      <c r="A7" s="637"/>
      <c r="B7" s="640"/>
      <c r="C7" s="643"/>
      <c r="D7" s="646"/>
      <c r="E7" s="5"/>
      <c r="F7" s="5"/>
      <c r="G7" s="5"/>
      <c r="H7" s="5"/>
    </row>
    <row r="8" spans="1:8" ht="15" customHeight="1" x14ac:dyDescent="0.35">
      <c r="A8" s="638"/>
      <c r="B8" s="641"/>
      <c r="C8" s="644"/>
      <c r="D8" s="647"/>
      <c r="E8" s="5"/>
      <c r="F8" s="5"/>
      <c r="G8" s="5"/>
      <c r="H8" s="5"/>
    </row>
    <row r="9" spans="1:8" ht="15" customHeight="1" x14ac:dyDescent="0.35">
      <c r="A9" s="636">
        <v>3</v>
      </c>
      <c r="B9" s="639" t="s">
        <v>170</v>
      </c>
      <c r="C9" s="636" t="s">
        <v>1</v>
      </c>
      <c r="D9" s="645">
        <v>6.666666666666667</v>
      </c>
      <c r="E9" s="5"/>
      <c r="F9" s="5"/>
      <c r="G9" s="5"/>
      <c r="H9" s="5"/>
    </row>
    <row r="10" spans="1:8" ht="15" customHeight="1" x14ac:dyDescent="0.35">
      <c r="A10" s="637"/>
      <c r="B10" s="640"/>
      <c r="C10" s="637"/>
      <c r="D10" s="646"/>
      <c r="E10" s="5"/>
      <c r="F10" s="5"/>
      <c r="G10" s="5"/>
      <c r="H10" s="5"/>
    </row>
    <row r="11" spans="1:8" ht="15" customHeight="1" x14ac:dyDescent="0.35">
      <c r="A11" s="638"/>
      <c r="B11" s="641"/>
      <c r="C11" s="638"/>
      <c r="D11" s="647"/>
      <c r="E11" s="5"/>
      <c r="F11" s="5"/>
      <c r="G11" s="5"/>
      <c r="H11" s="5"/>
    </row>
    <row r="12" spans="1:8" ht="15" customHeight="1" x14ac:dyDescent="0.35">
      <c r="A12" s="636">
        <v>4</v>
      </c>
      <c r="B12" s="639" t="s">
        <v>171</v>
      </c>
      <c r="C12" s="649" t="s">
        <v>1</v>
      </c>
      <c r="D12" s="645">
        <v>28.333333333333332</v>
      </c>
      <c r="E12" s="5"/>
      <c r="F12" s="5"/>
      <c r="G12" s="5"/>
      <c r="H12" s="5"/>
    </row>
    <row r="13" spans="1:8" ht="15" customHeight="1" x14ac:dyDescent="0.35">
      <c r="A13" s="637"/>
      <c r="B13" s="640"/>
      <c r="C13" s="650"/>
      <c r="D13" s="646"/>
      <c r="E13" s="5"/>
      <c r="F13" s="5"/>
      <c r="G13" s="5"/>
      <c r="H13" s="5"/>
    </row>
    <row r="14" spans="1:8" ht="15" customHeight="1" x14ac:dyDescent="0.35">
      <c r="A14" s="638"/>
      <c r="B14" s="641"/>
      <c r="C14" s="651"/>
      <c r="D14" s="647"/>
      <c r="E14" s="5"/>
      <c r="F14" s="5"/>
      <c r="G14" s="5"/>
      <c r="H14" s="5"/>
    </row>
    <row r="15" spans="1:8" s="19" customFormat="1" ht="17.25" customHeight="1" x14ac:dyDescent="0.35">
      <c r="A15" s="636">
        <v>5</v>
      </c>
      <c r="B15" s="652" t="s">
        <v>793</v>
      </c>
      <c r="C15" s="642" t="s">
        <v>1</v>
      </c>
      <c r="D15" s="645">
        <v>306.5</v>
      </c>
      <c r="E15" s="372"/>
      <c r="F15" s="372"/>
      <c r="G15" s="372"/>
      <c r="H15" s="372"/>
    </row>
    <row r="16" spans="1:8" s="19" customFormat="1" ht="15" customHeight="1" x14ac:dyDescent="0.35">
      <c r="A16" s="637"/>
      <c r="B16" s="653"/>
      <c r="C16" s="643"/>
      <c r="D16" s="646"/>
      <c r="E16" s="372"/>
      <c r="F16" s="372"/>
      <c r="G16" s="372"/>
      <c r="H16" s="372"/>
    </row>
    <row r="17" spans="1:8" s="19" customFormat="1" ht="15" customHeight="1" x14ac:dyDescent="0.35">
      <c r="A17" s="638"/>
      <c r="B17" s="654"/>
      <c r="C17" s="644"/>
      <c r="D17" s="647"/>
      <c r="E17" s="372"/>
      <c r="F17" s="372"/>
      <c r="G17" s="372"/>
      <c r="H17" s="372"/>
    </row>
    <row r="18" spans="1:8" s="19" customFormat="1" ht="15" customHeight="1" x14ac:dyDescent="0.35">
      <c r="A18" s="636">
        <v>6</v>
      </c>
      <c r="B18" s="652" t="s">
        <v>794</v>
      </c>
      <c r="C18" s="642" t="s">
        <v>1</v>
      </c>
      <c r="D18" s="645">
        <v>343.36500000000001</v>
      </c>
      <c r="E18" s="372"/>
      <c r="F18" s="372"/>
      <c r="G18" s="372"/>
      <c r="H18" s="372"/>
    </row>
    <row r="19" spans="1:8" s="19" customFormat="1" ht="15" customHeight="1" x14ac:dyDescent="0.35">
      <c r="A19" s="637"/>
      <c r="B19" s="653"/>
      <c r="C19" s="643"/>
      <c r="D19" s="646"/>
      <c r="E19" s="372"/>
      <c r="F19" s="372"/>
      <c r="G19" s="372"/>
      <c r="H19" s="372"/>
    </row>
    <row r="20" spans="1:8" s="19" customFormat="1" ht="15" customHeight="1" x14ac:dyDescent="0.35">
      <c r="A20" s="638"/>
      <c r="B20" s="654"/>
      <c r="C20" s="644"/>
      <c r="D20" s="647"/>
      <c r="E20" s="372"/>
      <c r="F20" s="372"/>
      <c r="G20" s="372"/>
      <c r="H20" s="372"/>
    </row>
    <row r="21" spans="1:8" ht="15" customHeight="1" x14ac:dyDescent="0.35">
      <c r="A21" s="636">
        <v>7</v>
      </c>
      <c r="B21" s="639" t="s">
        <v>114</v>
      </c>
      <c r="C21" s="655" t="s">
        <v>1</v>
      </c>
      <c r="D21" s="645">
        <v>45</v>
      </c>
      <c r="E21" s="5"/>
      <c r="F21" s="5"/>
      <c r="G21" s="5"/>
      <c r="H21" s="5"/>
    </row>
    <row r="22" spans="1:8" ht="15" customHeight="1" x14ac:dyDescent="0.35">
      <c r="A22" s="637"/>
      <c r="B22" s="640"/>
      <c r="C22" s="656"/>
      <c r="D22" s="646"/>
      <c r="E22" s="5"/>
      <c r="F22" s="5"/>
      <c r="G22" s="5"/>
      <c r="H22" s="5"/>
    </row>
    <row r="23" spans="1:8" ht="15" customHeight="1" x14ac:dyDescent="0.35">
      <c r="A23" s="638"/>
      <c r="B23" s="641"/>
      <c r="C23" s="657"/>
      <c r="D23" s="647"/>
      <c r="E23" s="5"/>
      <c r="F23" s="5"/>
      <c r="G23" s="5"/>
      <c r="H23" s="5"/>
    </row>
    <row r="24" spans="1:8" ht="15" customHeight="1" x14ac:dyDescent="0.35">
      <c r="A24" s="636">
        <v>8</v>
      </c>
      <c r="B24" s="639" t="s">
        <v>4</v>
      </c>
      <c r="C24" s="655" t="s">
        <v>1</v>
      </c>
      <c r="D24" s="645">
        <v>71.666666666666671</v>
      </c>
      <c r="E24" s="5"/>
      <c r="F24" s="5"/>
      <c r="G24" s="5"/>
      <c r="H24" s="5"/>
    </row>
    <row r="25" spans="1:8" ht="15" customHeight="1" x14ac:dyDescent="0.35">
      <c r="A25" s="637"/>
      <c r="B25" s="640"/>
      <c r="C25" s="656"/>
      <c r="D25" s="646"/>
      <c r="E25" s="5"/>
      <c r="F25" s="5"/>
      <c r="G25" s="5"/>
      <c r="H25" s="5"/>
    </row>
    <row r="26" spans="1:8" ht="15" customHeight="1" x14ac:dyDescent="0.35">
      <c r="A26" s="638"/>
      <c r="B26" s="641"/>
      <c r="C26" s="657"/>
      <c r="D26" s="647"/>
      <c r="E26" s="5"/>
      <c r="F26" s="5"/>
      <c r="G26" s="5"/>
      <c r="H26" s="5"/>
    </row>
    <row r="27" spans="1:8" ht="15" customHeight="1" x14ac:dyDescent="0.35">
      <c r="A27" s="636">
        <v>9</v>
      </c>
      <c r="B27" s="639" t="s">
        <v>3</v>
      </c>
      <c r="C27" s="658" t="s">
        <v>1</v>
      </c>
      <c r="D27" s="645">
        <v>78.333333333333329</v>
      </c>
      <c r="E27" s="5"/>
      <c r="F27" s="5"/>
      <c r="G27" s="5"/>
      <c r="H27" s="5"/>
    </row>
    <row r="28" spans="1:8" ht="15" customHeight="1" x14ac:dyDescent="0.35">
      <c r="A28" s="637"/>
      <c r="B28" s="640"/>
      <c r="C28" s="659"/>
      <c r="D28" s="646"/>
      <c r="E28" s="5"/>
      <c r="F28" s="5"/>
      <c r="G28" s="5"/>
      <c r="H28" s="5"/>
    </row>
    <row r="29" spans="1:8" ht="15" customHeight="1" x14ac:dyDescent="0.35">
      <c r="A29" s="638"/>
      <c r="B29" s="641"/>
      <c r="C29" s="660"/>
      <c r="D29" s="647"/>
      <c r="E29" s="5"/>
      <c r="F29" s="5"/>
      <c r="G29" s="5"/>
      <c r="H29" s="5"/>
    </row>
    <row r="30" spans="1:8" ht="15" customHeight="1" x14ac:dyDescent="0.35">
      <c r="A30" s="636">
        <v>10</v>
      </c>
      <c r="B30" s="639" t="s">
        <v>2</v>
      </c>
      <c r="C30" s="655" t="s">
        <v>1</v>
      </c>
      <c r="D30" s="645">
        <v>68.333333333333329</v>
      </c>
      <c r="E30" s="5"/>
      <c r="F30" s="5"/>
      <c r="G30" s="5"/>
      <c r="H30" s="5"/>
    </row>
    <row r="31" spans="1:8" ht="15" customHeight="1" x14ac:dyDescent="0.35">
      <c r="A31" s="637"/>
      <c r="B31" s="640"/>
      <c r="C31" s="656"/>
      <c r="D31" s="646"/>
      <c r="E31" s="5"/>
      <c r="F31" s="5"/>
      <c r="G31" s="5"/>
      <c r="H31" s="5"/>
    </row>
    <row r="32" spans="1:8" ht="15" customHeight="1" x14ac:dyDescent="0.35">
      <c r="A32" s="638"/>
      <c r="B32" s="641"/>
      <c r="C32" s="657"/>
      <c r="D32" s="647"/>
      <c r="E32" s="5"/>
      <c r="F32" s="5"/>
      <c r="G32" s="5"/>
      <c r="H32" s="5"/>
    </row>
  </sheetData>
  <mergeCells count="41">
    <mergeCell ref="A27:A29"/>
    <mergeCell ref="B27:B29"/>
    <mergeCell ref="C27:C29"/>
    <mergeCell ref="D27:D29"/>
    <mergeCell ref="A30:A32"/>
    <mergeCell ref="B30:B32"/>
    <mergeCell ref="C30:C32"/>
    <mergeCell ref="D30:D32"/>
    <mergeCell ref="A21:A23"/>
    <mergeCell ref="B21:B23"/>
    <mergeCell ref="C21:C23"/>
    <mergeCell ref="D21:D23"/>
    <mergeCell ref="A24:A26"/>
    <mergeCell ref="B24:B26"/>
    <mergeCell ref="C24:C26"/>
    <mergeCell ref="D24:D26"/>
    <mergeCell ref="A15:A17"/>
    <mergeCell ref="B15:B17"/>
    <mergeCell ref="C15:C17"/>
    <mergeCell ref="D15:D17"/>
    <mergeCell ref="A18:A20"/>
    <mergeCell ref="B18:B20"/>
    <mergeCell ref="C18:C20"/>
    <mergeCell ref="D18:D20"/>
    <mergeCell ref="A12:A14"/>
    <mergeCell ref="B12:B14"/>
    <mergeCell ref="C12:C14"/>
    <mergeCell ref="D12:D14"/>
    <mergeCell ref="A9:A11"/>
    <mergeCell ref="B9:B11"/>
    <mergeCell ref="C9:C11"/>
    <mergeCell ref="D9:D11"/>
    <mergeCell ref="A6:A8"/>
    <mergeCell ref="B6:B8"/>
    <mergeCell ref="C6:C8"/>
    <mergeCell ref="D6:D8"/>
    <mergeCell ref="A1:D1"/>
    <mergeCell ref="A3:A5"/>
    <mergeCell ref="B3:B5"/>
    <mergeCell ref="C3:C5"/>
    <mergeCell ref="D3:D5"/>
  </mergeCells>
  <pageMargins left="1.1023622047244095" right="0.51181102362204722" top="0.78740157480314965" bottom="0.78740157480314965" header="0.31496062992125984" footer="0.31496062992125984"/>
  <pageSetup paperSize="9" scale="90" orientation="landscape" r:id="rId1"/>
  <headerFooter>
    <oddHeader>&amp;C27</oddHeader>
    <oddFooter>&amp;C27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0"/>
  <sheetViews>
    <sheetView zoomScaleNormal="100" workbookViewId="0">
      <selection activeCell="H15" sqref="H15"/>
    </sheetView>
  </sheetViews>
  <sheetFormatPr defaultColWidth="9.1796875" defaultRowHeight="12.5" x14ac:dyDescent="0.25"/>
  <cols>
    <col min="1" max="1" width="12.7265625" style="75" customWidth="1"/>
    <col min="2" max="2" width="23.1796875" style="75" customWidth="1"/>
    <col min="3" max="3" width="18.7265625" style="75" bestFit="1" customWidth="1"/>
    <col min="4" max="4" width="15.26953125" style="75" customWidth="1"/>
    <col min="5" max="5" width="12.1796875" style="75" bestFit="1" customWidth="1"/>
    <col min="6" max="6" width="14.81640625" style="75" customWidth="1"/>
    <col min="7" max="7" width="12.1796875" style="75" bestFit="1" customWidth="1"/>
    <col min="8" max="8" width="31.1796875" style="75" customWidth="1"/>
    <col min="9" max="9" width="62.453125" style="75" bestFit="1" customWidth="1"/>
    <col min="10" max="16384" width="9.1796875" style="75"/>
  </cols>
  <sheetData>
    <row r="1" spans="1:10" ht="15.5" x14ac:dyDescent="0.35">
      <c r="A1" s="483" t="s">
        <v>1045</v>
      </c>
      <c r="B1" s="483"/>
      <c r="C1" s="483"/>
      <c r="D1" s="483"/>
      <c r="E1" s="483"/>
      <c r="F1" s="483"/>
    </row>
    <row r="2" spans="1:10" ht="16.5" hidden="1" customHeight="1" x14ac:dyDescent="0.25">
      <c r="A2" s="50" t="s">
        <v>967</v>
      </c>
      <c r="B2" s="51"/>
      <c r="C2" s="50" t="s">
        <v>968</v>
      </c>
      <c r="D2" s="50"/>
      <c r="E2" s="52" t="s">
        <v>969</v>
      </c>
      <c r="F2" s="52"/>
    </row>
    <row r="3" spans="1:10" ht="17.25" hidden="1" customHeight="1" x14ac:dyDescent="0.25">
      <c r="A3" s="484" t="s">
        <v>970</v>
      </c>
      <c r="B3" s="484"/>
      <c r="C3" s="484"/>
      <c r="D3" s="484"/>
      <c r="E3" s="484"/>
      <c r="F3" s="484"/>
    </row>
    <row r="4" spans="1:10" ht="34.5" hidden="1" customHeight="1" x14ac:dyDescent="0.25">
      <c r="A4" s="472" t="s">
        <v>971</v>
      </c>
      <c r="B4" s="472"/>
      <c r="C4" s="53"/>
      <c r="D4" s="472" t="s">
        <v>972</v>
      </c>
      <c r="E4" s="472"/>
      <c r="F4" s="73"/>
    </row>
    <row r="5" spans="1:10" ht="48.75" hidden="1" customHeight="1" x14ac:dyDescent="0.25">
      <c r="A5" s="472" t="s">
        <v>973</v>
      </c>
      <c r="B5" s="472"/>
      <c r="C5" s="54"/>
      <c r="D5" s="472" t="s">
        <v>974</v>
      </c>
      <c r="E5" s="472"/>
      <c r="F5" s="73"/>
    </row>
    <row r="6" spans="1:10" ht="36.75" hidden="1" customHeight="1" x14ac:dyDescent="0.25">
      <c r="A6" s="472" t="s">
        <v>975</v>
      </c>
      <c r="B6" s="472"/>
      <c r="C6" s="55"/>
      <c r="D6" s="472" t="s">
        <v>976</v>
      </c>
      <c r="E6" s="472"/>
      <c r="F6" s="56" t="s">
        <v>164</v>
      </c>
    </row>
    <row r="7" spans="1:10" ht="41.25" hidden="1" customHeight="1" x14ac:dyDescent="0.25">
      <c r="A7" s="472" t="s">
        <v>977</v>
      </c>
      <c r="B7" s="472"/>
      <c r="C7" s="54"/>
      <c r="D7" s="472" t="s">
        <v>978</v>
      </c>
      <c r="E7" s="472"/>
      <c r="F7" s="57">
        <v>1156.0899999999999</v>
      </c>
    </row>
    <row r="8" spans="1:10" ht="41.25" hidden="1" customHeight="1" x14ac:dyDescent="0.25">
      <c r="A8" s="472" t="s">
        <v>979</v>
      </c>
      <c r="B8" s="472"/>
      <c r="C8" s="54"/>
      <c r="D8" s="472" t="s">
        <v>980</v>
      </c>
      <c r="E8" s="472"/>
      <c r="F8" s="57" t="s">
        <v>164</v>
      </c>
    </row>
    <row r="9" spans="1:10" ht="14.25" customHeight="1" x14ac:dyDescent="0.25">
      <c r="A9" s="487"/>
      <c r="B9" s="488"/>
      <c r="C9" s="488"/>
      <c r="D9" s="488"/>
      <c r="E9" s="488"/>
      <c r="F9" s="488"/>
    </row>
    <row r="10" spans="1:10" ht="15.5" hidden="1" x14ac:dyDescent="0.25">
      <c r="A10" s="489" t="s">
        <v>981</v>
      </c>
      <c r="B10" s="489"/>
      <c r="C10" s="489"/>
      <c r="D10" s="489"/>
      <c r="E10" s="489"/>
      <c r="F10" s="489"/>
    </row>
    <row r="11" spans="1:10" ht="26" hidden="1" x14ac:dyDescent="0.25">
      <c r="A11" s="54" t="s">
        <v>982</v>
      </c>
      <c r="B11" s="55"/>
      <c r="C11" s="54" t="s">
        <v>983</v>
      </c>
      <c r="D11" s="55"/>
      <c r="E11" s="54" t="s">
        <v>984</v>
      </c>
      <c r="F11" s="54"/>
    </row>
    <row r="12" spans="1:10" ht="13" hidden="1" x14ac:dyDescent="0.25">
      <c r="A12" s="58"/>
      <c r="B12" s="59"/>
      <c r="C12" s="58"/>
      <c r="D12" s="59"/>
      <c r="E12" s="58"/>
      <c r="F12" s="58"/>
    </row>
    <row r="13" spans="1:10" ht="15.5" x14ac:dyDescent="0.25">
      <c r="A13" s="490" t="s">
        <v>985</v>
      </c>
      <c r="B13" s="491"/>
      <c r="C13" s="491"/>
      <c r="D13" s="491"/>
      <c r="E13" s="491"/>
      <c r="F13" s="492"/>
      <c r="J13" s="75" t="s">
        <v>164</v>
      </c>
    </row>
    <row r="14" spans="1:10" ht="12.75" customHeight="1" x14ac:dyDescent="0.25">
      <c r="A14" s="418">
        <v>1</v>
      </c>
      <c r="B14" s="477" t="s">
        <v>726</v>
      </c>
      <c r="C14" s="478"/>
      <c r="D14" s="478"/>
      <c r="E14" s="479"/>
      <c r="F14" s="418" t="s">
        <v>727</v>
      </c>
    </row>
    <row r="15" spans="1:10" ht="12.75" customHeight="1" x14ac:dyDescent="0.25">
      <c r="A15" s="72" t="s">
        <v>684</v>
      </c>
      <c r="B15" s="473" t="s">
        <v>704</v>
      </c>
      <c r="C15" s="474"/>
      <c r="D15" s="475"/>
      <c r="E15" s="476"/>
      <c r="F15" s="140">
        <v>1207.5</v>
      </c>
    </row>
    <row r="16" spans="1:10" ht="12.75" customHeight="1" x14ac:dyDescent="0.25">
      <c r="A16" s="72" t="s">
        <v>690</v>
      </c>
      <c r="B16" s="473" t="s">
        <v>728</v>
      </c>
      <c r="C16" s="474"/>
      <c r="D16" s="485"/>
      <c r="E16" s="486"/>
      <c r="F16" s="140">
        <f>D16*F15</f>
        <v>0</v>
      </c>
    </row>
    <row r="17" spans="1:8" x14ac:dyDescent="0.25">
      <c r="A17" s="72" t="s">
        <v>705</v>
      </c>
      <c r="B17" s="473" t="s">
        <v>986</v>
      </c>
      <c r="C17" s="474"/>
      <c r="D17" s="475"/>
      <c r="E17" s="476"/>
      <c r="F17" s="140"/>
    </row>
    <row r="18" spans="1:8" x14ac:dyDescent="0.25">
      <c r="A18" s="72" t="s">
        <v>706</v>
      </c>
      <c r="B18" s="473" t="s">
        <v>730</v>
      </c>
      <c r="C18" s="474"/>
      <c r="D18" s="475"/>
      <c r="E18" s="476"/>
      <c r="F18" s="140"/>
    </row>
    <row r="19" spans="1:8" x14ac:dyDescent="0.25">
      <c r="A19" s="72" t="s">
        <v>707</v>
      </c>
      <c r="B19" s="473" t="s">
        <v>987</v>
      </c>
      <c r="C19" s="474"/>
      <c r="D19" s="475"/>
      <c r="E19" s="476"/>
      <c r="F19" s="140"/>
    </row>
    <row r="20" spans="1:8" x14ac:dyDescent="0.25">
      <c r="A20" s="72" t="s">
        <v>708</v>
      </c>
      <c r="B20" s="473" t="s">
        <v>988</v>
      </c>
      <c r="C20" s="474"/>
      <c r="D20" s="475"/>
      <c r="E20" s="476"/>
      <c r="F20" s="140"/>
    </row>
    <row r="21" spans="1:8" x14ac:dyDescent="0.25">
      <c r="A21" s="72" t="s">
        <v>716</v>
      </c>
      <c r="B21" s="473" t="s">
        <v>732</v>
      </c>
      <c r="C21" s="474"/>
      <c r="D21" s="475"/>
      <c r="E21" s="476"/>
      <c r="F21" s="140" t="s">
        <v>164</v>
      </c>
    </row>
    <row r="22" spans="1:8" ht="13" x14ac:dyDescent="0.25">
      <c r="A22" s="477" t="s">
        <v>18</v>
      </c>
      <c r="B22" s="478"/>
      <c r="C22" s="478"/>
      <c r="D22" s="478"/>
      <c r="E22" s="479"/>
      <c r="F22" s="106">
        <f>SUM(F15:F21)</f>
        <v>1207.5</v>
      </c>
    </row>
    <row r="23" spans="1:8" ht="13" x14ac:dyDescent="0.25">
      <c r="A23" s="60"/>
      <c r="B23" s="61"/>
      <c r="C23" s="61"/>
      <c r="D23" s="61"/>
      <c r="E23" s="61"/>
      <c r="F23" s="70"/>
    </row>
    <row r="24" spans="1:8" ht="15.5" x14ac:dyDescent="0.25">
      <c r="A24" s="480" t="s">
        <v>989</v>
      </c>
      <c r="B24" s="481"/>
      <c r="C24" s="481"/>
      <c r="D24" s="481"/>
      <c r="E24" s="481"/>
      <c r="F24" s="482"/>
    </row>
    <row r="25" spans="1:8" ht="13" x14ac:dyDescent="0.25">
      <c r="A25" s="477" t="s">
        <v>990</v>
      </c>
      <c r="B25" s="478"/>
      <c r="C25" s="478"/>
      <c r="D25" s="478"/>
      <c r="E25" s="478"/>
      <c r="F25" s="478"/>
    </row>
    <row r="26" spans="1:8" ht="13" x14ac:dyDescent="0.25">
      <c r="A26" s="71" t="s">
        <v>248</v>
      </c>
      <c r="B26" s="477" t="s">
        <v>991</v>
      </c>
      <c r="C26" s="478"/>
      <c r="D26" s="478"/>
      <c r="E26" s="479"/>
      <c r="F26" s="157" t="s">
        <v>727</v>
      </c>
    </row>
    <row r="27" spans="1:8" x14ac:dyDescent="0.25">
      <c r="A27" s="72" t="s">
        <v>992</v>
      </c>
      <c r="B27" s="473" t="s">
        <v>993</v>
      </c>
      <c r="C27" s="474"/>
      <c r="D27" s="474"/>
      <c r="E27" s="143">
        <f>(1/12)*1</f>
        <v>8.3333333333333329E-2</v>
      </c>
      <c r="F27" s="144">
        <f>ROUND($E$27*F22,2)</f>
        <v>100.63</v>
      </c>
      <c r="G27" s="76"/>
      <c r="H27" s="76"/>
    </row>
    <row r="28" spans="1:8" ht="12.75" customHeight="1" x14ac:dyDescent="0.25">
      <c r="A28" s="72" t="s">
        <v>690</v>
      </c>
      <c r="B28" s="473" t="s">
        <v>994</v>
      </c>
      <c r="C28" s="474"/>
      <c r="D28" s="474"/>
      <c r="E28" s="143">
        <v>0.121</v>
      </c>
      <c r="F28" s="144">
        <f>E28*F22</f>
        <v>146.10749999999999</v>
      </c>
      <c r="G28" s="76"/>
      <c r="H28" s="76"/>
    </row>
    <row r="29" spans="1:8" ht="13" x14ac:dyDescent="0.25">
      <c r="A29" s="477" t="s">
        <v>18</v>
      </c>
      <c r="B29" s="478"/>
      <c r="C29" s="478"/>
      <c r="D29" s="478"/>
      <c r="E29" s="479"/>
      <c r="F29" s="106">
        <f>SUM(F23:F28)</f>
        <v>246.73749999999998</v>
      </c>
      <c r="H29" s="76"/>
    </row>
    <row r="30" spans="1:8" s="79" customFormat="1" ht="13" x14ac:dyDescent="0.25">
      <c r="A30" s="68"/>
      <c r="B30" s="69"/>
      <c r="C30" s="69"/>
      <c r="D30" s="69"/>
      <c r="E30" s="69"/>
      <c r="F30" s="77"/>
      <c r="G30" s="78"/>
    </row>
    <row r="31" spans="1:8" ht="13" x14ac:dyDescent="0.25">
      <c r="A31" s="477" t="s">
        <v>995</v>
      </c>
      <c r="B31" s="478"/>
      <c r="C31" s="478"/>
      <c r="D31" s="478"/>
      <c r="E31" s="478"/>
      <c r="F31" s="479"/>
    </row>
    <row r="32" spans="1:8" ht="13" x14ac:dyDescent="0.25">
      <c r="A32" s="71" t="s">
        <v>250</v>
      </c>
      <c r="B32" s="494" t="s">
        <v>996</v>
      </c>
      <c r="C32" s="494"/>
      <c r="D32" s="494"/>
      <c r="E32" s="71" t="s">
        <v>185</v>
      </c>
      <c r="F32" s="157" t="s">
        <v>727</v>
      </c>
      <c r="G32" s="80"/>
      <c r="H32" s="80"/>
    </row>
    <row r="33" spans="1:10" ht="13" x14ac:dyDescent="0.25">
      <c r="A33" s="71"/>
      <c r="B33" s="477" t="s">
        <v>1049</v>
      </c>
      <c r="C33" s="478"/>
      <c r="D33" s="479"/>
      <c r="E33" s="71"/>
      <c r="F33" s="146">
        <f>F22+F29</f>
        <v>1454.2375</v>
      </c>
      <c r="G33" s="80"/>
      <c r="H33" s="80"/>
    </row>
    <row r="34" spans="1:10" x14ac:dyDescent="0.25">
      <c r="A34" s="72" t="s">
        <v>684</v>
      </c>
      <c r="B34" s="493" t="s">
        <v>710</v>
      </c>
      <c r="C34" s="493"/>
      <c r="D34" s="493"/>
      <c r="E34" s="62">
        <v>0.2</v>
      </c>
      <c r="F34" s="103">
        <f>F33*E34</f>
        <v>290.84750000000003</v>
      </c>
    </row>
    <row r="35" spans="1:10" ht="16.5" customHeight="1" x14ac:dyDescent="0.25">
      <c r="A35" s="72" t="s">
        <v>690</v>
      </c>
      <c r="B35" s="493" t="s">
        <v>714</v>
      </c>
      <c r="C35" s="493"/>
      <c r="D35" s="493"/>
      <c r="E35" s="62">
        <v>2.5000000000000001E-2</v>
      </c>
      <c r="F35" s="103">
        <f>F33*E35</f>
        <v>36.355937500000003</v>
      </c>
    </row>
    <row r="36" spans="1:10" ht="15" customHeight="1" x14ac:dyDescent="0.25">
      <c r="A36" s="72" t="s">
        <v>705</v>
      </c>
      <c r="B36" s="493" t="s">
        <v>997</v>
      </c>
      <c r="C36" s="493"/>
      <c r="D36" s="493"/>
      <c r="E36" s="62">
        <v>0.03</v>
      </c>
      <c r="F36" s="103">
        <f>F33*E36</f>
        <v>43.627124999999999</v>
      </c>
    </row>
    <row r="37" spans="1:10" x14ac:dyDescent="0.25">
      <c r="A37" s="72" t="s">
        <v>706</v>
      </c>
      <c r="B37" s="493" t="s">
        <v>711</v>
      </c>
      <c r="C37" s="493"/>
      <c r="D37" s="493"/>
      <c r="E37" s="62">
        <v>1.4999999999999999E-2</v>
      </c>
      <c r="F37" s="103">
        <f>F33*E37</f>
        <v>21.8135625</v>
      </c>
    </row>
    <row r="38" spans="1:10" x14ac:dyDescent="0.25">
      <c r="A38" s="72" t="s">
        <v>707</v>
      </c>
      <c r="B38" s="493" t="s">
        <v>712</v>
      </c>
      <c r="C38" s="493"/>
      <c r="D38" s="493"/>
      <c r="E38" s="62">
        <v>0.01</v>
      </c>
      <c r="F38" s="103">
        <f>F33*E38</f>
        <v>14.542375</v>
      </c>
      <c r="J38" s="75" t="s">
        <v>164</v>
      </c>
    </row>
    <row r="39" spans="1:10" x14ac:dyDescent="0.25">
      <c r="A39" s="72" t="s">
        <v>708</v>
      </c>
      <c r="B39" s="493" t="s">
        <v>717</v>
      </c>
      <c r="C39" s="493"/>
      <c r="D39" s="493"/>
      <c r="E39" s="62">
        <v>6.0000000000000001E-3</v>
      </c>
      <c r="F39" s="103">
        <f>F33*E39</f>
        <v>8.7254249999999995</v>
      </c>
    </row>
    <row r="40" spans="1:10" x14ac:dyDescent="0.25">
      <c r="A40" s="72" t="s">
        <v>716</v>
      </c>
      <c r="B40" s="493" t="s">
        <v>713</v>
      </c>
      <c r="C40" s="493"/>
      <c r="D40" s="493"/>
      <c r="E40" s="62">
        <v>2E-3</v>
      </c>
      <c r="F40" s="103">
        <f>F33*E40</f>
        <v>2.9084750000000001</v>
      </c>
    </row>
    <row r="41" spans="1:10" x14ac:dyDescent="0.25">
      <c r="A41" s="72" t="s">
        <v>38</v>
      </c>
      <c r="B41" s="493" t="s">
        <v>715</v>
      </c>
      <c r="C41" s="493"/>
      <c r="D41" s="493"/>
      <c r="E41" s="62">
        <v>0.08</v>
      </c>
      <c r="F41" s="103">
        <f>F33*E41</f>
        <v>116.339</v>
      </c>
    </row>
    <row r="42" spans="1:10" ht="13" x14ac:dyDescent="0.25">
      <c r="A42" s="494" t="s">
        <v>18</v>
      </c>
      <c r="B42" s="494"/>
      <c r="C42" s="494"/>
      <c r="D42" s="494"/>
      <c r="E42" s="92">
        <f>SUM(E34:E41)</f>
        <v>0.36800000000000005</v>
      </c>
      <c r="F42" s="106">
        <f>SUM(F34:F41)</f>
        <v>535.15940000000001</v>
      </c>
    </row>
    <row r="43" spans="1:10" ht="27.75" customHeight="1" x14ac:dyDescent="0.25">
      <c r="A43" s="496" t="s">
        <v>998</v>
      </c>
      <c r="B43" s="497"/>
      <c r="C43" s="497"/>
      <c r="D43" s="497"/>
      <c r="E43" s="497"/>
      <c r="F43" s="498"/>
    </row>
    <row r="44" spans="1:10" ht="25.5" customHeight="1" x14ac:dyDescent="0.25">
      <c r="A44" s="496" t="s">
        <v>999</v>
      </c>
      <c r="B44" s="497"/>
      <c r="C44" s="497"/>
      <c r="D44" s="497"/>
      <c r="E44" s="497"/>
      <c r="F44" s="498"/>
    </row>
    <row r="45" spans="1:10" x14ac:dyDescent="0.25">
      <c r="A45" s="496" t="s">
        <v>1000</v>
      </c>
      <c r="B45" s="497"/>
      <c r="C45" s="497"/>
      <c r="D45" s="497"/>
      <c r="E45" s="497"/>
      <c r="F45" s="498"/>
    </row>
    <row r="46" spans="1:10" ht="12.75" customHeight="1" x14ac:dyDescent="0.25">
      <c r="A46" s="96"/>
      <c r="B46" s="499"/>
      <c r="C46" s="475"/>
      <c r="D46" s="475"/>
      <c r="E46" s="476"/>
      <c r="F46" s="96"/>
    </row>
    <row r="47" spans="1:10" ht="28.5" customHeight="1" x14ac:dyDescent="0.25">
      <c r="A47" s="477" t="s">
        <v>1001</v>
      </c>
      <c r="B47" s="478"/>
      <c r="C47" s="478"/>
      <c r="D47" s="478"/>
      <c r="E47" s="478"/>
      <c r="F47" s="479"/>
    </row>
    <row r="48" spans="1:10" s="107" customFormat="1" ht="12.75" customHeight="1" x14ac:dyDescent="0.25">
      <c r="A48" s="418" t="s">
        <v>252</v>
      </c>
      <c r="B48" s="477" t="s">
        <v>731</v>
      </c>
      <c r="C48" s="478"/>
      <c r="D48" s="478"/>
      <c r="E48" s="479"/>
      <c r="F48" s="418" t="s">
        <v>727</v>
      </c>
    </row>
    <row r="49" spans="1:10" s="107" customFormat="1" x14ac:dyDescent="0.25">
      <c r="A49" s="72" t="s">
        <v>684</v>
      </c>
      <c r="B49" s="473" t="s">
        <v>1050</v>
      </c>
      <c r="C49" s="474"/>
      <c r="D49" s="63">
        <v>3.75</v>
      </c>
      <c r="E49" s="64"/>
      <c r="F49" s="65">
        <f>(D49*2*22)-(6%*F15)</f>
        <v>92.55</v>
      </c>
      <c r="I49" s="428"/>
      <c r="J49" s="428"/>
    </row>
    <row r="50" spans="1:10" s="107" customFormat="1" ht="33.75" customHeight="1" x14ac:dyDescent="0.25">
      <c r="A50" s="100" t="s">
        <v>690</v>
      </c>
      <c r="B50" s="473" t="s">
        <v>1051</v>
      </c>
      <c r="C50" s="474"/>
      <c r="D50" s="63">
        <f>5.83+9.32</f>
        <v>15.15</v>
      </c>
      <c r="E50" s="419"/>
      <c r="F50" s="429">
        <f>D50*22</f>
        <v>333.3</v>
      </c>
    </row>
    <row r="51" spans="1:10" s="107" customFormat="1" ht="12.75" customHeight="1" x14ac:dyDescent="0.25">
      <c r="A51" s="100" t="s">
        <v>705</v>
      </c>
      <c r="B51" s="493" t="s">
        <v>1002</v>
      </c>
      <c r="C51" s="493"/>
      <c r="D51" s="495"/>
      <c r="E51" s="495"/>
      <c r="F51" s="63">
        <v>0</v>
      </c>
    </row>
    <row r="52" spans="1:10" s="107" customFormat="1" ht="13" x14ac:dyDescent="0.3">
      <c r="A52" s="100" t="s">
        <v>706</v>
      </c>
      <c r="B52" s="493" t="s">
        <v>1048</v>
      </c>
      <c r="C52" s="493"/>
      <c r="D52" s="495"/>
      <c r="E52" s="495"/>
      <c r="F52" s="431">
        <f>ROUND(((50000*0.006)/12),2)</f>
        <v>25</v>
      </c>
    </row>
    <row r="53" spans="1:10" s="107" customFormat="1" ht="15" customHeight="1" x14ac:dyDescent="0.25">
      <c r="A53" s="477" t="s">
        <v>18</v>
      </c>
      <c r="B53" s="478"/>
      <c r="C53" s="478"/>
      <c r="D53" s="478"/>
      <c r="E53" s="479"/>
      <c r="F53" s="109">
        <f>SUM(F49:F52)</f>
        <v>450.85</v>
      </c>
      <c r="G53" s="428"/>
    </row>
    <row r="54" spans="1:10" s="107" customFormat="1" ht="29.25" customHeight="1" x14ac:dyDescent="0.25">
      <c r="A54" s="496" t="s">
        <v>1003</v>
      </c>
      <c r="B54" s="497"/>
      <c r="C54" s="497"/>
      <c r="D54" s="497"/>
      <c r="E54" s="497"/>
      <c r="F54" s="498"/>
    </row>
    <row r="55" spans="1:10" ht="29.25" customHeight="1" x14ac:dyDescent="0.25">
      <c r="A55" s="496" t="s">
        <v>1004</v>
      </c>
      <c r="B55" s="497"/>
      <c r="C55" s="497"/>
      <c r="D55" s="497"/>
      <c r="E55" s="497"/>
      <c r="F55" s="498"/>
    </row>
    <row r="56" spans="1:10" ht="15" customHeight="1" x14ac:dyDescent="0.25">
      <c r="A56" s="97"/>
      <c r="B56" s="98"/>
      <c r="C56" s="98"/>
      <c r="D56" s="98"/>
      <c r="E56" s="98"/>
      <c r="F56" s="99"/>
    </row>
    <row r="57" spans="1:10" ht="28.5" customHeight="1" x14ac:dyDescent="0.25">
      <c r="A57" s="477" t="s">
        <v>1005</v>
      </c>
      <c r="B57" s="478"/>
      <c r="C57" s="478"/>
      <c r="D57" s="478"/>
      <c r="E57" s="478"/>
      <c r="F57" s="479"/>
    </row>
    <row r="58" spans="1:10" ht="12.75" customHeight="1" x14ac:dyDescent="0.25">
      <c r="A58" s="71">
        <v>2</v>
      </c>
      <c r="B58" s="477" t="s">
        <v>1006</v>
      </c>
      <c r="C58" s="478"/>
      <c r="D58" s="478"/>
      <c r="E58" s="479"/>
      <c r="F58" s="157" t="s">
        <v>727</v>
      </c>
    </row>
    <row r="59" spans="1:10" ht="16.5" customHeight="1" x14ac:dyDescent="0.25">
      <c r="A59" s="100" t="s">
        <v>248</v>
      </c>
      <c r="B59" s="500" t="s">
        <v>990</v>
      </c>
      <c r="C59" s="500"/>
      <c r="D59" s="500"/>
      <c r="E59" s="500"/>
      <c r="F59" s="147">
        <f>F29</f>
        <v>246.73749999999998</v>
      </c>
    </row>
    <row r="60" spans="1:10" ht="24" customHeight="1" x14ac:dyDescent="0.25">
      <c r="A60" s="100" t="s">
        <v>250</v>
      </c>
      <c r="B60" s="500" t="s">
        <v>995</v>
      </c>
      <c r="C60" s="500"/>
      <c r="D60" s="500"/>
      <c r="E60" s="500"/>
      <c r="F60" s="147">
        <f>F42</f>
        <v>535.15940000000001</v>
      </c>
    </row>
    <row r="61" spans="1:10" ht="15.75" customHeight="1" x14ac:dyDescent="0.25">
      <c r="A61" s="100" t="s">
        <v>252</v>
      </c>
      <c r="B61" s="500" t="s">
        <v>1001</v>
      </c>
      <c r="C61" s="500"/>
      <c r="D61" s="500"/>
      <c r="E61" s="500"/>
      <c r="F61" s="147">
        <f>F53</f>
        <v>450.85</v>
      </c>
    </row>
    <row r="62" spans="1:10" ht="15" customHeight="1" x14ac:dyDescent="0.25">
      <c r="A62" s="477" t="s">
        <v>18</v>
      </c>
      <c r="B62" s="478"/>
      <c r="C62" s="478"/>
      <c r="D62" s="478"/>
      <c r="E62" s="479"/>
      <c r="F62" s="109">
        <f>SUM(F56:F61)</f>
        <v>1232.7469000000001</v>
      </c>
    </row>
    <row r="63" spans="1:10" s="79" customFormat="1" ht="15" customHeight="1" x14ac:dyDescent="0.25">
      <c r="A63" s="68"/>
      <c r="B63" s="69"/>
      <c r="C63" s="69"/>
      <c r="D63" s="69"/>
      <c r="E63" s="69"/>
      <c r="F63" s="81"/>
    </row>
    <row r="64" spans="1:10" ht="15.5" x14ac:dyDescent="0.25">
      <c r="A64" s="490" t="s">
        <v>1007</v>
      </c>
      <c r="B64" s="491"/>
      <c r="C64" s="491"/>
      <c r="D64" s="491"/>
      <c r="E64" s="491"/>
      <c r="F64" s="492"/>
    </row>
    <row r="65" spans="1:9" s="107" customFormat="1" ht="13" x14ac:dyDescent="0.25">
      <c r="A65" s="440" t="s">
        <v>382</v>
      </c>
      <c r="B65" s="494" t="s">
        <v>1008</v>
      </c>
      <c r="C65" s="494"/>
      <c r="D65" s="494"/>
      <c r="E65" s="440"/>
      <c r="F65" s="440" t="s">
        <v>727</v>
      </c>
    </row>
    <row r="66" spans="1:9" s="107" customFormat="1" ht="26.25" customHeight="1" x14ac:dyDescent="0.25">
      <c r="A66" s="441" t="s">
        <v>684</v>
      </c>
      <c r="B66" s="499" t="s">
        <v>1122</v>
      </c>
      <c r="C66" s="475"/>
      <c r="D66" s="144"/>
      <c r="E66" s="101">
        <v>4.1999999999999997E-3</v>
      </c>
      <c r="F66" s="103">
        <f>E66*F22</f>
        <v>5.0714999999999995</v>
      </c>
      <c r="G66" s="447"/>
      <c r="H66" s="453" t="s">
        <v>1124</v>
      </c>
      <c r="I66" s="453" t="s">
        <v>1125</v>
      </c>
    </row>
    <row r="67" spans="1:9" s="107" customFormat="1" ht="33" customHeight="1" x14ac:dyDescent="0.25">
      <c r="A67" s="441" t="s">
        <v>690</v>
      </c>
      <c r="B67" s="499" t="s">
        <v>1119</v>
      </c>
      <c r="C67" s="475"/>
      <c r="D67" s="149"/>
      <c r="E67" s="446">
        <f>E66*E41</f>
        <v>3.3599999999999998E-4</v>
      </c>
      <c r="F67" s="103">
        <f>E67*F22</f>
        <v>0.40571999999999997</v>
      </c>
      <c r="H67" s="453" t="s">
        <v>1126</v>
      </c>
      <c r="I67" s="453" t="s">
        <v>1127</v>
      </c>
    </row>
    <row r="68" spans="1:9" s="107" customFormat="1" ht="14.25" customHeight="1" x14ac:dyDescent="0.25">
      <c r="A68" s="441" t="s">
        <v>705</v>
      </c>
      <c r="B68" s="499"/>
      <c r="C68" s="476"/>
      <c r="D68" s="144"/>
      <c r="E68" s="102"/>
      <c r="F68" s="103"/>
      <c r="H68" s="453" t="s">
        <v>1128</v>
      </c>
      <c r="I68" s="453" t="s">
        <v>1129</v>
      </c>
    </row>
    <row r="69" spans="1:9" s="107" customFormat="1" ht="15.75" customHeight="1" x14ac:dyDescent="0.25">
      <c r="A69" s="441" t="s">
        <v>706</v>
      </c>
      <c r="B69" s="499" t="s">
        <v>1123</v>
      </c>
      <c r="C69" s="475"/>
      <c r="D69" s="144"/>
      <c r="E69" s="101">
        <v>1.9400000000000001E-2</v>
      </c>
      <c r="F69" s="103">
        <f>E69*F22</f>
        <v>23.4255</v>
      </c>
      <c r="G69" s="428" t="s">
        <v>164</v>
      </c>
      <c r="H69" s="453" t="s">
        <v>1130</v>
      </c>
      <c r="I69" s="228"/>
    </row>
    <row r="70" spans="1:9" s="107" customFormat="1" ht="32.25" customHeight="1" x14ac:dyDescent="0.25">
      <c r="A70" s="441" t="s">
        <v>707</v>
      </c>
      <c r="B70" s="499" t="s">
        <v>1120</v>
      </c>
      <c r="C70" s="475"/>
      <c r="D70" s="96"/>
      <c r="E70" s="102">
        <f>E42*E69</f>
        <v>7.1392000000000009E-3</v>
      </c>
      <c r="F70" s="103">
        <f>E70*F22</f>
        <v>8.6205840000000009</v>
      </c>
      <c r="H70" s="453"/>
      <c r="I70" s="454"/>
    </row>
    <row r="71" spans="1:9" s="107" customFormat="1" ht="25.5" customHeight="1" x14ac:dyDescent="0.25">
      <c r="A71" s="441" t="s">
        <v>708</v>
      </c>
      <c r="B71" s="499" t="s">
        <v>1121</v>
      </c>
      <c r="C71" s="475"/>
      <c r="D71" s="144"/>
      <c r="E71" s="102">
        <v>0.04</v>
      </c>
      <c r="F71" s="103">
        <f>E71*F22</f>
        <v>48.300000000000004</v>
      </c>
      <c r="G71" s="455"/>
      <c r="H71" s="453" t="s">
        <v>1131</v>
      </c>
      <c r="I71" s="454" t="s">
        <v>1132</v>
      </c>
    </row>
    <row r="72" spans="1:9" s="107" customFormat="1" ht="13" x14ac:dyDescent="0.25">
      <c r="A72" s="477" t="s">
        <v>18</v>
      </c>
      <c r="B72" s="478"/>
      <c r="C72" s="478"/>
      <c r="D72" s="478"/>
      <c r="E72" s="105">
        <f>SUM(E66:E71)</f>
        <v>7.1075200000000005E-2</v>
      </c>
      <c r="F72" s="106">
        <f>SUM(F66:F71)</f>
        <v>85.823304000000007</v>
      </c>
      <c r="G72" s="447"/>
    </row>
    <row r="73" spans="1:9" s="107" customFormat="1" x14ac:dyDescent="0.25">
      <c r="A73" s="442"/>
      <c r="B73" s="443"/>
      <c r="C73" s="443"/>
      <c r="D73" s="443"/>
      <c r="E73" s="443"/>
      <c r="F73" s="444"/>
    </row>
    <row r="74" spans="1:9" s="107" customFormat="1" ht="15.5" hidden="1" x14ac:dyDescent="0.25">
      <c r="A74" s="490" t="s">
        <v>1007</v>
      </c>
      <c r="B74" s="491"/>
      <c r="C74" s="491"/>
      <c r="D74" s="491"/>
      <c r="E74" s="491"/>
      <c r="F74" s="492"/>
    </row>
    <row r="75" spans="1:9" s="107" customFormat="1" ht="13" hidden="1" x14ac:dyDescent="0.25">
      <c r="A75" s="440" t="s">
        <v>382</v>
      </c>
      <c r="B75" s="494" t="s">
        <v>1008</v>
      </c>
      <c r="C75" s="494"/>
      <c r="D75" s="494"/>
      <c r="E75" s="440"/>
      <c r="F75" s="440" t="s">
        <v>727</v>
      </c>
    </row>
    <row r="76" spans="1:9" s="107" customFormat="1" ht="13" hidden="1" x14ac:dyDescent="0.25">
      <c r="A76" s="440"/>
      <c r="B76" s="477" t="s">
        <v>1010</v>
      </c>
      <c r="C76" s="478"/>
      <c r="D76" s="479"/>
      <c r="E76" s="146" t="s">
        <v>164</v>
      </c>
      <c r="F76" s="146" t="e">
        <f>F13+#REF!+F32+F52</f>
        <v>#REF!</v>
      </c>
    </row>
    <row r="77" spans="1:9" s="107" customFormat="1" ht="24" hidden="1" customHeight="1" x14ac:dyDescent="0.25">
      <c r="A77" s="441" t="s">
        <v>684</v>
      </c>
      <c r="B77" s="501" t="s">
        <v>1011</v>
      </c>
      <c r="C77" s="502"/>
      <c r="D77" s="63">
        <f>F22+F29+F41+F53</f>
        <v>2021.4265</v>
      </c>
      <c r="E77" s="150">
        <v>0.38700000000000001</v>
      </c>
      <c r="F77" s="103">
        <f>((D77/12)+F79)*E77</f>
        <v>87.702601125000001</v>
      </c>
      <c r="G77" s="447">
        <f>D77/12</f>
        <v>168.45220833333335</v>
      </c>
    </row>
    <row r="78" spans="1:9" s="107" customFormat="1" ht="23.25" hidden="1" customHeight="1" x14ac:dyDescent="0.25">
      <c r="A78" s="441" t="s">
        <v>690</v>
      </c>
      <c r="B78" s="501" t="s">
        <v>1012</v>
      </c>
      <c r="C78" s="502"/>
      <c r="D78" s="151">
        <f>F77+F79</f>
        <v>145.872101125</v>
      </c>
      <c r="E78" s="152">
        <v>0.08</v>
      </c>
      <c r="F78" s="103">
        <f>D78*E78</f>
        <v>11.66976809</v>
      </c>
    </row>
    <row r="79" spans="1:9" s="107" customFormat="1" ht="27" hidden="1" customHeight="1" x14ac:dyDescent="0.25">
      <c r="A79" s="441" t="s">
        <v>705</v>
      </c>
      <c r="B79" s="501" t="s">
        <v>1013</v>
      </c>
      <c r="C79" s="502"/>
      <c r="D79" s="63">
        <f>F22+F29</f>
        <v>1454.2375</v>
      </c>
      <c r="E79" s="102">
        <v>0.5</v>
      </c>
      <c r="F79" s="103">
        <f>D79*E78*E79</f>
        <v>58.169499999999999</v>
      </c>
    </row>
    <row r="80" spans="1:9" s="107" customFormat="1" ht="29.25" hidden="1" customHeight="1" x14ac:dyDescent="0.25">
      <c r="A80" s="441" t="s">
        <v>706</v>
      </c>
      <c r="B80" s="501" t="s">
        <v>1014</v>
      </c>
      <c r="C80" s="504"/>
      <c r="D80" s="144">
        <f>F22+F62</f>
        <v>2440.2469000000001</v>
      </c>
      <c r="E80" s="150">
        <v>0.38700000000000001</v>
      </c>
      <c r="F80" s="103">
        <f>((D80/12)+F82)*E80</f>
        <v>101.209559025</v>
      </c>
      <c r="G80" s="428" t="s">
        <v>164</v>
      </c>
    </row>
    <row r="81" spans="1:9" s="107" customFormat="1" ht="25.5" hidden="1" customHeight="1" x14ac:dyDescent="0.25">
      <c r="A81" s="441" t="s">
        <v>707</v>
      </c>
      <c r="B81" s="501" t="s">
        <v>1009</v>
      </c>
      <c r="C81" s="502"/>
      <c r="D81" s="96"/>
      <c r="E81" s="102">
        <f>E42</f>
        <v>0.36800000000000005</v>
      </c>
      <c r="F81" s="103">
        <f>E81*F80</f>
        <v>37.245117721200003</v>
      </c>
    </row>
    <row r="82" spans="1:9" s="107" customFormat="1" ht="21.75" hidden="1" customHeight="1" x14ac:dyDescent="0.25">
      <c r="A82" s="441" t="s">
        <v>708</v>
      </c>
      <c r="B82" s="501" t="s">
        <v>1015</v>
      </c>
      <c r="C82" s="502"/>
      <c r="D82" s="63">
        <f>F22+F29</f>
        <v>1454.2375</v>
      </c>
      <c r="E82" s="102">
        <v>0.5</v>
      </c>
      <c r="F82" s="103">
        <f>D82*E78*E82</f>
        <v>58.169499999999999</v>
      </c>
    </row>
    <row r="83" spans="1:9" s="107" customFormat="1" ht="21.75" hidden="1" customHeight="1" x14ac:dyDescent="0.25">
      <c r="A83" s="441"/>
      <c r="B83" s="473" t="s">
        <v>1016</v>
      </c>
      <c r="C83" s="503"/>
      <c r="D83" s="63">
        <f>F29</f>
        <v>246.73749999999998</v>
      </c>
      <c r="E83" s="102">
        <v>2.76E-2</v>
      </c>
      <c r="F83" s="103">
        <f>D83*E83</f>
        <v>6.8099549999999995</v>
      </c>
    </row>
    <row r="84" spans="1:9" s="107" customFormat="1" ht="13" hidden="1" x14ac:dyDescent="0.25">
      <c r="A84" s="477" t="s">
        <v>18</v>
      </c>
      <c r="B84" s="478"/>
      <c r="C84" s="478"/>
      <c r="D84" s="478"/>
      <c r="E84" s="479"/>
      <c r="F84" s="106">
        <f>(F77+F78+F79+F80+F81+F82)-F83</f>
        <v>347.35609096119998</v>
      </c>
      <c r="G84" s="447" t="s">
        <v>164</v>
      </c>
    </row>
    <row r="85" spans="1:9" s="107" customFormat="1" hidden="1" x14ac:dyDescent="0.25">
      <c r="A85" s="499"/>
      <c r="B85" s="475"/>
      <c r="C85" s="475"/>
      <c r="D85" s="475"/>
      <c r="E85" s="475"/>
      <c r="F85" s="476"/>
    </row>
    <row r="86" spans="1:9" s="456" customFormat="1" ht="13" x14ac:dyDescent="0.25">
      <c r="A86" s="60"/>
      <c r="B86" s="61"/>
      <c r="C86" s="61"/>
      <c r="D86" s="61"/>
      <c r="E86" s="153"/>
      <c r="F86" s="142"/>
    </row>
    <row r="87" spans="1:9" s="107" customFormat="1" ht="15.5" x14ac:dyDescent="0.25">
      <c r="A87" s="490" t="s">
        <v>1017</v>
      </c>
      <c r="B87" s="491"/>
      <c r="C87" s="491"/>
      <c r="D87" s="491"/>
      <c r="E87" s="491"/>
      <c r="F87" s="492"/>
    </row>
    <row r="88" spans="1:9" s="107" customFormat="1" ht="13" x14ac:dyDescent="0.25">
      <c r="A88" s="440" t="s">
        <v>501</v>
      </c>
      <c r="B88" s="494" t="s">
        <v>1018</v>
      </c>
      <c r="C88" s="494"/>
      <c r="D88" s="494"/>
      <c r="E88" s="440" t="s">
        <v>164</v>
      </c>
      <c r="F88" s="440" t="s">
        <v>727</v>
      </c>
    </row>
    <row r="89" spans="1:9" s="107" customFormat="1" ht="13" x14ac:dyDescent="0.25">
      <c r="A89" s="440"/>
      <c r="B89" s="477" t="s">
        <v>1149</v>
      </c>
      <c r="C89" s="478"/>
      <c r="D89" s="479"/>
      <c r="E89" s="440"/>
      <c r="F89" s="146">
        <f>F22</f>
        <v>1207.5</v>
      </c>
    </row>
    <row r="90" spans="1:9" s="107" customFormat="1" ht="26" x14ac:dyDescent="0.25">
      <c r="A90" s="441" t="s">
        <v>684</v>
      </c>
      <c r="B90" s="473" t="s">
        <v>1133</v>
      </c>
      <c r="C90" s="474"/>
      <c r="D90" s="503"/>
      <c r="E90" s="449">
        <f>1/12/12+1/12/12+1/12/12/3</f>
        <v>1.6203703703703703E-2</v>
      </c>
      <c r="F90" s="103">
        <f>F89*E90</f>
        <v>19.565972222222221</v>
      </c>
      <c r="G90" s="447"/>
      <c r="H90" s="453" t="s">
        <v>1139</v>
      </c>
      <c r="I90" s="453" t="s">
        <v>1140</v>
      </c>
    </row>
    <row r="91" spans="1:9" s="107" customFormat="1" ht="13" x14ac:dyDescent="0.25">
      <c r="A91" s="441" t="s">
        <v>690</v>
      </c>
      <c r="B91" s="473" t="s">
        <v>1134</v>
      </c>
      <c r="C91" s="474"/>
      <c r="D91" s="503"/>
      <c r="E91" s="450">
        <f>1/30/12</f>
        <v>2.7777777777777779E-3</v>
      </c>
      <c r="F91" s="103">
        <f>F89*E91</f>
        <v>3.354166666666667</v>
      </c>
      <c r="H91" s="453" t="s">
        <v>1141</v>
      </c>
      <c r="I91" s="453" t="s">
        <v>1142</v>
      </c>
    </row>
    <row r="92" spans="1:9" s="107" customFormat="1" ht="26" x14ac:dyDescent="0.25">
      <c r="A92" s="441" t="s">
        <v>705</v>
      </c>
      <c r="B92" s="473" t="s">
        <v>1135</v>
      </c>
      <c r="C92" s="474"/>
      <c r="D92" s="503"/>
      <c r="E92" s="451">
        <f>5/30/12*0.015</f>
        <v>2.0833333333333332E-4</v>
      </c>
      <c r="F92" s="103">
        <f>F89*E92</f>
        <v>0.25156249999999997</v>
      </c>
      <c r="H92" s="453" t="s">
        <v>1143</v>
      </c>
      <c r="I92" s="454" t="s">
        <v>1144</v>
      </c>
    </row>
    <row r="93" spans="1:9" s="107" customFormat="1" ht="12.75" customHeight="1" x14ac:dyDescent="0.25">
      <c r="A93" s="441" t="s">
        <v>706</v>
      </c>
      <c r="B93" s="473" t="s">
        <v>1136</v>
      </c>
      <c r="C93" s="474"/>
      <c r="D93" s="503"/>
      <c r="E93" s="450">
        <f>15/30/12*0.08</f>
        <v>3.3333333333333331E-3</v>
      </c>
      <c r="F93" s="103">
        <f>F89*E93</f>
        <v>4.0249999999999995</v>
      </c>
      <c r="H93" s="453" t="s">
        <v>1145</v>
      </c>
      <c r="I93" s="454" t="s">
        <v>1146</v>
      </c>
    </row>
    <row r="94" spans="1:9" s="107" customFormat="1" ht="34.5" customHeight="1" x14ac:dyDescent="0.25">
      <c r="A94" s="441" t="s">
        <v>707</v>
      </c>
      <c r="B94" s="473" t="s">
        <v>1137</v>
      </c>
      <c r="C94" s="474"/>
      <c r="D94" s="503"/>
      <c r="E94" s="450">
        <f>((4*8.33%)+(4*2.78%))/12*2%</f>
        <v>7.4066666666666671E-4</v>
      </c>
      <c r="F94" s="103">
        <f>F89*E94</f>
        <v>0.89435500000000001</v>
      </c>
      <c r="G94" s="458"/>
      <c r="H94" s="453" t="s">
        <v>1147</v>
      </c>
      <c r="I94" s="454" t="s">
        <v>1148</v>
      </c>
    </row>
    <row r="95" spans="1:9" s="107" customFormat="1" x14ac:dyDescent="0.25">
      <c r="A95" s="441" t="s">
        <v>708</v>
      </c>
      <c r="B95" s="473" t="s">
        <v>1138</v>
      </c>
      <c r="C95" s="474"/>
      <c r="D95" s="503"/>
      <c r="E95" s="450">
        <v>0</v>
      </c>
      <c r="F95" s="156"/>
      <c r="G95" s="155"/>
    </row>
    <row r="96" spans="1:9" s="107" customFormat="1" ht="13" x14ac:dyDescent="0.25">
      <c r="A96" s="494" t="s">
        <v>18</v>
      </c>
      <c r="B96" s="494"/>
      <c r="C96" s="494"/>
      <c r="D96" s="494"/>
      <c r="E96" s="104">
        <f>SUM(E90:E94)</f>
        <v>2.3263814814814817E-2</v>
      </c>
      <c r="F96" s="106">
        <f>SUM(F90:F95)</f>
        <v>28.091056388888887</v>
      </c>
    </row>
    <row r="97" spans="1:9" s="456" customFormat="1" ht="13" x14ac:dyDescent="0.25">
      <c r="A97" s="60"/>
      <c r="B97" s="61"/>
      <c r="C97" s="61"/>
      <c r="D97" s="61"/>
      <c r="E97" s="153"/>
      <c r="F97" s="142"/>
    </row>
    <row r="98" spans="1:9" ht="15.5" x14ac:dyDescent="0.25">
      <c r="A98" s="490" t="s">
        <v>1017</v>
      </c>
      <c r="B98" s="491"/>
      <c r="C98" s="491"/>
      <c r="D98" s="491"/>
      <c r="E98" s="491"/>
      <c r="F98" s="492"/>
    </row>
    <row r="99" spans="1:9" ht="13" x14ac:dyDescent="0.25">
      <c r="A99" s="71" t="s">
        <v>503</v>
      </c>
      <c r="B99" s="494" t="s">
        <v>1019</v>
      </c>
      <c r="C99" s="494"/>
      <c r="D99" s="494"/>
      <c r="E99" s="71" t="s">
        <v>164</v>
      </c>
      <c r="F99" s="71" t="s">
        <v>727</v>
      </c>
    </row>
    <row r="100" spans="1:9" x14ac:dyDescent="0.25">
      <c r="A100" s="72" t="s">
        <v>684</v>
      </c>
      <c r="B100" s="493" t="s">
        <v>1020</v>
      </c>
      <c r="C100" s="493"/>
      <c r="D100" s="493"/>
      <c r="E100" s="102"/>
      <c r="F100" s="103"/>
    </row>
    <row r="101" spans="1:9" ht="13" x14ac:dyDescent="0.25">
      <c r="A101" s="477" t="s">
        <v>18</v>
      </c>
      <c r="B101" s="478"/>
      <c r="C101" s="478"/>
      <c r="D101" s="479"/>
      <c r="E101" s="105"/>
      <c r="F101" s="106">
        <f>SUM(F100)</f>
        <v>0</v>
      </c>
    </row>
    <row r="102" spans="1:9" x14ac:dyDescent="0.25">
      <c r="A102" s="107"/>
      <c r="B102" s="107"/>
      <c r="C102" s="107"/>
      <c r="D102" s="107"/>
      <c r="E102" s="107"/>
      <c r="F102" s="107"/>
    </row>
    <row r="103" spans="1:9" ht="13" x14ac:dyDescent="0.25">
      <c r="A103" s="477" t="s">
        <v>1021</v>
      </c>
      <c r="B103" s="478"/>
      <c r="C103" s="478"/>
      <c r="D103" s="478"/>
      <c r="E103" s="478"/>
      <c r="F103" s="479"/>
    </row>
    <row r="104" spans="1:9" ht="13" x14ac:dyDescent="0.25">
      <c r="A104" s="71">
        <v>4</v>
      </c>
      <c r="B104" s="477" t="s">
        <v>1022</v>
      </c>
      <c r="C104" s="478"/>
      <c r="D104" s="478"/>
      <c r="E104" s="479"/>
      <c r="F104" s="71" t="s">
        <v>727</v>
      </c>
    </row>
    <row r="105" spans="1:9" ht="16.5" customHeight="1" x14ac:dyDescent="0.25">
      <c r="A105" s="100" t="s">
        <v>248</v>
      </c>
      <c r="B105" s="496" t="s">
        <v>1018</v>
      </c>
      <c r="C105" s="497"/>
      <c r="D105" s="497"/>
      <c r="E105" s="498"/>
      <c r="F105" s="108">
        <f>F96</f>
        <v>28.091056388888887</v>
      </c>
    </row>
    <row r="106" spans="1:9" ht="18" customHeight="1" x14ac:dyDescent="0.25">
      <c r="A106" s="100" t="s">
        <v>250</v>
      </c>
      <c r="B106" s="496" t="s">
        <v>1019</v>
      </c>
      <c r="C106" s="497"/>
      <c r="D106" s="497"/>
      <c r="E106" s="498"/>
      <c r="F106" s="108">
        <f>F101</f>
        <v>0</v>
      </c>
    </row>
    <row r="107" spans="1:9" ht="15" customHeight="1" x14ac:dyDescent="0.25">
      <c r="A107" s="477" t="s">
        <v>18</v>
      </c>
      <c r="B107" s="478"/>
      <c r="C107" s="478"/>
      <c r="D107" s="478"/>
      <c r="E107" s="479"/>
      <c r="F107" s="109">
        <f>SUM(F101:F106)</f>
        <v>28.091056388888887</v>
      </c>
    </row>
    <row r="108" spans="1:9" ht="15" customHeight="1" x14ac:dyDescent="0.25">
      <c r="A108" s="107"/>
      <c r="B108" s="107"/>
      <c r="C108" s="107"/>
      <c r="D108" s="107"/>
      <c r="E108" s="107"/>
      <c r="F108" s="107"/>
    </row>
    <row r="109" spans="1:9" ht="15.75" customHeight="1" x14ac:dyDescent="0.25">
      <c r="A109" s="478" t="s">
        <v>1023</v>
      </c>
      <c r="B109" s="478"/>
      <c r="C109" s="478"/>
      <c r="D109" s="478"/>
      <c r="E109" s="478"/>
      <c r="F109" s="478"/>
    </row>
    <row r="110" spans="1:9" ht="13" x14ac:dyDescent="0.25">
      <c r="A110" s="426">
        <v>5</v>
      </c>
      <c r="B110" s="477" t="s">
        <v>733</v>
      </c>
      <c r="C110" s="478"/>
      <c r="D110" s="478"/>
      <c r="E110" s="479"/>
      <c r="F110" s="426" t="s">
        <v>727</v>
      </c>
      <c r="I110" s="75" t="s">
        <v>164</v>
      </c>
    </row>
    <row r="111" spans="1:9" ht="12.75" customHeight="1" x14ac:dyDescent="0.25">
      <c r="A111" s="430" t="s">
        <v>684</v>
      </c>
      <c r="B111" s="473" t="s">
        <v>1024</v>
      </c>
      <c r="C111" s="474"/>
      <c r="D111" s="474"/>
      <c r="E111" s="503"/>
      <c r="F111" s="433">
        <f>'Anexo BIII - Uniforme'!F28</f>
        <v>54.71</v>
      </c>
    </row>
    <row r="112" spans="1:9" x14ac:dyDescent="0.25">
      <c r="A112" s="100" t="s">
        <v>690</v>
      </c>
      <c r="B112" s="473" t="s">
        <v>709</v>
      </c>
      <c r="C112" s="474"/>
      <c r="D112" s="474"/>
      <c r="E112" s="503"/>
      <c r="F112" s="433"/>
      <c r="G112" s="76"/>
    </row>
    <row r="113" spans="1:10" ht="12.75" customHeight="1" x14ac:dyDescent="0.25">
      <c r="A113" s="100" t="s">
        <v>705</v>
      </c>
      <c r="B113" s="473" t="s">
        <v>1025</v>
      </c>
      <c r="C113" s="474"/>
      <c r="D113" s="474"/>
      <c r="E113" s="503"/>
      <c r="F113" s="433">
        <f>'Anexo BII - Equip. e Ferramenta'!E53</f>
        <v>29.578842962962955</v>
      </c>
      <c r="G113" s="76"/>
    </row>
    <row r="114" spans="1:10" x14ac:dyDescent="0.25">
      <c r="A114" s="100" t="s">
        <v>706</v>
      </c>
      <c r="B114" s="473" t="s">
        <v>732</v>
      </c>
      <c r="C114" s="474"/>
      <c r="D114" s="474"/>
      <c r="E114" s="503"/>
      <c r="F114" s="433">
        <v>0</v>
      </c>
      <c r="G114" s="76"/>
    </row>
    <row r="115" spans="1:10" ht="12.75" customHeight="1" x14ac:dyDescent="0.25">
      <c r="A115" s="477" t="s">
        <v>734</v>
      </c>
      <c r="B115" s="478"/>
      <c r="C115" s="478"/>
      <c r="D115" s="478"/>
      <c r="E115" s="479"/>
      <c r="F115" s="106">
        <f>SUM(F111:F114)</f>
        <v>84.28884296296296</v>
      </c>
    </row>
    <row r="116" spans="1:10" ht="12.75" customHeight="1" x14ac:dyDescent="0.25">
      <c r="A116" s="496" t="s">
        <v>1026</v>
      </c>
      <c r="B116" s="497"/>
      <c r="C116" s="497"/>
      <c r="D116" s="497"/>
      <c r="E116" s="497"/>
      <c r="F116" s="498"/>
      <c r="I116" s="76"/>
      <c r="J116" s="76"/>
    </row>
    <row r="117" spans="1:10" ht="12.75" customHeight="1" x14ac:dyDescent="0.25">
      <c r="A117" s="505" t="s">
        <v>1027</v>
      </c>
      <c r="B117" s="506"/>
      <c r="C117" s="506"/>
      <c r="D117" s="506"/>
      <c r="E117" s="506"/>
      <c r="F117" s="506"/>
      <c r="I117" s="84"/>
    </row>
    <row r="118" spans="1:10" s="107" customFormat="1" ht="32.25" customHeight="1" x14ac:dyDescent="0.25">
      <c r="A118" s="507" t="s">
        <v>1028</v>
      </c>
      <c r="B118" s="507"/>
      <c r="C118" s="507"/>
      <c r="D118" s="111">
        <f>F22+F62+F72+F107+F115</f>
        <v>2638.4501033518518</v>
      </c>
      <c r="E118" s="110">
        <v>6.0699999999999997E-2</v>
      </c>
      <c r="F118" s="112">
        <f>TRUNC(((F22+F62+F72+F107+F115)*E118),2)</f>
        <v>160.15</v>
      </c>
      <c r="H118" s="508" t="s">
        <v>1150</v>
      </c>
      <c r="I118" s="509"/>
    </row>
    <row r="119" spans="1:10" ht="44.25" customHeight="1" x14ac:dyDescent="0.25">
      <c r="A119" s="507" t="s">
        <v>1029</v>
      </c>
      <c r="B119" s="507"/>
      <c r="C119" s="507"/>
      <c r="D119" s="111">
        <f>D118+F118</f>
        <v>2798.6001033518519</v>
      </c>
      <c r="E119" s="110">
        <v>7.3999999999999996E-2</v>
      </c>
      <c r="F119" s="112">
        <f>TRUNC(((F22+F62+F72+F107+F115+F118)*E119),2)</f>
        <v>207.09</v>
      </c>
    </row>
    <row r="120" spans="1:10" ht="47.25" customHeight="1" x14ac:dyDescent="0.25">
      <c r="A120" s="522" t="s">
        <v>1053</v>
      </c>
      <c r="B120" s="523"/>
      <c r="C120" s="524"/>
      <c r="D120" s="111">
        <f>F144+F118+F119</f>
        <v>3005.690103351852</v>
      </c>
      <c r="E120" s="110"/>
      <c r="F120" s="112">
        <v>0</v>
      </c>
      <c r="G120" s="76"/>
    </row>
    <row r="121" spans="1:10" ht="14" x14ac:dyDescent="0.25">
      <c r="A121" s="511" t="s">
        <v>1030</v>
      </c>
      <c r="B121" s="512"/>
      <c r="C121" s="113" t="s">
        <v>1031</v>
      </c>
      <c r="D121" s="511" t="s">
        <v>185</v>
      </c>
      <c r="E121" s="512"/>
      <c r="F121" s="114" t="s">
        <v>727</v>
      </c>
    </row>
    <row r="122" spans="1:10" ht="15.75" customHeight="1" x14ac:dyDescent="0.25">
      <c r="A122" s="515" t="s">
        <v>1032</v>
      </c>
      <c r="B122" s="516" t="s">
        <v>1033</v>
      </c>
      <c r="C122" s="115" t="s">
        <v>1064</v>
      </c>
      <c r="D122" s="513">
        <v>6.4999999999999997E-3</v>
      </c>
      <c r="E122" s="514">
        <v>1.6500000000000001E-2</v>
      </c>
      <c r="F122" s="116">
        <f>TRUNC(D122*F133,2)</f>
        <v>21.38</v>
      </c>
    </row>
    <row r="123" spans="1:10" ht="18" customHeight="1" x14ac:dyDescent="0.25">
      <c r="A123" s="525"/>
      <c r="B123" s="526"/>
      <c r="C123" s="115" t="s">
        <v>1063</v>
      </c>
      <c r="D123" s="513">
        <v>0.03</v>
      </c>
      <c r="E123" s="514">
        <v>7.5999999999999998E-2</v>
      </c>
      <c r="F123" s="116">
        <f>TRUNC(D123*F133,2)</f>
        <v>98.7</v>
      </c>
    </row>
    <row r="124" spans="1:10" ht="25.5" customHeight="1" x14ac:dyDescent="0.25">
      <c r="A124" s="511" t="s">
        <v>1034</v>
      </c>
      <c r="B124" s="512" t="s">
        <v>1035</v>
      </c>
      <c r="C124" s="115" t="s">
        <v>1062</v>
      </c>
      <c r="D124" s="513">
        <v>0.05</v>
      </c>
      <c r="E124" s="514">
        <v>0.05</v>
      </c>
      <c r="F124" s="116">
        <f>TRUNC(D124*F133,2)</f>
        <v>164.51</v>
      </c>
    </row>
    <row r="125" spans="1:10" ht="14.5" thickBot="1" x14ac:dyDescent="0.3">
      <c r="A125" s="515" t="s">
        <v>1036</v>
      </c>
      <c r="B125" s="516"/>
      <c r="C125" s="121" t="s">
        <v>1052</v>
      </c>
      <c r="D125" s="517"/>
      <c r="E125" s="518"/>
      <c r="F125" s="122">
        <v>0</v>
      </c>
    </row>
    <row r="126" spans="1:10" ht="13.5" thickBot="1" x14ac:dyDescent="0.3">
      <c r="A126" s="519" t="s">
        <v>1037</v>
      </c>
      <c r="B126" s="520"/>
      <c r="C126" s="520"/>
      <c r="D126" s="521">
        <f>SUM(E118+E119+D122+D123+D124)</f>
        <v>0.22120000000000001</v>
      </c>
      <c r="E126" s="521"/>
      <c r="F126" s="123">
        <f>F118+F119+F120+F122+F123+F124+F125</f>
        <v>651.82999999999993</v>
      </c>
      <c r="J126" s="75" t="s">
        <v>164</v>
      </c>
    </row>
    <row r="127" spans="1:10" ht="13" thickBot="1" x14ac:dyDescent="0.3">
      <c r="A127" s="117"/>
      <c r="B127" s="117"/>
      <c r="C127" s="117"/>
      <c r="D127" s="117"/>
      <c r="E127" s="117"/>
      <c r="F127" s="117"/>
    </row>
    <row r="128" spans="1:10" ht="35.25" customHeight="1" x14ac:dyDescent="0.25">
      <c r="A128" s="124" t="s">
        <v>1054</v>
      </c>
      <c r="B128" s="467" t="s">
        <v>1057</v>
      </c>
      <c r="C128" s="467"/>
      <c r="D128" s="125">
        <f>D122+D123+D124</f>
        <v>8.6499999999999994E-2</v>
      </c>
      <c r="E128" s="126"/>
      <c r="F128" s="127">
        <f>D128</f>
        <v>8.6499999999999994E-2</v>
      </c>
      <c r="G128" s="128"/>
      <c r="H128" s="107"/>
    </row>
    <row r="129" spans="1:8" ht="13" x14ac:dyDescent="0.25">
      <c r="A129" s="129"/>
      <c r="B129" s="130">
        <v>100</v>
      </c>
      <c r="C129" s="128"/>
      <c r="D129" s="128"/>
      <c r="E129" s="128"/>
      <c r="F129" s="131"/>
      <c r="G129" s="128"/>
      <c r="H129" s="107"/>
    </row>
    <row r="130" spans="1:8" ht="13.5" thickBot="1" x14ac:dyDescent="0.3">
      <c r="A130" s="132"/>
      <c r="B130" s="133"/>
      <c r="C130" s="133"/>
      <c r="D130" s="133"/>
      <c r="E130" s="133"/>
      <c r="F130" s="131"/>
      <c r="G130" s="133"/>
      <c r="H130" s="107"/>
    </row>
    <row r="131" spans="1:8" ht="41.25" customHeight="1" thickBot="1" x14ac:dyDescent="0.3">
      <c r="A131" s="129" t="s">
        <v>1055</v>
      </c>
      <c r="B131" s="468" t="s">
        <v>1058</v>
      </c>
      <c r="C131" s="468"/>
      <c r="D131" s="128"/>
      <c r="E131" s="128"/>
      <c r="F131" s="134">
        <f>F22+F62+F72+F107+F115+F118+F119</f>
        <v>3005.690103351852</v>
      </c>
      <c r="G131" s="470" t="s">
        <v>1061</v>
      </c>
      <c r="H131" s="471"/>
    </row>
    <row r="132" spans="1:8" ht="13" x14ac:dyDescent="0.25">
      <c r="A132" s="129"/>
      <c r="B132" s="133"/>
      <c r="C132" s="133"/>
      <c r="D132" s="133"/>
      <c r="E132" s="133"/>
      <c r="F132" s="134"/>
      <c r="G132" s="133"/>
      <c r="H132" s="107"/>
    </row>
    <row r="133" spans="1:8" ht="42" customHeight="1" x14ac:dyDescent="0.25">
      <c r="A133" s="129" t="s">
        <v>1056</v>
      </c>
      <c r="B133" s="468" t="s">
        <v>1059</v>
      </c>
      <c r="C133" s="468"/>
      <c r="D133" s="128"/>
      <c r="E133" s="128"/>
      <c r="F133" s="134">
        <f>TRUNC(F131/(1-D128),2)</f>
        <v>3290.3</v>
      </c>
      <c r="G133" s="128"/>
      <c r="H133" s="107"/>
    </row>
    <row r="134" spans="1:8" ht="12.75" customHeight="1" x14ac:dyDescent="0.25">
      <c r="A134" s="118"/>
      <c r="B134" s="135"/>
      <c r="C134" s="135"/>
      <c r="D134" s="135"/>
      <c r="E134" s="135"/>
      <c r="F134" s="136"/>
      <c r="G134" s="135"/>
      <c r="H134" s="107"/>
    </row>
    <row r="135" spans="1:8" ht="12.75" customHeight="1" thickBot="1" x14ac:dyDescent="0.3">
      <c r="A135" s="119"/>
      <c r="B135" s="469" t="s">
        <v>1060</v>
      </c>
      <c r="C135" s="469"/>
      <c r="D135" s="137"/>
      <c r="E135" s="137"/>
      <c r="F135" s="138"/>
      <c r="G135" s="139"/>
      <c r="H135" s="107"/>
    </row>
    <row r="136" spans="1:8" ht="12.75" customHeight="1" x14ac:dyDescent="0.25">
      <c r="A136" s="117"/>
      <c r="B136" s="117"/>
      <c r="C136" s="117"/>
      <c r="D136" s="117"/>
      <c r="E136" s="117"/>
      <c r="F136" s="117"/>
    </row>
    <row r="137" spans="1:8" ht="15.5" x14ac:dyDescent="0.25">
      <c r="A137" s="510" t="s">
        <v>1038</v>
      </c>
      <c r="B137" s="510"/>
      <c r="C137" s="510"/>
      <c r="D137" s="510"/>
      <c r="E137" s="510"/>
      <c r="F137" s="510"/>
    </row>
    <row r="138" spans="1:8" ht="12.75" customHeight="1" x14ac:dyDescent="0.25">
      <c r="A138" s="477" t="s">
        <v>1039</v>
      </c>
      <c r="B138" s="478"/>
      <c r="C138" s="478"/>
      <c r="D138" s="478"/>
      <c r="E138" s="479"/>
      <c r="F138" s="71" t="s">
        <v>727</v>
      </c>
    </row>
    <row r="139" spans="1:8" ht="12.75" customHeight="1" x14ac:dyDescent="0.25">
      <c r="A139" s="72" t="s">
        <v>684</v>
      </c>
      <c r="B139" s="473" t="s">
        <v>703</v>
      </c>
      <c r="C139" s="474"/>
      <c r="D139" s="474"/>
      <c r="E139" s="503"/>
      <c r="F139" s="140">
        <f>F22</f>
        <v>1207.5</v>
      </c>
      <c r="H139" s="120"/>
    </row>
    <row r="140" spans="1:8" ht="12.75" customHeight="1" x14ac:dyDescent="0.25">
      <c r="A140" s="72" t="s">
        <v>690</v>
      </c>
      <c r="B140" s="473" t="s">
        <v>989</v>
      </c>
      <c r="C140" s="474"/>
      <c r="D140" s="474"/>
      <c r="E140" s="503"/>
      <c r="F140" s="140">
        <f>F62</f>
        <v>1232.7469000000001</v>
      </c>
    </row>
    <row r="141" spans="1:8" ht="12.75" customHeight="1" x14ac:dyDescent="0.25">
      <c r="A141" s="72" t="s">
        <v>705</v>
      </c>
      <c r="B141" s="473" t="s">
        <v>1040</v>
      </c>
      <c r="C141" s="474"/>
      <c r="D141" s="474"/>
      <c r="E141" s="503"/>
      <c r="F141" s="140">
        <f>F72</f>
        <v>85.823304000000007</v>
      </c>
    </row>
    <row r="142" spans="1:8" ht="12.75" customHeight="1" x14ac:dyDescent="0.25">
      <c r="A142" s="72" t="s">
        <v>706</v>
      </c>
      <c r="B142" s="473" t="s">
        <v>1041</v>
      </c>
      <c r="C142" s="474"/>
      <c r="D142" s="474"/>
      <c r="E142" s="503"/>
      <c r="F142" s="140">
        <f>F107</f>
        <v>28.091056388888887</v>
      </c>
    </row>
    <row r="143" spans="1:8" ht="12.75" customHeight="1" x14ac:dyDescent="0.25">
      <c r="A143" s="72" t="s">
        <v>707</v>
      </c>
      <c r="B143" s="473" t="s">
        <v>1042</v>
      </c>
      <c r="C143" s="474"/>
      <c r="D143" s="474"/>
      <c r="E143" s="503"/>
      <c r="F143" s="140">
        <f>F115</f>
        <v>84.28884296296296</v>
      </c>
      <c r="G143" s="76"/>
    </row>
    <row r="144" spans="1:8" ht="12.75" customHeight="1" x14ac:dyDescent="0.25">
      <c r="A144" s="106"/>
      <c r="B144" s="494" t="s">
        <v>1043</v>
      </c>
      <c r="C144" s="494"/>
      <c r="D144" s="494"/>
      <c r="E144" s="494"/>
      <c r="F144" s="106">
        <f>SUM(F139:F143)</f>
        <v>2638.4501033518518</v>
      </c>
      <c r="G144" s="76"/>
    </row>
    <row r="145" spans="1:9" ht="12.75" customHeight="1" x14ac:dyDescent="0.25">
      <c r="A145" s="72" t="s">
        <v>708</v>
      </c>
      <c r="B145" s="473" t="s">
        <v>1044</v>
      </c>
      <c r="C145" s="474"/>
      <c r="D145" s="474"/>
      <c r="E145" s="503"/>
      <c r="F145" s="140">
        <f>F126</f>
        <v>651.82999999999993</v>
      </c>
    </row>
    <row r="146" spans="1:9" ht="13" x14ac:dyDescent="0.25">
      <c r="A146" s="494" t="s">
        <v>18</v>
      </c>
      <c r="B146" s="494"/>
      <c r="C146" s="494"/>
      <c r="D146" s="494"/>
      <c r="E146" s="494"/>
      <c r="F146" s="106">
        <f>F144+F145</f>
        <v>3290.2801033518517</v>
      </c>
      <c r="G146" s="85" t="s">
        <v>164</v>
      </c>
      <c r="H146" s="76"/>
      <c r="I146" s="76"/>
    </row>
    <row r="147" spans="1:9" s="89" customFormat="1" ht="13" x14ac:dyDescent="0.25">
      <c r="A147" s="86"/>
      <c r="B147" s="86"/>
      <c r="C147" s="86"/>
      <c r="D147" s="86"/>
      <c r="E147" s="87"/>
      <c r="F147" s="88"/>
    </row>
    <row r="148" spans="1:9" ht="13" x14ac:dyDescent="0.25">
      <c r="A148" s="464" t="s">
        <v>1065</v>
      </c>
      <c r="B148" s="465"/>
      <c r="C148" s="465"/>
      <c r="D148" s="465"/>
      <c r="E148" s="465"/>
      <c r="F148" s="141">
        <f>F146/F145</f>
        <v>5.0477580095298649</v>
      </c>
    </row>
    <row r="149" spans="1:9" ht="60.75" customHeight="1" x14ac:dyDescent="0.25">
      <c r="A149" s="466" t="s">
        <v>1066</v>
      </c>
      <c r="B149" s="466"/>
      <c r="C149" s="466"/>
      <c r="D149" s="466"/>
      <c r="E149" s="466"/>
      <c r="F149" s="466"/>
    </row>
    <row r="150" spans="1:9" ht="75.75" customHeight="1" x14ac:dyDescent="0.25">
      <c r="A150" s="466" t="s">
        <v>1067</v>
      </c>
      <c r="B150" s="466"/>
      <c r="C150" s="466"/>
      <c r="D150" s="466"/>
      <c r="E150" s="466"/>
      <c r="F150" s="466"/>
    </row>
  </sheetData>
  <mergeCells count="152">
    <mergeCell ref="H118:I118"/>
    <mergeCell ref="B143:E143"/>
    <mergeCell ref="B144:E144"/>
    <mergeCell ref="B145:E145"/>
    <mergeCell ref="A146:E146"/>
    <mergeCell ref="A137:F137"/>
    <mergeCell ref="A138:E138"/>
    <mergeCell ref="B139:E139"/>
    <mergeCell ref="B140:E140"/>
    <mergeCell ref="B141:E141"/>
    <mergeCell ref="B142:E142"/>
    <mergeCell ref="A124:B124"/>
    <mergeCell ref="D124:E124"/>
    <mergeCell ref="A125:B125"/>
    <mergeCell ref="D125:E125"/>
    <mergeCell ref="A126:C126"/>
    <mergeCell ref="D126:E126"/>
    <mergeCell ref="A119:C119"/>
    <mergeCell ref="A120:C120"/>
    <mergeCell ref="A121:B121"/>
    <mergeCell ref="D121:E121"/>
    <mergeCell ref="A122:B123"/>
    <mergeCell ref="D122:E122"/>
    <mergeCell ref="D123:E123"/>
    <mergeCell ref="B113:E113"/>
    <mergeCell ref="B114:E114"/>
    <mergeCell ref="A115:E115"/>
    <mergeCell ref="A116:F116"/>
    <mergeCell ref="A117:F117"/>
    <mergeCell ref="A118:C118"/>
    <mergeCell ref="B106:E106"/>
    <mergeCell ref="A107:E107"/>
    <mergeCell ref="A109:F109"/>
    <mergeCell ref="B110:E110"/>
    <mergeCell ref="B111:E111"/>
    <mergeCell ref="B112:E112"/>
    <mergeCell ref="B99:D99"/>
    <mergeCell ref="B100:D100"/>
    <mergeCell ref="A101:D101"/>
    <mergeCell ref="A103:F103"/>
    <mergeCell ref="B104:E104"/>
    <mergeCell ref="B105:E105"/>
    <mergeCell ref="B94:D94"/>
    <mergeCell ref="A96:D96"/>
    <mergeCell ref="A98:F98"/>
    <mergeCell ref="B95:D95"/>
    <mergeCell ref="A87:F87"/>
    <mergeCell ref="B88:D88"/>
    <mergeCell ref="B90:D90"/>
    <mergeCell ref="B91:D91"/>
    <mergeCell ref="B92:D92"/>
    <mergeCell ref="B93:D93"/>
    <mergeCell ref="B80:C80"/>
    <mergeCell ref="B81:C81"/>
    <mergeCell ref="B82:C82"/>
    <mergeCell ref="B83:C83"/>
    <mergeCell ref="A84:E84"/>
    <mergeCell ref="A85:F85"/>
    <mergeCell ref="B89:D89"/>
    <mergeCell ref="B66:C66"/>
    <mergeCell ref="A74:F74"/>
    <mergeCell ref="B75:D75"/>
    <mergeCell ref="B76:D76"/>
    <mergeCell ref="B77:C77"/>
    <mergeCell ref="B78:C78"/>
    <mergeCell ref="B79:C79"/>
    <mergeCell ref="B67:C67"/>
    <mergeCell ref="B68:C68"/>
    <mergeCell ref="B69:C69"/>
    <mergeCell ref="B70:C70"/>
    <mergeCell ref="B71:C71"/>
    <mergeCell ref="A72:D72"/>
    <mergeCell ref="B60:E60"/>
    <mergeCell ref="B61:E61"/>
    <mergeCell ref="A62:E62"/>
    <mergeCell ref="A64:F64"/>
    <mergeCell ref="B65:D65"/>
    <mergeCell ref="A53:E53"/>
    <mergeCell ref="A54:F54"/>
    <mergeCell ref="A55:F55"/>
    <mergeCell ref="A57:F57"/>
    <mergeCell ref="B58:E58"/>
    <mergeCell ref="B59:E59"/>
    <mergeCell ref="B50:C50"/>
    <mergeCell ref="B51:C51"/>
    <mergeCell ref="D51:E51"/>
    <mergeCell ref="B52:C52"/>
    <mergeCell ref="D52:E52"/>
    <mergeCell ref="A43:F43"/>
    <mergeCell ref="A44:F44"/>
    <mergeCell ref="A45:F45"/>
    <mergeCell ref="B46:E46"/>
    <mergeCell ref="A47:F47"/>
    <mergeCell ref="B48:E48"/>
    <mergeCell ref="A42:D42"/>
    <mergeCell ref="A29:E29"/>
    <mergeCell ref="A31:F31"/>
    <mergeCell ref="B32:D32"/>
    <mergeCell ref="B34:D34"/>
    <mergeCell ref="B35:D35"/>
    <mergeCell ref="B36:D36"/>
    <mergeCell ref="B33:D33"/>
    <mergeCell ref="B49:C49"/>
    <mergeCell ref="B20:C20"/>
    <mergeCell ref="D20:E20"/>
    <mergeCell ref="B21:C21"/>
    <mergeCell ref="D21:E21"/>
    <mergeCell ref="B37:D37"/>
    <mergeCell ref="B38:D38"/>
    <mergeCell ref="B39:D39"/>
    <mergeCell ref="B40:D40"/>
    <mergeCell ref="B41:D41"/>
    <mergeCell ref="A1:F1"/>
    <mergeCell ref="A3:F3"/>
    <mergeCell ref="A4:B4"/>
    <mergeCell ref="D4:E4"/>
    <mergeCell ref="A5:B5"/>
    <mergeCell ref="D5:E5"/>
    <mergeCell ref="B16:C16"/>
    <mergeCell ref="D16:E16"/>
    <mergeCell ref="B17:C17"/>
    <mergeCell ref="D17:E17"/>
    <mergeCell ref="A9:F9"/>
    <mergeCell ref="A10:F10"/>
    <mergeCell ref="A13:F13"/>
    <mergeCell ref="B14:E14"/>
    <mergeCell ref="B15:C15"/>
    <mergeCell ref="D15:E15"/>
    <mergeCell ref="A148:E148"/>
    <mergeCell ref="A149:F149"/>
    <mergeCell ref="A150:F150"/>
    <mergeCell ref="B128:C128"/>
    <mergeCell ref="B131:C131"/>
    <mergeCell ref="B133:C133"/>
    <mergeCell ref="B135:C135"/>
    <mergeCell ref="G131:H131"/>
    <mergeCell ref="A6:B6"/>
    <mergeCell ref="D6:E6"/>
    <mergeCell ref="A7:B7"/>
    <mergeCell ref="D7:E7"/>
    <mergeCell ref="A8:B8"/>
    <mergeCell ref="D8:E8"/>
    <mergeCell ref="B18:C18"/>
    <mergeCell ref="D18:E18"/>
    <mergeCell ref="A22:E22"/>
    <mergeCell ref="A24:F24"/>
    <mergeCell ref="A25:F25"/>
    <mergeCell ref="B26:E26"/>
    <mergeCell ref="B27:D27"/>
    <mergeCell ref="B28:D28"/>
    <mergeCell ref="B19:C19"/>
    <mergeCell ref="D19:E19"/>
  </mergeCells>
  <pageMargins left="0.511811024" right="0.511811024" top="0.78740157499999996" bottom="0.78740157499999996" header="0.31496062000000002" footer="0.31496062000000002"/>
  <pageSetup paperSize="9" scale="95" fitToHeight="0" orientation="portrait" r:id="rId1"/>
  <rowBreaks count="2" manualBreakCount="2">
    <brk id="62" max="5" man="1"/>
    <brk id="11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0"/>
  <sheetViews>
    <sheetView workbookViewId="0">
      <selection activeCell="H13" sqref="H13"/>
    </sheetView>
  </sheetViews>
  <sheetFormatPr defaultColWidth="9.1796875" defaultRowHeight="12.5" x14ac:dyDescent="0.25"/>
  <cols>
    <col min="1" max="1" width="12.7265625" style="75" customWidth="1"/>
    <col min="2" max="2" width="23.1796875" style="75" customWidth="1"/>
    <col min="3" max="3" width="18.7265625" style="75" bestFit="1" customWidth="1"/>
    <col min="4" max="4" width="15.26953125" style="75" customWidth="1"/>
    <col min="5" max="5" width="12.1796875" style="75" bestFit="1" customWidth="1"/>
    <col min="6" max="6" width="14.81640625" style="75" customWidth="1"/>
    <col min="7" max="7" width="12.1796875" style="75" bestFit="1" customWidth="1"/>
    <col min="8" max="8" width="20.54296875" style="75" customWidth="1"/>
    <col min="9" max="9" width="12.81640625" style="75" customWidth="1"/>
    <col min="10" max="16384" width="9.1796875" style="75"/>
  </cols>
  <sheetData>
    <row r="1" spans="1:10" ht="15.5" x14ac:dyDescent="0.35">
      <c r="A1" s="483" t="s">
        <v>1046</v>
      </c>
      <c r="B1" s="483"/>
      <c r="C1" s="483"/>
      <c r="D1" s="483"/>
      <c r="E1" s="483"/>
      <c r="F1" s="483"/>
    </row>
    <row r="2" spans="1:10" ht="16.5" hidden="1" customHeight="1" x14ac:dyDescent="0.25">
      <c r="A2" s="50" t="s">
        <v>967</v>
      </c>
      <c r="B2" s="51"/>
      <c r="C2" s="50" t="s">
        <v>968</v>
      </c>
      <c r="D2" s="50"/>
      <c r="E2" s="52" t="s">
        <v>969</v>
      </c>
      <c r="F2" s="52"/>
    </row>
    <row r="3" spans="1:10" ht="17.25" hidden="1" customHeight="1" x14ac:dyDescent="0.25">
      <c r="A3" s="484" t="s">
        <v>970</v>
      </c>
      <c r="B3" s="484"/>
      <c r="C3" s="484"/>
      <c r="D3" s="484"/>
      <c r="E3" s="484"/>
      <c r="F3" s="484"/>
    </row>
    <row r="4" spans="1:10" ht="34.5" hidden="1" customHeight="1" x14ac:dyDescent="0.25">
      <c r="A4" s="472" t="s">
        <v>971</v>
      </c>
      <c r="B4" s="472"/>
      <c r="C4" s="53"/>
      <c r="D4" s="472" t="s">
        <v>972</v>
      </c>
      <c r="E4" s="472"/>
      <c r="F4" s="90"/>
    </row>
    <row r="5" spans="1:10" ht="48.75" hidden="1" customHeight="1" x14ac:dyDescent="0.25">
      <c r="A5" s="472" t="s">
        <v>973</v>
      </c>
      <c r="B5" s="472"/>
      <c r="C5" s="54"/>
      <c r="D5" s="472" t="s">
        <v>974</v>
      </c>
      <c r="E5" s="472"/>
      <c r="F5" s="90"/>
    </row>
    <row r="6" spans="1:10" ht="36.75" hidden="1" customHeight="1" x14ac:dyDescent="0.25">
      <c r="A6" s="472" t="s">
        <v>975</v>
      </c>
      <c r="B6" s="472"/>
      <c r="C6" s="55"/>
      <c r="D6" s="472" t="s">
        <v>976</v>
      </c>
      <c r="E6" s="472"/>
      <c r="F6" s="56" t="s">
        <v>164</v>
      </c>
    </row>
    <row r="7" spans="1:10" ht="41.25" hidden="1" customHeight="1" x14ac:dyDescent="0.25">
      <c r="A7" s="472" t="s">
        <v>977</v>
      </c>
      <c r="B7" s="472"/>
      <c r="C7" s="54"/>
      <c r="D7" s="472" t="s">
        <v>978</v>
      </c>
      <c r="E7" s="472"/>
      <c r="F7" s="57">
        <v>1156.0899999999999</v>
      </c>
    </row>
    <row r="8" spans="1:10" ht="41.25" hidden="1" customHeight="1" x14ac:dyDescent="0.25">
      <c r="A8" s="472" t="s">
        <v>979</v>
      </c>
      <c r="B8" s="472"/>
      <c r="C8" s="54"/>
      <c r="D8" s="472" t="s">
        <v>980</v>
      </c>
      <c r="E8" s="472"/>
      <c r="F8" s="57" t="s">
        <v>164</v>
      </c>
    </row>
    <row r="9" spans="1:10" ht="14.25" customHeight="1" x14ac:dyDescent="0.25">
      <c r="A9" s="487"/>
      <c r="B9" s="488"/>
      <c r="C9" s="488"/>
      <c r="D9" s="488"/>
      <c r="E9" s="488"/>
      <c r="F9" s="488"/>
    </row>
    <row r="10" spans="1:10" ht="15.5" hidden="1" x14ac:dyDescent="0.25">
      <c r="A10" s="489" t="s">
        <v>981</v>
      </c>
      <c r="B10" s="489"/>
      <c r="C10" s="489"/>
      <c r="D10" s="489"/>
      <c r="E10" s="489"/>
      <c r="F10" s="489"/>
    </row>
    <row r="11" spans="1:10" ht="26" hidden="1" x14ac:dyDescent="0.25">
      <c r="A11" s="54" t="s">
        <v>982</v>
      </c>
      <c r="B11" s="55"/>
      <c r="C11" s="54" t="s">
        <v>983</v>
      </c>
      <c r="D11" s="55"/>
      <c r="E11" s="54" t="s">
        <v>984</v>
      </c>
      <c r="F11" s="54"/>
    </row>
    <row r="12" spans="1:10" ht="13" hidden="1" x14ac:dyDescent="0.25">
      <c r="A12" s="58"/>
      <c r="B12" s="59"/>
      <c r="C12" s="58"/>
      <c r="D12" s="59"/>
      <c r="E12" s="58"/>
      <c r="F12" s="58"/>
    </row>
    <row r="13" spans="1:10" ht="15.5" x14ac:dyDescent="0.25">
      <c r="A13" s="490" t="s">
        <v>985</v>
      </c>
      <c r="B13" s="491"/>
      <c r="C13" s="491"/>
      <c r="D13" s="491"/>
      <c r="E13" s="491"/>
      <c r="F13" s="492"/>
      <c r="J13" s="75" t="s">
        <v>164</v>
      </c>
    </row>
    <row r="14" spans="1:10" ht="12.75" customHeight="1" x14ac:dyDescent="0.25">
      <c r="A14" s="71">
        <v>1</v>
      </c>
      <c r="B14" s="477" t="s">
        <v>726</v>
      </c>
      <c r="C14" s="478"/>
      <c r="D14" s="478"/>
      <c r="E14" s="479"/>
      <c r="F14" s="418" t="s">
        <v>727</v>
      </c>
    </row>
    <row r="15" spans="1:10" ht="12.75" customHeight="1" x14ac:dyDescent="0.25">
      <c r="A15" s="72" t="s">
        <v>684</v>
      </c>
      <c r="B15" s="473" t="s">
        <v>704</v>
      </c>
      <c r="C15" s="474"/>
      <c r="D15" s="475"/>
      <c r="E15" s="476"/>
      <c r="F15" s="140">
        <v>1606.25</v>
      </c>
    </row>
    <row r="16" spans="1:10" ht="12.75" customHeight="1" x14ac:dyDescent="0.25">
      <c r="A16" s="72" t="s">
        <v>690</v>
      </c>
      <c r="B16" s="473" t="s">
        <v>728</v>
      </c>
      <c r="C16" s="474"/>
      <c r="D16" s="485"/>
      <c r="E16" s="486"/>
      <c r="F16" s="140">
        <f>D16*F15</f>
        <v>0</v>
      </c>
    </row>
    <row r="17" spans="1:8" x14ac:dyDescent="0.25">
      <c r="A17" s="72" t="s">
        <v>705</v>
      </c>
      <c r="B17" s="473" t="s">
        <v>729</v>
      </c>
      <c r="C17" s="474"/>
      <c r="D17" s="529">
        <v>0.3</v>
      </c>
      <c r="E17" s="476"/>
      <c r="F17" s="140">
        <f>F15*D17</f>
        <v>481.875</v>
      </c>
    </row>
    <row r="18" spans="1:8" x14ac:dyDescent="0.25">
      <c r="A18" s="72" t="s">
        <v>706</v>
      </c>
      <c r="B18" s="473" t="s">
        <v>730</v>
      </c>
      <c r="C18" s="474"/>
      <c r="D18" s="475"/>
      <c r="E18" s="476"/>
      <c r="F18" s="140"/>
    </row>
    <row r="19" spans="1:8" x14ac:dyDescent="0.25">
      <c r="A19" s="72" t="s">
        <v>707</v>
      </c>
      <c r="B19" s="473" t="s">
        <v>987</v>
      </c>
      <c r="C19" s="474"/>
      <c r="D19" s="475"/>
      <c r="E19" s="476"/>
      <c r="F19" s="140"/>
    </row>
    <row r="20" spans="1:8" x14ac:dyDescent="0.25">
      <c r="A20" s="72" t="s">
        <v>708</v>
      </c>
      <c r="B20" s="473" t="s">
        <v>988</v>
      </c>
      <c r="C20" s="474"/>
      <c r="D20" s="475"/>
      <c r="E20" s="476"/>
      <c r="F20" s="140"/>
    </row>
    <row r="21" spans="1:8" x14ac:dyDescent="0.25">
      <c r="A21" s="72" t="s">
        <v>716</v>
      </c>
      <c r="B21" s="473" t="s">
        <v>732</v>
      </c>
      <c r="C21" s="474"/>
      <c r="D21" s="475"/>
      <c r="E21" s="476"/>
      <c r="F21" s="140" t="s">
        <v>164</v>
      </c>
    </row>
    <row r="22" spans="1:8" ht="13" x14ac:dyDescent="0.25">
      <c r="A22" s="477" t="s">
        <v>18</v>
      </c>
      <c r="B22" s="478"/>
      <c r="C22" s="478"/>
      <c r="D22" s="478"/>
      <c r="E22" s="479"/>
      <c r="F22" s="106">
        <f>SUM(F15:F21)</f>
        <v>2088.125</v>
      </c>
    </row>
    <row r="23" spans="1:8" ht="13" x14ac:dyDescent="0.25">
      <c r="A23" s="60"/>
      <c r="B23" s="61"/>
      <c r="C23" s="61"/>
      <c r="D23" s="61"/>
      <c r="E23" s="61"/>
      <c r="F23" s="142"/>
    </row>
    <row r="24" spans="1:8" ht="15.5" x14ac:dyDescent="0.25">
      <c r="A24" s="480" t="s">
        <v>989</v>
      </c>
      <c r="B24" s="481"/>
      <c r="C24" s="481"/>
      <c r="D24" s="481"/>
      <c r="E24" s="481"/>
      <c r="F24" s="482"/>
    </row>
    <row r="25" spans="1:8" ht="13" x14ac:dyDescent="0.25">
      <c r="A25" s="477" t="s">
        <v>990</v>
      </c>
      <c r="B25" s="478"/>
      <c r="C25" s="478"/>
      <c r="D25" s="478"/>
      <c r="E25" s="478"/>
      <c r="F25" s="478"/>
    </row>
    <row r="26" spans="1:8" ht="13" x14ac:dyDescent="0.25">
      <c r="A26" s="71" t="s">
        <v>248</v>
      </c>
      <c r="B26" s="477" t="s">
        <v>991</v>
      </c>
      <c r="C26" s="478"/>
      <c r="D26" s="478"/>
      <c r="E26" s="479"/>
      <c r="F26" s="71" t="s">
        <v>727</v>
      </c>
    </row>
    <row r="27" spans="1:8" x14ac:dyDescent="0.25">
      <c r="A27" s="72" t="s">
        <v>992</v>
      </c>
      <c r="B27" s="473" t="s">
        <v>993</v>
      </c>
      <c r="C27" s="474"/>
      <c r="D27" s="474"/>
      <c r="E27" s="143">
        <f>(1/12)*1</f>
        <v>8.3333333333333329E-2</v>
      </c>
      <c r="F27" s="144">
        <f>ROUND($E$27*F22,2)</f>
        <v>174.01</v>
      </c>
      <c r="G27" s="76"/>
      <c r="H27" s="76"/>
    </row>
    <row r="28" spans="1:8" ht="12.75" customHeight="1" x14ac:dyDescent="0.25">
      <c r="A28" s="72" t="s">
        <v>690</v>
      </c>
      <c r="B28" s="473" t="s">
        <v>994</v>
      </c>
      <c r="C28" s="474"/>
      <c r="D28" s="474"/>
      <c r="E28" s="143">
        <v>0.121</v>
      </c>
      <c r="F28" s="144">
        <f>E28*F22</f>
        <v>252.66312499999998</v>
      </c>
      <c r="G28" s="76"/>
      <c r="H28" s="76"/>
    </row>
    <row r="29" spans="1:8" ht="13" x14ac:dyDescent="0.25">
      <c r="A29" s="477" t="s">
        <v>18</v>
      </c>
      <c r="B29" s="478"/>
      <c r="C29" s="478"/>
      <c r="D29" s="478"/>
      <c r="E29" s="479"/>
      <c r="F29" s="106">
        <f>SUM(F23:F28)</f>
        <v>426.67312499999997</v>
      </c>
      <c r="H29" s="76"/>
    </row>
    <row r="30" spans="1:8" s="79" customFormat="1" ht="13" x14ac:dyDescent="0.25">
      <c r="A30" s="60"/>
      <c r="B30" s="61"/>
      <c r="C30" s="61"/>
      <c r="D30" s="61"/>
      <c r="E30" s="61"/>
      <c r="F30" s="145"/>
      <c r="G30" s="78"/>
    </row>
    <row r="31" spans="1:8" ht="13" x14ac:dyDescent="0.25">
      <c r="A31" s="477" t="s">
        <v>995</v>
      </c>
      <c r="B31" s="478"/>
      <c r="C31" s="478"/>
      <c r="D31" s="478"/>
      <c r="E31" s="478"/>
      <c r="F31" s="479"/>
    </row>
    <row r="32" spans="1:8" ht="13" x14ac:dyDescent="0.25">
      <c r="A32" s="71" t="s">
        <v>250</v>
      </c>
      <c r="B32" s="494" t="s">
        <v>996</v>
      </c>
      <c r="C32" s="494"/>
      <c r="D32" s="494"/>
      <c r="E32" s="71" t="s">
        <v>185</v>
      </c>
      <c r="F32" s="71" t="s">
        <v>727</v>
      </c>
      <c r="G32" s="80"/>
      <c r="H32" s="80"/>
    </row>
    <row r="33" spans="1:10" ht="13" x14ac:dyDescent="0.25">
      <c r="A33" s="71"/>
      <c r="B33" s="477" t="s">
        <v>1049</v>
      </c>
      <c r="C33" s="478"/>
      <c r="D33" s="479"/>
      <c r="E33" s="71"/>
      <c r="F33" s="146">
        <f>F22+F29</f>
        <v>2514.7981249999998</v>
      </c>
      <c r="G33" s="80"/>
      <c r="H33" s="80"/>
    </row>
    <row r="34" spans="1:10" x14ac:dyDescent="0.25">
      <c r="A34" s="72" t="s">
        <v>684</v>
      </c>
      <c r="B34" s="493" t="s">
        <v>710</v>
      </c>
      <c r="C34" s="493"/>
      <c r="D34" s="493"/>
      <c r="E34" s="62">
        <v>0.2</v>
      </c>
      <c r="F34" s="103">
        <f>ROUND($F$22*E34,2)</f>
        <v>417.63</v>
      </c>
    </row>
    <row r="35" spans="1:10" ht="16.5" customHeight="1" x14ac:dyDescent="0.25">
      <c r="A35" s="72" t="s">
        <v>690</v>
      </c>
      <c r="B35" s="493" t="s">
        <v>714</v>
      </c>
      <c r="C35" s="493"/>
      <c r="D35" s="493"/>
      <c r="E35" s="62">
        <v>2.5000000000000001E-2</v>
      </c>
      <c r="F35" s="103">
        <f>F33*E35</f>
        <v>62.869953124999995</v>
      </c>
    </row>
    <row r="36" spans="1:10" ht="15" customHeight="1" x14ac:dyDescent="0.25">
      <c r="A36" s="72" t="s">
        <v>705</v>
      </c>
      <c r="B36" s="493" t="s">
        <v>997</v>
      </c>
      <c r="C36" s="493"/>
      <c r="D36" s="493"/>
      <c r="E36" s="62">
        <v>0.03</v>
      </c>
      <c r="F36" s="103">
        <f>F33*E36</f>
        <v>75.443943749999988</v>
      </c>
    </row>
    <row r="37" spans="1:10" x14ac:dyDescent="0.25">
      <c r="A37" s="72" t="s">
        <v>706</v>
      </c>
      <c r="B37" s="493" t="s">
        <v>711</v>
      </c>
      <c r="C37" s="493"/>
      <c r="D37" s="493"/>
      <c r="E37" s="62">
        <v>1.4999999999999999E-2</v>
      </c>
      <c r="F37" s="103">
        <f>F33*E37</f>
        <v>37.721971874999994</v>
      </c>
    </row>
    <row r="38" spans="1:10" x14ac:dyDescent="0.25">
      <c r="A38" s="72" t="s">
        <v>707</v>
      </c>
      <c r="B38" s="493" t="s">
        <v>712</v>
      </c>
      <c r="C38" s="493"/>
      <c r="D38" s="493"/>
      <c r="E38" s="62">
        <v>0.01</v>
      </c>
      <c r="F38" s="103">
        <f>F33*E38</f>
        <v>25.147981249999997</v>
      </c>
      <c r="J38" s="75" t="s">
        <v>164</v>
      </c>
    </row>
    <row r="39" spans="1:10" x14ac:dyDescent="0.25">
      <c r="A39" s="72" t="s">
        <v>708</v>
      </c>
      <c r="B39" s="493" t="s">
        <v>717</v>
      </c>
      <c r="C39" s="493"/>
      <c r="D39" s="493"/>
      <c r="E39" s="62">
        <v>6.0000000000000001E-3</v>
      </c>
      <c r="F39" s="103">
        <f>F33*E39</f>
        <v>15.088788749999999</v>
      </c>
    </row>
    <row r="40" spans="1:10" x14ac:dyDescent="0.25">
      <c r="A40" s="72" t="s">
        <v>716</v>
      </c>
      <c r="B40" s="493" t="s">
        <v>713</v>
      </c>
      <c r="C40" s="493"/>
      <c r="D40" s="493"/>
      <c r="E40" s="62">
        <v>2E-3</v>
      </c>
      <c r="F40" s="103">
        <f>F33*E40</f>
        <v>5.02959625</v>
      </c>
    </row>
    <row r="41" spans="1:10" x14ac:dyDescent="0.25">
      <c r="A41" s="72" t="s">
        <v>38</v>
      </c>
      <c r="B41" s="493" t="s">
        <v>715</v>
      </c>
      <c r="C41" s="493"/>
      <c r="D41" s="493"/>
      <c r="E41" s="62">
        <v>0.08</v>
      </c>
      <c r="F41" s="103">
        <f>F33*E41</f>
        <v>201.18384999999998</v>
      </c>
    </row>
    <row r="42" spans="1:10" ht="13" x14ac:dyDescent="0.25">
      <c r="A42" s="494" t="s">
        <v>18</v>
      </c>
      <c r="B42" s="494"/>
      <c r="C42" s="494"/>
      <c r="D42" s="494"/>
      <c r="E42" s="92">
        <f>SUM(E34:E41)</f>
        <v>0.36800000000000005</v>
      </c>
      <c r="F42" s="106">
        <f>SUM(F34:F41)</f>
        <v>840.11608500000011</v>
      </c>
    </row>
    <row r="43" spans="1:10" ht="27.75" customHeight="1" x14ac:dyDescent="0.25">
      <c r="A43" s="496" t="s">
        <v>998</v>
      </c>
      <c r="B43" s="497"/>
      <c r="C43" s="497"/>
      <c r="D43" s="497"/>
      <c r="E43" s="497"/>
      <c r="F43" s="498"/>
    </row>
    <row r="44" spans="1:10" ht="25.5" customHeight="1" x14ac:dyDescent="0.25">
      <c r="A44" s="496" t="s">
        <v>999</v>
      </c>
      <c r="B44" s="497"/>
      <c r="C44" s="497"/>
      <c r="D44" s="497"/>
      <c r="E44" s="497"/>
      <c r="F44" s="498"/>
    </row>
    <row r="45" spans="1:10" x14ac:dyDescent="0.25">
      <c r="A45" s="496" t="s">
        <v>1000</v>
      </c>
      <c r="B45" s="497"/>
      <c r="C45" s="497"/>
      <c r="D45" s="497"/>
      <c r="E45" s="497"/>
      <c r="F45" s="498"/>
    </row>
    <row r="46" spans="1:10" ht="12.75" customHeight="1" x14ac:dyDescent="0.25">
      <c r="A46" s="96"/>
      <c r="B46" s="499"/>
      <c r="C46" s="475"/>
      <c r="D46" s="475"/>
      <c r="E46" s="476"/>
      <c r="F46" s="96"/>
    </row>
    <row r="47" spans="1:10" ht="28.5" customHeight="1" x14ac:dyDescent="0.25">
      <c r="A47" s="477" t="s">
        <v>1001</v>
      </c>
      <c r="B47" s="478"/>
      <c r="C47" s="478"/>
      <c r="D47" s="478"/>
      <c r="E47" s="478"/>
      <c r="F47" s="479"/>
    </row>
    <row r="48" spans="1:10" ht="12.75" customHeight="1" x14ac:dyDescent="0.25">
      <c r="A48" s="71" t="s">
        <v>252</v>
      </c>
      <c r="B48" s="477" t="s">
        <v>731</v>
      </c>
      <c r="C48" s="478"/>
      <c r="D48" s="478"/>
      <c r="E48" s="479"/>
      <c r="F48" s="71" t="s">
        <v>727</v>
      </c>
    </row>
    <row r="49" spans="1:10" s="107" customFormat="1" x14ac:dyDescent="0.25">
      <c r="A49" s="72" t="s">
        <v>684</v>
      </c>
      <c r="B49" s="473" t="s">
        <v>1050</v>
      </c>
      <c r="C49" s="474"/>
      <c r="D49" s="63">
        <v>3.75</v>
      </c>
      <c r="E49" s="64"/>
      <c r="F49" s="65">
        <f>TRUNC(D49*2*22)-(6%*F15)</f>
        <v>68.625</v>
      </c>
      <c r="I49" s="428"/>
      <c r="J49" s="428"/>
    </row>
    <row r="50" spans="1:10" s="107" customFormat="1" ht="33.75" customHeight="1" x14ac:dyDescent="0.25">
      <c r="A50" s="100" t="s">
        <v>690</v>
      </c>
      <c r="B50" s="473" t="s">
        <v>1051</v>
      </c>
      <c r="C50" s="474"/>
      <c r="D50" s="63">
        <f>5.83+9.32</f>
        <v>15.15</v>
      </c>
      <c r="E50" s="419"/>
      <c r="F50" s="429">
        <f>D50*22</f>
        <v>333.3</v>
      </c>
    </row>
    <row r="51" spans="1:10" s="107" customFormat="1" ht="12.75" customHeight="1" x14ac:dyDescent="0.25">
      <c r="A51" s="100" t="s">
        <v>705</v>
      </c>
      <c r="B51" s="493" t="s">
        <v>1002</v>
      </c>
      <c r="C51" s="493"/>
      <c r="D51" s="495"/>
      <c r="E51" s="495"/>
      <c r="F51" s="63">
        <v>0</v>
      </c>
    </row>
    <row r="52" spans="1:10" s="107" customFormat="1" ht="13" x14ac:dyDescent="0.3">
      <c r="A52" s="100" t="s">
        <v>706</v>
      </c>
      <c r="B52" s="493" t="s">
        <v>1048</v>
      </c>
      <c r="C52" s="493"/>
      <c r="D52" s="495"/>
      <c r="E52" s="495"/>
      <c r="F52" s="431">
        <f>ROUND(((50000*0.006)/12),2)</f>
        <v>25</v>
      </c>
    </row>
    <row r="53" spans="1:10" s="107" customFormat="1" ht="15" customHeight="1" x14ac:dyDescent="0.25">
      <c r="A53" s="477" t="s">
        <v>18</v>
      </c>
      <c r="B53" s="478"/>
      <c r="C53" s="478"/>
      <c r="D53" s="478"/>
      <c r="E53" s="479"/>
      <c r="F53" s="109">
        <f>SUM(F49:F52)</f>
        <v>426.92500000000001</v>
      </c>
      <c r="G53" s="428"/>
    </row>
    <row r="54" spans="1:10" s="107" customFormat="1" ht="29.25" customHeight="1" x14ac:dyDescent="0.25">
      <c r="A54" s="496" t="s">
        <v>1003</v>
      </c>
      <c r="B54" s="497"/>
      <c r="C54" s="497"/>
      <c r="D54" s="497"/>
      <c r="E54" s="497"/>
      <c r="F54" s="498"/>
    </row>
    <row r="55" spans="1:10" ht="29.25" customHeight="1" x14ac:dyDescent="0.25">
      <c r="A55" s="496" t="s">
        <v>1004</v>
      </c>
      <c r="B55" s="497"/>
      <c r="C55" s="497"/>
      <c r="D55" s="497"/>
      <c r="E55" s="497"/>
      <c r="F55" s="498"/>
    </row>
    <row r="56" spans="1:10" ht="15" customHeight="1" x14ac:dyDescent="0.25">
      <c r="A56" s="97"/>
      <c r="B56" s="98"/>
      <c r="C56" s="98"/>
      <c r="D56" s="98"/>
      <c r="E56" s="98"/>
      <c r="F56" s="99"/>
    </row>
    <row r="57" spans="1:10" ht="28.5" customHeight="1" x14ac:dyDescent="0.25">
      <c r="A57" s="477" t="s">
        <v>1005</v>
      </c>
      <c r="B57" s="478"/>
      <c r="C57" s="478"/>
      <c r="D57" s="478"/>
      <c r="E57" s="478"/>
      <c r="F57" s="479"/>
    </row>
    <row r="58" spans="1:10" ht="12.75" customHeight="1" x14ac:dyDescent="0.25">
      <c r="A58" s="71">
        <v>2</v>
      </c>
      <c r="B58" s="477" t="s">
        <v>1006</v>
      </c>
      <c r="C58" s="478"/>
      <c r="D58" s="478"/>
      <c r="E58" s="479"/>
      <c r="F58" s="71" t="s">
        <v>727</v>
      </c>
    </row>
    <row r="59" spans="1:10" ht="16.5" customHeight="1" x14ac:dyDescent="0.25">
      <c r="A59" s="100" t="s">
        <v>248</v>
      </c>
      <c r="B59" s="500" t="s">
        <v>990</v>
      </c>
      <c r="C59" s="500"/>
      <c r="D59" s="500"/>
      <c r="E59" s="500"/>
      <c r="F59" s="147">
        <f>F29</f>
        <v>426.67312499999997</v>
      </c>
    </row>
    <row r="60" spans="1:10" ht="24" customHeight="1" x14ac:dyDescent="0.25">
      <c r="A60" s="100" t="s">
        <v>250</v>
      </c>
      <c r="B60" s="500" t="s">
        <v>995</v>
      </c>
      <c r="C60" s="500"/>
      <c r="D60" s="500"/>
      <c r="E60" s="500"/>
      <c r="F60" s="147">
        <f>F42</f>
        <v>840.11608500000011</v>
      </c>
    </row>
    <row r="61" spans="1:10" ht="15.75" customHeight="1" x14ac:dyDescent="0.25">
      <c r="A61" s="100" t="s">
        <v>252</v>
      </c>
      <c r="B61" s="500" t="s">
        <v>1001</v>
      </c>
      <c r="C61" s="500"/>
      <c r="D61" s="500"/>
      <c r="E61" s="500"/>
      <c r="F61" s="147">
        <f>F53</f>
        <v>426.92500000000001</v>
      </c>
    </row>
    <row r="62" spans="1:10" ht="15" customHeight="1" x14ac:dyDescent="0.25">
      <c r="A62" s="477" t="s">
        <v>18</v>
      </c>
      <c r="B62" s="478"/>
      <c r="C62" s="478"/>
      <c r="D62" s="478"/>
      <c r="E62" s="479"/>
      <c r="F62" s="109">
        <f>SUM(F56:F61)</f>
        <v>1693.7142100000001</v>
      </c>
    </row>
    <row r="63" spans="1:10" s="79" customFormat="1" ht="15" customHeight="1" x14ac:dyDescent="0.25">
      <c r="A63" s="60"/>
      <c r="B63" s="61"/>
      <c r="C63" s="61"/>
      <c r="D63" s="61"/>
      <c r="E63" s="61"/>
      <c r="F63" s="148"/>
    </row>
    <row r="64" spans="1:10" ht="15.5" x14ac:dyDescent="0.25">
      <c r="A64" s="490" t="s">
        <v>1007</v>
      </c>
      <c r="B64" s="491"/>
      <c r="C64" s="491"/>
      <c r="D64" s="491"/>
      <c r="E64" s="491"/>
      <c r="F64" s="492"/>
    </row>
    <row r="65" spans="1:8" ht="13" x14ac:dyDescent="0.25">
      <c r="A65" s="440" t="s">
        <v>382</v>
      </c>
      <c r="B65" s="494" t="s">
        <v>1008</v>
      </c>
      <c r="C65" s="494"/>
      <c r="D65" s="494"/>
      <c r="E65" s="440"/>
      <c r="F65" s="440" t="s">
        <v>727</v>
      </c>
    </row>
    <row r="66" spans="1:8" ht="26.25" customHeight="1" x14ac:dyDescent="0.25">
      <c r="A66" s="441" t="s">
        <v>684</v>
      </c>
      <c r="B66" s="499" t="s">
        <v>1122</v>
      </c>
      <c r="C66" s="475"/>
      <c r="D66" s="154"/>
      <c r="E66" s="101">
        <v>4.1999999999999997E-3</v>
      </c>
      <c r="F66" s="103">
        <f>E66*F22</f>
        <v>8.7701250000000002</v>
      </c>
      <c r="G66" s="82"/>
    </row>
    <row r="67" spans="1:8" ht="27" customHeight="1" x14ac:dyDescent="0.25">
      <c r="A67" s="441" t="s">
        <v>690</v>
      </c>
      <c r="B67" s="499" t="s">
        <v>1119</v>
      </c>
      <c r="C67" s="475"/>
      <c r="D67" s="154"/>
      <c r="E67" s="446">
        <f>E66*E41</f>
        <v>3.3599999999999998E-4</v>
      </c>
      <c r="F67" s="103">
        <f>E67*F22</f>
        <v>0.70160999999999996</v>
      </c>
    </row>
    <row r="68" spans="1:8" x14ac:dyDescent="0.25">
      <c r="A68" s="441" t="s">
        <v>705</v>
      </c>
      <c r="B68" s="499"/>
      <c r="C68" s="476"/>
      <c r="D68" s="154"/>
      <c r="E68" s="102"/>
      <c r="F68" s="103">
        <f>E68*F22</f>
        <v>0</v>
      </c>
    </row>
    <row r="69" spans="1:8" ht="30.75" customHeight="1" x14ac:dyDescent="0.25">
      <c r="A69" s="441" t="s">
        <v>706</v>
      </c>
      <c r="B69" s="499" t="s">
        <v>1123</v>
      </c>
      <c r="C69" s="475"/>
      <c r="D69" s="154"/>
      <c r="E69" s="101">
        <v>1.9400000000000001E-2</v>
      </c>
      <c r="F69" s="103">
        <f t="shared" ref="F69" si="0">E69*F25</f>
        <v>0</v>
      </c>
      <c r="G69" s="76" t="s">
        <v>164</v>
      </c>
    </row>
    <row r="70" spans="1:8" ht="24.75" customHeight="1" x14ac:dyDescent="0.25">
      <c r="A70" s="441" t="s">
        <v>707</v>
      </c>
      <c r="B70" s="499" t="s">
        <v>1120</v>
      </c>
      <c r="C70" s="475"/>
      <c r="D70" s="154"/>
      <c r="E70" s="102">
        <f>E42*E69</f>
        <v>7.1392000000000009E-3</v>
      </c>
      <c r="F70" s="103">
        <f>E70*F22</f>
        <v>14.907542000000001</v>
      </c>
    </row>
    <row r="71" spans="1:8" ht="60" customHeight="1" x14ac:dyDescent="0.25">
      <c r="A71" s="441" t="s">
        <v>708</v>
      </c>
      <c r="B71" s="499" t="s">
        <v>1121</v>
      </c>
      <c r="C71" s="475"/>
      <c r="D71" s="154"/>
      <c r="E71" s="102">
        <v>0.04</v>
      </c>
      <c r="F71" s="103">
        <f>E71*F22</f>
        <v>83.525000000000006</v>
      </c>
      <c r="G71" s="83"/>
      <c r="H71" s="83"/>
    </row>
    <row r="72" spans="1:8" ht="13" x14ac:dyDescent="0.25">
      <c r="A72" s="477" t="s">
        <v>18</v>
      </c>
      <c r="B72" s="478"/>
      <c r="C72" s="478"/>
      <c r="D72" s="478"/>
      <c r="E72" s="445">
        <f>SUM(E66:E71)</f>
        <v>7.1075200000000005E-2</v>
      </c>
      <c r="F72" s="106">
        <f>SUM(F66:F71)</f>
        <v>107.90427700000001</v>
      </c>
      <c r="G72" s="82"/>
    </row>
    <row r="73" spans="1:8" x14ac:dyDescent="0.25">
      <c r="A73" s="442"/>
      <c r="B73" s="443"/>
      <c r="C73" s="443"/>
      <c r="D73" s="443"/>
      <c r="E73" s="443"/>
      <c r="F73" s="444"/>
    </row>
    <row r="74" spans="1:8" ht="15.5" hidden="1" x14ac:dyDescent="0.25">
      <c r="A74" s="490" t="s">
        <v>1007</v>
      </c>
      <c r="B74" s="491"/>
      <c r="C74" s="491"/>
      <c r="D74" s="491"/>
      <c r="E74" s="491"/>
      <c r="F74" s="492"/>
    </row>
    <row r="75" spans="1:8" ht="13" hidden="1" x14ac:dyDescent="0.25">
      <c r="A75" s="440" t="s">
        <v>382</v>
      </c>
      <c r="B75" s="494" t="s">
        <v>1008</v>
      </c>
      <c r="C75" s="494"/>
      <c r="D75" s="494"/>
      <c r="E75" s="440"/>
      <c r="F75" s="440" t="s">
        <v>727</v>
      </c>
    </row>
    <row r="76" spans="1:8" ht="13" hidden="1" x14ac:dyDescent="0.25">
      <c r="A76" s="440"/>
      <c r="B76" s="477" t="s">
        <v>1010</v>
      </c>
      <c r="C76" s="478"/>
      <c r="D76" s="479"/>
      <c r="E76" s="146" t="s">
        <v>164</v>
      </c>
      <c r="F76" s="146" t="e">
        <f>F13+#REF!+F32+F52</f>
        <v>#REF!</v>
      </c>
    </row>
    <row r="77" spans="1:8" ht="24" hidden="1" customHeight="1" x14ac:dyDescent="0.25">
      <c r="A77" s="441" t="s">
        <v>684</v>
      </c>
      <c r="B77" s="501" t="s">
        <v>1011</v>
      </c>
      <c r="C77" s="502"/>
      <c r="D77" s="63">
        <f>F22+F29+F41+F53</f>
        <v>3142.9069749999999</v>
      </c>
      <c r="E77" s="150">
        <v>0.38700000000000001</v>
      </c>
      <c r="F77" s="103">
        <f>((D77/12)+F79)*E77</f>
        <v>140.28782491875</v>
      </c>
      <c r="G77" s="82">
        <f>D77/12</f>
        <v>261.90891458333334</v>
      </c>
    </row>
    <row r="78" spans="1:8" ht="23.25" hidden="1" customHeight="1" x14ac:dyDescent="0.25">
      <c r="A78" s="441" t="s">
        <v>690</v>
      </c>
      <c r="B78" s="501" t="s">
        <v>1012</v>
      </c>
      <c r="C78" s="502"/>
      <c r="D78" s="151">
        <f>F77+F79</f>
        <v>240.87974991875001</v>
      </c>
      <c r="E78" s="152">
        <v>0.08</v>
      </c>
      <c r="F78" s="103">
        <f>D78*E78</f>
        <v>19.270379993500001</v>
      </c>
    </row>
    <row r="79" spans="1:8" ht="27" hidden="1" customHeight="1" x14ac:dyDescent="0.25">
      <c r="A79" s="441" t="s">
        <v>705</v>
      </c>
      <c r="B79" s="501" t="s">
        <v>1013</v>
      </c>
      <c r="C79" s="502"/>
      <c r="D79" s="63">
        <f>F22+F29</f>
        <v>2514.7981249999998</v>
      </c>
      <c r="E79" s="102">
        <v>0.5</v>
      </c>
      <c r="F79" s="103">
        <f>D79*E78*E79</f>
        <v>100.59192499999999</v>
      </c>
    </row>
    <row r="80" spans="1:8" ht="29.25" hidden="1" customHeight="1" x14ac:dyDescent="0.25">
      <c r="A80" s="441" t="s">
        <v>706</v>
      </c>
      <c r="B80" s="501" t="s">
        <v>1014</v>
      </c>
      <c r="C80" s="504"/>
      <c r="D80" s="144">
        <f>F22+F62</f>
        <v>3781.8392100000001</v>
      </c>
      <c r="E80" s="150">
        <v>0.38700000000000001</v>
      </c>
      <c r="F80" s="103">
        <f>((D80/12)+F82)*E80</f>
        <v>160.89338949750001</v>
      </c>
      <c r="G80" s="76" t="s">
        <v>164</v>
      </c>
    </row>
    <row r="81" spans="1:7" ht="25.5" hidden="1" customHeight="1" x14ac:dyDescent="0.25">
      <c r="A81" s="441" t="s">
        <v>707</v>
      </c>
      <c r="B81" s="501" t="s">
        <v>1009</v>
      </c>
      <c r="C81" s="502"/>
      <c r="D81" s="96"/>
      <c r="E81" s="102">
        <f>E42</f>
        <v>0.36800000000000005</v>
      </c>
      <c r="F81" s="103">
        <f>E81*F80</f>
        <v>59.208767335080012</v>
      </c>
    </row>
    <row r="82" spans="1:7" ht="21.75" hidden="1" customHeight="1" x14ac:dyDescent="0.25">
      <c r="A82" s="441" t="s">
        <v>708</v>
      </c>
      <c r="B82" s="501" t="s">
        <v>1015</v>
      </c>
      <c r="C82" s="502"/>
      <c r="D82" s="63">
        <f>F22+F29</f>
        <v>2514.7981249999998</v>
      </c>
      <c r="E82" s="102">
        <v>0.5</v>
      </c>
      <c r="F82" s="103">
        <f>D82*E78*E82</f>
        <v>100.59192499999999</v>
      </c>
    </row>
    <row r="83" spans="1:7" ht="21.75" hidden="1" customHeight="1" x14ac:dyDescent="0.25">
      <c r="A83" s="441"/>
      <c r="B83" s="473" t="s">
        <v>1016</v>
      </c>
      <c r="C83" s="503"/>
      <c r="D83" s="63">
        <f>F29</f>
        <v>426.67312499999997</v>
      </c>
      <c r="E83" s="102">
        <v>2.76E-2</v>
      </c>
      <c r="F83" s="103">
        <f>D83*E83</f>
        <v>11.776178249999999</v>
      </c>
    </row>
    <row r="84" spans="1:7" ht="13" hidden="1" x14ac:dyDescent="0.25">
      <c r="A84" s="477" t="s">
        <v>18</v>
      </c>
      <c r="B84" s="478"/>
      <c r="C84" s="478"/>
      <c r="D84" s="478"/>
      <c r="E84" s="479"/>
      <c r="F84" s="106">
        <f>(F77+F78+F79+F80+F81+F82)-F83</f>
        <v>569.06803349482993</v>
      </c>
      <c r="G84" s="82" t="s">
        <v>164</v>
      </c>
    </row>
    <row r="85" spans="1:7" hidden="1" x14ac:dyDescent="0.25">
      <c r="A85" s="499"/>
      <c r="B85" s="475"/>
      <c r="C85" s="475"/>
      <c r="D85" s="475"/>
      <c r="E85" s="475"/>
      <c r="F85" s="476"/>
    </row>
    <row r="86" spans="1:7" s="79" customFormat="1" ht="13" x14ac:dyDescent="0.25">
      <c r="A86" s="60"/>
      <c r="B86" s="61"/>
      <c r="C86" s="61"/>
      <c r="D86" s="61"/>
      <c r="E86" s="153"/>
      <c r="F86" s="142"/>
    </row>
    <row r="87" spans="1:7" ht="15.5" x14ac:dyDescent="0.25">
      <c r="A87" s="490" t="s">
        <v>1017</v>
      </c>
      <c r="B87" s="491"/>
      <c r="C87" s="491"/>
      <c r="D87" s="491"/>
      <c r="E87" s="491"/>
      <c r="F87" s="492"/>
    </row>
    <row r="88" spans="1:7" ht="13" x14ac:dyDescent="0.25">
      <c r="A88" s="440" t="s">
        <v>501</v>
      </c>
      <c r="B88" s="494" t="s">
        <v>1018</v>
      </c>
      <c r="C88" s="494"/>
      <c r="D88" s="494"/>
      <c r="E88" s="440" t="s">
        <v>164</v>
      </c>
      <c r="F88" s="440" t="s">
        <v>727</v>
      </c>
    </row>
    <row r="89" spans="1:7" ht="13" x14ac:dyDescent="0.25">
      <c r="A89" s="440"/>
      <c r="B89" s="477" t="s">
        <v>1149</v>
      </c>
      <c r="C89" s="478"/>
      <c r="D89" s="479"/>
      <c r="E89" s="440"/>
      <c r="F89" s="146">
        <f>F22</f>
        <v>2088.125</v>
      </c>
    </row>
    <row r="90" spans="1:7" x14ac:dyDescent="0.25">
      <c r="A90" s="441" t="s">
        <v>684</v>
      </c>
      <c r="B90" s="473" t="s">
        <v>1133</v>
      </c>
      <c r="C90" s="474"/>
      <c r="D90" s="503"/>
      <c r="E90" s="449">
        <f>1/12/12+1/12/12+1/12/12/3</f>
        <v>1.6203703703703703E-2</v>
      </c>
      <c r="F90" s="103">
        <f>F89*E90</f>
        <v>33.835358796296298</v>
      </c>
      <c r="G90" s="82"/>
    </row>
    <row r="91" spans="1:7" x14ac:dyDescent="0.25">
      <c r="A91" s="441" t="s">
        <v>690</v>
      </c>
      <c r="B91" s="473" t="s">
        <v>1134</v>
      </c>
      <c r="C91" s="474"/>
      <c r="D91" s="503"/>
      <c r="E91" s="450">
        <f>1/30/12</f>
        <v>2.7777777777777779E-3</v>
      </c>
      <c r="F91" s="103">
        <f>F89*E91</f>
        <v>5.8003472222222223</v>
      </c>
    </row>
    <row r="92" spans="1:7" ht="14.5" x14ac:dyDescent="0.25">
      <c r="A92" s="441" t="s">
        <v>705</v>
      </c>
      <c r="B92" s="473" t="s">
        <v>1135</v>
      </c>
      <c r="C92" s="474"/>
      <c r="D92" s="503"/>
      <c r="E92" s="451">
        <f>5/30/12*0.015</f>
        <v>2.0833333333333332E-4</v>
      </c>
      <c r="F92" s="103">
        <f>F89*E92</f>
        <v>0.43502604166666664</v>
      </c>
    </row>
    <row r="93" spans="1:7" x14ac:dyDescent="0.25">
      <c r="A93" s="441" t="s">
        <v>706</v>
      </c>
      <c r="B93" s="473" t="s">
        <v>1136</v>
      </c>
      <c r="C93" s="474"/>
      <c r="D93" s="503"/>
      <c r="E93" s="450">
        <f>15/30/12*0.08</f>
        <v>3.3333333333333331E-3</v>
      </c>
      <c r="F93" s="103">
        <f>F89*E93</f>
        <v>6.9604166666666663</v>
      </c>
    </row>
    <row r="94" spans="1:7" x14ac:dyDescent="0.25">
      <c r="A94" s="441" t="s">
        <v>707</v>
      </c>
      <c r="B94" s="473" t="s">
        <v>1137</v>
      </c>
      <c r="C94" s="474"/>
      <c r="D94" s="503"/>
      <c r="E94" s="450">
        <f>((4*8.33%)+(4*2.78%))/12*2%</f>
        <v>7.4066666666666671E-4</v>
      </c>
      <c r="F94" s="103">
        <f>F89*E94</f>
        <v>1.5466045833333335</v>
      </c>
    </row>
    <row r="95" spans="1:7" x14ac:dyDescent="0.25">
      <c r="A95" s="441" t="s">
        <v>708</v>
      </c>
      <c r="B95" s="473" t="s">
        <v>1138</v>
      </c>
      <c r="C95" s="474"/>
      <c r="D95" s="503"/>
      <c r="E95" s="450">
        <v>0</v>
      </c>
      <c r="F95" s="103">
        <f>E95*E90</f>
        <v>0</v>
      </c>
      <c r="G95" s="448"/>
    </row>
    <row r="96" spans="1:7" ht="13" x14ac:dyDescent="0.25">
      <c r="A96" s="494" t="s">
        <v>18</v>
      </c>
      <c r="B96" s="494"/>
      <c r="C96" s="494"/>
      <c r="D96" s="494"/>
      <c r="E96" s="104">
        <f>SUM(E90:E94)</f>
        <v>2.3263814814814817E-2</v>
      </c>
      <c r="F96" s="106">
        <f>SUM(F90:F95)</f>
        <v>48.577753310185187</v>
      </c>
    </row>
    <row r="97" spans="1:9" s="79" customFormat="1" ht="13" x14ac:dyDescent="0.25">
      <c r="A97" s="60"/>
      <c r="B97" s="61"/>
      <c r="C97" s="61"/>
      <c r="D97" s="61"/>
      <c r="E97" s="153"/>
      <c r="F97" s="142"/>
    </row>
    <row r="98" spans="1:9" ht="15.5" x14ac:dyDescent="0.25">
      <c r="A98" s="490" t="s">
        <v>1017</v>
      </c>
      <c r="B98" s="491"/>
      <c r="C98" s="491"/>
      <c r="D98" s="491"/>
      <c r="E98" s="491"/>
      <c r="F98" s="492"/>
    </row>
    <row r="99" spans="1:9" ht="13" x14ac:dyDescent="0.25">
      <c r="A99" s="91" t="s">
        <v>503</v>
      </c>
      <c r="B99" s="494" t="s">
        <v>1019</v>
      </c>
      <c r="C99" s="494"/>
      <c r="D99" s="494"/>
      <c r="E99" s="91" t="s">
        <v>164</v>
      </c>
      <c r="F99" s="91" t="s">
        <v>727</v>
      </c>
    </row>
    <row r="100" spans="1:9" x14ac:dyDescent="0.25">
      <c r="A100" s="72" t="s">
        <v>684</v>
      </c>
      <c r="B100" s="493" t="s">
        <v>1020</v>
      </c>
      <c r="C100" s="493"/>
      <c r="D100" s="493"/>
      <c r="E100" s="102"/>
      <c r="F100" s="103"/>
    </row>
    <row r="101" spans="1:9" ht="13" x14ac:dyDescent="0.25">
      <c r="A101" s="477" t="s">
        <v>18</v>
      </c>
      <c r="B101" s="478"/>
      <c r="C101" s="478"/>
      <c r="D101" s="479"/>
      <c r="E101" s="105"/>
      <c r="F101" s="106">
        <f>SUM(F100)</f>
        <v>0</v>
      </c>
    </row>
    <row r="102" spans="1:9" x14ac:dyDescent="0.25">
      <c r="A102" s="107"/>
      <c r="B102" s="107"/>
      <c r="C102" s="107"/>
      <c r="D102" s="107"/>
      <c r="E102" s="107"/>
      <c r="F102" s="107"/>
    </row>
    <row r="103" spans="1:9" ht="13" x14ac:dyDescent="0.25">
      <c r="A103" s="477" t="s">
        <v>1021</v>
      </c>
      <c r="B103" s="478"/>
      <c r="C103" s="478"/>
      <c r="D103" s="478"/>
      <c r="E103" s="478"/>
      <c r="F103" s="479"/>
    </row>
    <row r="104" spans="1:9" ht="13" x14ac:dyDescent="0.25">
      <c r="A104" s="174">
        <v>4</v>
      </c>
      <c r="B104" s="477" t="s">
        <v>1022</v>
      </c>
      <c r="C104" s="478"/>
      <c r="D104" s="478"/>
      <c r="E104" s="479"/>
      <c r="F104" s="174" t="s">
        <v>727</v>
      </c>
    </row>
    <row r="105" spans="1:9" ht="16.5" customHeight="1" x14ac:dyDescent="0.25">
      <c r="A105" s="100" t="s">
        <v>248</v>
      </c>
      <c r="B105" s="496" t="s">
        <v>1018</v>
      </c>
      <c r="C105" s="497"/>
      <c r="D105" s="497"/>
      <c r="E105" s="498"/>
      <c r="F105" s="108">
        <f>F96</f>
        <v>48.577753310185187</v>
      </c>
    </row>
    <row r="106" spans="1:9" ht="18" customHeight="1" x14ac:dyDescent="0.25">
      <c r="A106" s="100" t="s">
        <v>250</v>
      </c>
      <c r="B106" s="496" t="s">
        <v>1019</v>
      </c>
      <c r="C106" s="497"/>
      <c r="D106" s="497"/>
      <c r="E106" s="498"/>
      <c r="F106" s="108">
        <f>F101</f>
        <v>0</v>
      </c>
    </row>
    <row r="107" spans="1:9" ht="15" customHeight="1" x14ac:dyDescent="0.25">
      <c r="A107" s="477" t="s">
        <v>18</v>
      </c>
      <c r="B107" s="478"/>
      <c r="C107" s="478"/>
      <c r="D107" s="478"/>
      <c r="E107" s="479"/>
      <c r="F107" s="109">
        <f>SUM(F101:F106)</f>
        <v>48.577753310185187</v>
      </c>
    </row>
    <row r="108" spans="1:9" ht="15" customHeight="1" x14ac:dyDescent="0.25">
      <c r="A108" s="107"/>
      <c r="B108" s="107"/>
      <c r="C108" s="107"/>
      <c r="D108" s="107"/>
      <c r="E108" s="107"/>
      <c r="F108" s="107"/>
    </row>
    <row r="109" spans="1:9" ht="15.75" customHeight="1" x14ac:dyDescent="0.25">
      <c r="A109" s="478" t="s">
        <v>1023</v>
      </c>
      <c r="B109" s="478"/>
      <c r="C109" s="478"/>
      <c r="D109" s="478"/>
      <c r="E109" s="478"/>
      <c r="F109" s="478"/>
    </row>
    <row r="110" spans="1:9" ht="13" x14ac:dyDescent="0.25">
      <c r="A110" s="426">
        <v>5</v>
      </c>
      <c r="B110" s="477" t="s">
        <v>733</v>
      </c>
      <c r="C110" s="478"/>
      <c r="D110" s="478"/>
      <c r="E110" s="479"/>
      <c r="F110" s="426" t="s">
        <v>727</v>
      </c>
      <c r="I110" s="75" t="s">
        <v>164</v>
      </c>
    </row>
    <row r="111" spans="1:9" ht="12.75" customHeight="1" x14ac:dyDescent="0.25">
      <c r="A111" s="430" t="s">
        <v>684</v>
      </c>
      <c r="B111" s="473" t="s">
        <v>1024</v>
      </c>
      <c r="C111" s="474"/>
      <c r="D111" s="474"/>
      <c r="E111" s="503"/>
      <c r="F111" s="433">
        <f>'Anexo BIII - Uniforme'!F28</f>
        <v>54.71</v>
      </c>
    </row>
    <row r="112" spans="1:9" x14ac:dyDescent="0.25">
      <c r="A112" s="100" t="s">
        <v>690</v>
      </c>
      <c r="B112" s="473" t="s">
        <v>709</v>
      </c>
      <c r="C112" s="474"/>
      <c r="D112" s="474"/>
      <c r="E112" s="503"/>
      <c r="F112" s="433"/>
      <c r="G112" s="76"/>
    </row>
    <row r="113" spans="1:10" ht="12.75" customHeight="1" x14ac:dyDescent="0.25">
      <c r="A113" s="100" t="s">
        <v>705</v>
      </c>
      <c r="B113" s="473" t="s">
        <v>1025</v>
      </c>
      <c r="C113" s="474"/>
      <c r="D113" s="474"/>
      <c r="E113" s="503"/>
      <c r="F113" s="433">
        <f>'Anexo BII - Equip. e Ferramenta'!E53</f>
        <v>29.578842962962955</v>
      </c>
      <c r="G113" s="76"/>
    </row>
    <row r="114" spans="1:10" x14ac:dyDescent="0.25">
      <c r="A114" s="100" t="s">
        <v>706</v>
      </c>
      <c r="B114" s="473" t="s">
        <v>732</v>
      </c>
      <c r="C114" s="474"/>
      <c r="D114" s="474"/>
      <c r="E114" s="503"/>
      <c r="F114" s="433">
        <v>0</v>
      </c>
      <c r="G114" s="76"/>
    </row>
    <row r="115" spans="1:10" ht="12.75" customHeight="1" x14ac:dyDescent="0.25">
      <c r="A115" s="477" t="s">
        <v>734</v>
      </c>
      <c r="B115" s="478"/>
      <c r="C115" s="478"/>
      <c r="D115" s="478"/>
      <c r="E115" s="479"/>
      <c r="F115" s="106">
        <f>SUM(F111:F114)</f>
        <v>84.28884296296296</v>
      </c>
    </row>
    <row r="116" spans="1:10" ht="12.75" customHeight="1" x14ac:dyDescent="0.25">
      <c r="A116" s="496" t="s">
        <v>1026</v>
      </c>
      <c r="B116" s="497"/>
      <c r="C116" s="497"/>
      <c r="D116" s="497"/>
      <c r="E116" s="497"/>
      <c r="F116" s="498"/>
      <c r="I116" s="76"/>
      <c r="J116" s="76"/>
    </row>
    <row r="117" spans="1:10" ht="12.75" customHeight="1" x14ac:dyDescent="0.25">
      <c r="A117" s="505" t="s">
        <v>1027</v>
      </c>
      <c r="B117" s="506"/>
      <c r="C117" s="506"/>
      <c r="D117" s="506"/>
      <c r="E117" s="506"/>
      <c r="F117" s="506"/>
      <c r="I117" s="84"/>
    </row>
    <row r="118" spans="1:10" ht="32.25" customHeight="1" x14ac:dyDescent="0.25">
      <c r="A118" s="507" t="s">
        <v>1028</v>
      </c>
      <c r="B118" s="507"/>
      <c r="C118" s="507"/>
      <c r="D118" s="111">
        <f>F22+F62+F72+F107+F115</f>
        <v>4022.6100832731481</v>
      </c>
      <c r="E118" s="110">
        <v>6.0699999999999997E-2</v>
      </c>
      <c r="F118" s="112">
        <f>TRUNC(((F22+F62+F72+F107+F115)*E118),2)</f>
        <v>244.17</v>
      </c>
    </row>
    <row r="119" spans="1:10" ht="44.25" customHeight="1" x14ac:dyDescent="0.25">
      <c r="A119" s="507" t="s">
        <v>1029</v>
      </c>
      <c r="B119" s="507"/>
      <c r="C119" s="507"/>
      <c r="D119" s="111">
        <f>D118+F118</f>
        <v>4266.7800832731482</v>
      </c>
      <c r="E119" s="110">
        <v>7.3999999999999996E-2</v>
      </c>
      <c r="F119" s="112">
        <f>TRUNC(((F22+F62+F72+F107+F115)*E119),2)</f>
        <v>297.67</v>
      </c>
    </row>
    <row r="120" spans="1:10" ht="47.25" customHeight="1" x14ac:dyDescent="0.25">
      <c r="A120" s="522" t="s">
        <v>1053</v>
      </c>
      <c r="B120" s="523"/>
      <c r="C120" s="524"/>
      <c r="D120" s="111">
        <f>F144+F118+F119</f>
        <v>4564.4500832731483</v>
      </c>
      <c r="E120" s="110"/>
      <c r="F120" s="112">
        <f>ROUND(SUM(D120,F118,F119)*((1/(1-E120))-1),2)</f>
        <v>0</v>
      </c>
      <c r="G120" s="107"/>
    </row>
    <row r="121" spans="1:10" ht="14" x14ac:dyDescent="0.25">
      <c r="A121" s="511" t="s">
        <v>1030</v>
      </c>
      <c r="B121" s="512"/>
      <c r="C121" s="113" t="s">
        <v>1031</v>
      </c>
      <c r="D121" s="511" t="s">
        <v>185</v>
      </c>
      <c r="E121" s="512"/>
      <c r="F121" s="114" t="s">
        <v>727</v>
      </c>
      <c r="G121" s="107"/>
    </row>
    <row r="122" spans="1:10" ht="15.75" customHeight="1" x14ac:dyDescent="0.25">
      <c r="A122" s="515" t="s">
        <v>1032</v>
      </c>
      <c r="B122" s="516" t="s">
        <v>1033</v>
      </c>
      <c r="C122" s="115" t="s">
        <v>1068</v>
      </c>
      <c r="D122" s="513">
        <v>6.4999999999999997E-3</v>
      </c>
      <c r="E122" s="514">
        <v>1.6500000000000001E-2</v>
      </c>
      <c r="F122" s="116">
        <f>TRUNC(D122*F133,2)</f>
        <v>32.47</v>
      </c>
      <c r="G122" s="107"/>
    </row>
    <row r="123" spans="1:10" ht="18" customHeight="1" x14ac:dyDescent="0.25">
      <c r="A123" s="525"/>
      <c r="B123" s="526"/>
      <c r="C123" s="115" t="s">
        <v>1069</v>
      </c>
      <c r="D123" s="513">
        <v>0.03</v>
      </c>
      <c r="E123" s="514">
        <v>7.5999999999999998E-2</v>
      </c>
      <c r="F123" s="116">
        <f>TRUNC(D123*F133,2)</f>
        <v>149.88999999999999</v>
      </c>
      <c r="G123" s="107"/>
    </row>
    <row r="124" spans="1:10" ht="25.5" customHeight="1" x14ac:dyDescent="0.25">
      <c r="A124" s="511" t="s">
        <v>1034</v>
      </c>
      <c r="B124" s="512" t="s">
        <v>1035</v>
      </c>
      <c r="C124" s="115" t="s">
        <v>1070</v>
      </c>
      <c r="D124" s="513">
        <v>0.05</v>
      </c>
      <c r="E124" s="514">
        <v>0.05</v>
      </c>
      <c r="F124" s="116">
        <f>TRUNC(D124*F133,2)</f>
        <v>249.83</v>
      </c>
      <c r="G124" s="107"/>
    </row>
    <row r="125" spans="1:10" ht="14" x14ac:dyDescent="0.25">
      <c r="A125" s="511" t="s">
        <v>1036</v>
      </c>
      <c r="B125" s="512"/>
      <c r="C125" s="115"/>
      <c r="D125" s="513"/>
      <c r="E125" s="514"/>
      <c r="F125" s="112"/>
      <c r="G125" s="107"/>
    </row>
    <row r="126" spans="1:10" ht="13" x14ac:dyDescent="0.25">
      <c r="A126" s="527" t="s">
        <v>1037</v>
      </c>
      <c r="B126" s="527"/>
      <c r="C126" s="527"/>
      <c r="D126" s="528">
        <f>E118+E119+D122+D123+D124+D125</f>
        <v>0.22120000000000001</v>
      </c>
      <c r="E126" s="528"/>
      <c r="F126" s="172">
        <f>F118+F119+F122+F123+F124+F125</f>
        <v>974.03000000000009</v>
      </c>
      <c r="G126" s="107"/>
      <c r="J126" s="75" t="s">
        <v>164</v>
      </c>
    </row>
    <row r="127" spans="1:10" ht="13.5" thickBot="1" x14ac:dyDescent="0.3">
      <c r="A127" s="158"/>
      <c r="B127" s="158"/>
      <c r="C127" s="158"/>
      <c r="D127" s="159"/>
      <c r="E127" s="159"/>
      <c r="F127" s="173"/>
      <c r="G127" s="107"/>
    </row>
    <row r="128" spans="1:10" ht="13" x14ac:dyDescent="0.25">
      <c r="A128" s="161" t="s">
        <v>1054</v>
      </c>
      <c r="B128" s="162" t="s">
        <v>1057</v>
      </c>
      <c r="C128" s="162"/>
      <c r="D128" s="163">
        <f>D122+D123+D124</f>
        <v>8.6499999999999994E-2</v>
      </c>
      <c r="E128" s="163"/>
      <c r="F128" s="171">
        <f>D128</f>
        <v>8.6499999999999994E-2</v>
      </c>
      <c r="G128" s="107"/>
    </row>
    <row r="129" spans="1:7" ht="13" x14ac:dyDescent="0.25">
      <c r="A129" s="164"/>
      <c r="B129" s="158">
        <v>100</v>
      </c>
      <c r="C129" s="158"/>
      <c r="D129" s="159"/>
      <c r="E129" s="159"/>
      <c r="F129" s="170"/>
      <c r="G129" s="107"/>
    </row>
    <row r="130" spans="1:7" ht="13" x14ac:dyDescent="0.25">
      <c r="A130" s="164"/>
      <c r="B130" s="158"/>
      <c r="C130" s="158"/>
      <c r="D130" s="159"/>
      <c r="E130" s="159"/>
      <c r="F130" s="165"/>
    </row>
    <row r="131" spans="1:7" ht="13" x14ac:dyDescent="0.25">
      <c r="A131" s="164" t="s">
        <v>1055</v>
      </c>
      <c r="B131" s="158" t="s">
        <v>1058</v>
      </c>
      <c r="C131" s="158"/>
      <c r="D131" s="159"/>
      <c r="E131" s="159"/>
      <c r="F131" s="170">
        <f>F22+F62+F72+F107+F115+F118+F119</f>
        <v>4564.4500832731483</v>
      </c>
      <c r="G131" s="107" t="s">
        <v>1061</v>
      </c>
    </row>
    <row r="132" spans="1:7" ht="13" x14ac:dyDescent="0.25">
      <c r="A132" s="164"/>
      <c r="B132" s="158"/>
      <c r="C132" s="158"/>
      <c r="D132" s="159"/>
      <c r="E132" s="159"/>
      <c r="F132" s="165"/>
    </row>
    <row r="133" spans="1:7" ht="13" x14ac:dyDescent="0.25">
      <c r="A133" s="164" t="s">
        <v>1056</v>
      </c>
      <c r="B133" s="158" t="s">
        <v>1059</v>
      </c>
      <c r="C133" s="158"/>
      <c r="D133" s="159"/>
      <c r="E133" s="159"/>
      <c r="F133" s="170">
        <f>TRUNC(F131/(1-D128),2)</f>
        <v>4996.66</v>
      </c>
    </row>
    <row r="134" spans="1:7" ht="13" x14ac:dyDescent="0.25">
      <c r="A134" s="164"/>
      <c r="B134" s="158"/>
      <c r="C134" s="158"/>
      <c r="D134" s="159"/>
      <c r="E134" s="159"/>
      <c r="F134" s="165"/>
    </row>
    <row r="135" spans="1:7" ht="12.75" customHeight="1" thickBot="1" x14ac:dyDescent="0.3">
      <c r="A135" s="166"/>
      <c r="B135" s="169" t="s">
        <v>1060</v>
      </c>
      <c r="C135" s="167"/>
      <c r="D135" s="167"/>
      <c r="E135" s="167"/>
      <c r="F135" s="168"/>
    </row>
    <row r="136" spans="1:7" ht="12.75" customHeight="1" x14ac:dyDescent="0.25">
      <c r="A136" s="160"/>
      <c r="B136" s="160"/>
      <c r="C136" s="160"/>
      <c r="D136" s="160"/>
      <c r="E136" s="160"/>
      <c r="F136" s="160"/>
    </row>
    <row r="137" spans="1:7" ht="15.5" x14ac:dyDescent="0.25">
      <c r="A137" s="510" t="s">
        <v>1038</v>
      </c>
      <c r="B137" s="510"/>
      <c r="C137" s="510"/>
      <c r="D137" s="510"/>
      <c r="E137" s="510"/>
      <c r="F137" s="510"/>
    </row>
    <row r="138" spans="1:7" ht="12.75" customHeight="1" x14ac:dyDescent="0.25">
      <c r="A138" s="477" t="s">
        <v>1039</v>
      </c>
      <c r="B138" s="478"/>
      <c r="C138" s="478"/>
      <c r="D138" s="478"/>
      <c r="E138" s="479"/>
      <c r="F138" s="174" t="s">
        <v>727</v>
      </c>
    </row>
    <row r="139" spans="1:7" ht="12.75" customHeight="1" x14ac:dyDescent="0.25">
      <c r="A139" s="72" t="s">
        <v>684</v>
      </c>
      <c r="B139" s="473" t="s">
        <v>703</v>
      </c>
      <c r="C139" s="474"/>
      <c r="D139" s="474"/>
      <c r="E139" s="503"/>
      <c r="F139" s="140">
        <f>F22</f>
        <v>2088.125</v>
      </c>
    </row>
    <row r="140" spans="1:7" ht="12.75" customHeight="1" x14ac:dyDescent="0.25">
      <c r="A140" s="72" t="s">
        <v>690</v>
      </c>
      <c r="B140" s="473" t="s">
        <v>989</v>
      </c>
      <c r="C140" s="474"/>
      <c r="D140" s="474"/>
      <c r="E140" s="503"/>
      <c r="F140" s="140">
        <f>F62</f>
        <v>1693.7142100000001</v>
      </c>
    </row>
    <row r="141" spans="1:7" ht="12.75" customHeight="1" x14ac:dyDescent="0.25">
      <c r="A141" s="72" t="s">
        <v>705</v>
      </c>
      <c r="B141" s="473" t="s">
        <v>1040</v>
      </c>
      <c r="C141" s="474"/>
      <c r="D141" s="474"/>
      <c r="E141" s="503"/>
      <c r="F141" s="140">
        <f>F72</f>
        <v>107.90427700000001</v>
      </c>
    </row>
    <row r="142" spans="1:7" ht="12.75" customHeight="1" x14ac:dyDescent="0.25">
      <c r="A142" s="72" t="s">
        <v>706</v>
      </c>
      <c r="B142" s="473" t="s">
        <v>1041</v>
      </c>
      <c r="C142" s="474"/>
      <c r="D142" s="474"/>
      <c r="E142" s="503"/>
      <c r="F142" s="140">
        <f>F107</f>
        <v>48.577753310185187</v>
      </c>
    </row>
    <row r="143" spans="1:7" ht="12.75" customHeight="1" x14ac:dyDescent="0.25">
      <c r="A143" s="72" t="s">
        <v>707</v>
      </c>
      <c r="B143" s="473" t="s">
        <v>1042</v>
      </c>
      <c r="C143" s="474"/>
      <c r="D143" s="474"/>
      <c r="E143" s="503"/>
      <c r="F143" s="140">
        <f>F115</f>
        <v>84.28884296296296</v>
      </c>
      <c r="G143" s="76"/>
    </row>
    <row r="144" spans="1:7" ht="12.75" customHeight="1" x14ac:dyDescent="0.25">
      <c r="A144" s="106"/>
      <c r="B144" s="494" t="s">
        <v>1043</v>
      </c>
      <c r="C144" s="494"/>
      <c r="D144" s="494"/>
      <c r="E144" s="494"/>
      <c r="F144" s="106">
        <f>SUM(F139:F143)</f>
        <v>4022.6100832731481</v>
      </c>
      <c r="G144" s="76"/>
    </row>
    <row r="145" spans="1:9" ht="12.75" customHeight="1" x14ac:dyDescent="0.25">
      <c r="A145" s="72" t="s">
        <v>708</v>
      </c>
      <c r="B145" s="473" t="s">
        <v>1044</v>
      </c>
      <c r="C145" s="474"/>
      <c r="D145" s="474"/>
      <c r="E145" s="503"/>
      <c r="F145" s="140">
        <f>F126</f>
        <v>974.03000000000009</v>
      </c>
    </row>
    <row r="146" spans="1:9" ht="13" x14ac:dyDescent="0.25">
      <c r="A146" s="494" t="s">
        <v>18</v>
      </c>
      <c r="B146" s="494"/>
      <c r="C146" s="494"/>
      <c r="D146" s="494"/>
      <c r="E146" s="494"/>
      <c r="F146" s="106">
        <f>F144+F145</f>
        <v>4996.6400832731479</v>
      </c>
      <c r="G146" s="85" t="s">
        <v>164</v>
      </c>
      <c r="H146" s="76"/>
      <c r="I146" s="76"/>
    </row>
    <row r="147" spans="1:9" s="89" customFormat="1" ht="13" x14ac:dyDescent="0.25">
      <c r="A147" s="182"/>
      <c r="B147" s="182"/>
      <c r="C147" s="182"/>
      <c r="D147" s="182"/>
      <c r="E147" s="183"/>
      <c r="F147" s="184"/>
    </row>
    <row r="148" spans="1:9" x14ac:dyDescent="0.25">
      <c r="A148" s="107"/>
      <c r="B148" s="107"/>
      <c r="C148" s="107"/>
      <c r="D148" s="107"/>
      <c r="E148" s="107"/>
      <c r="F148" s="107"/>
    </row>
    <row r="149" spans="1:9" x14ac:dyDescent="0.25">
      <c r="F149" s="76"/>
    </row>
    <row r="150" spans="1:9" x14ac:dyDescent="0.25">
      <c r="F150" s="84"/>
    </row>
  </sheetData>
  <mergeCells count="143">
    <mergeCell ref="A6:B6"/>
    <mergeCell ref="D6:E6"/>
    <mergeCell ref="A7:B7"/>
    <mergeCell ref="D7:E7"/>
    <mergeCell ref="A8:B8"/>
    <mergeCell ref="D8:E8"/>
    <mergeCell ref="A1:F1"/>
    <mergeCell ref="A3:F3"/>
    <mergeCell ref="A4:B4"/>
    <mergeCell ref="D4:E4"/>
    <mergeCell ref="A5:B5"/>
    <mergeCell ref="D5:E5"/>
    <mergeCell ref="B16:C16"/>
    <mergeCell ref="D16:E16"/>
    <mergeCell ref="B17:C17"/>
    <mergeCell ref="D17:E17"/>
    <mergeCell ref="B18:C18"/>
    <mergeCell ref="D18:E18"/>
    <mergeCell ref="A9:F9"/>
    <mergeCell ref="A10:F10"/>
    <mergeCell ref="A13:F13"/>
    <mergeCell ref="B14:E14"/>
    <mergeCell ref="B15:C15"/>
    <mergeCell ref="D15:E15"/>
    <mergeCell ref="A22:E22"/>
    <mergeCell ref="A24:F24"/>
    <mergeCell ref="A25:F25"/>
    <mergeCell ref="B26:E26"/>
    <mergeCell ref="B27:D27"/>
    <mergeCell ref="B28:D28"/>
    <mergeCell ref="B19:C19"/>
    <mergeCell ref="D19:E19"/>
    <mergeCell ref="B20:C20"/>
    <mergeCell ref="D20:E20"/>
    <mergeCell ref="B21:C21"/>
    <mergeCell ref="D21:E21"/>
    <mergeCell ref="B37:D37"/>
    <mergeCell ref="B38:D38"/>
    <mergeCell ref="B39:D39"/>
    <mergeCell ref="B40:D40"/>
    <mergeCell ref="B41:D41"/>
    <mergeCell ref="A42:D42"/>
    <mergeCell ref="A29:E29"/>
    <mergeCell ref="A31:F31"/>
    <mergeCell ref="B32:D32"/>
    <mergeCell ref="B34:D34"/>
    <mergeCell ref="B35:D35"/>
    <mergeCell ref="B36:D36"/>
    <mergeCell ref="B33:D33"/>
    <mergeCell ref="B49:C49"/>
    <mergeCell ref="B50:C50"/>
    <mergeCell ref="B51:C51"/>
    <mergeCell ref="D51:E51"/>
    <mergeCell ref="B52:C52"/>
    <mergeCell ref="D52:E52"/>
    <mergeCell ref="A43:F43"/>
    <mergeCell ref="A44:F44"/>
    <mergeCell ref="A45:F45"/>
    <mergeCell ref="B46:E46"/>
    <mergeCell ref="A47:F47"/>
    <mergeCell ref="B48:E48"/>
    <mergeCell ref="B60:E60"/>
    <mergeCell ref="B61:E61"/>
    <mergeCell ref="A62:E62"/>
    <mergeCell ref="A64:F64"/>
    <mergeCell ref="B65:D65"/>
    <mergeCell ref="A53:E53"/>
    <mergeCell ref="A54:F54"/>
    <mergeCell ref="A55:F55"/>
    <mergeCell ref="A57:F57"/>
    <mergeCell ref="B58:E58"/>
    <mergeCell ref="B59:E59"/>
    <mergeCell ref="B66:C66"/>
    <mergeCell ref="A74:F74"/>
    <mergeCell ref="B75:D75"/>
    <mergeCell ref="B76:D76"/>
    <mergeCell ref="B77:C77"/>
    <mergeCell ref="B78:C78"/>
    <mergeCell ref="B79:C79"/>
    <mergeCell ref="B67:C67"/>
    <mergeCell ref="B68:C68"/>
    <mergeCell ref="B69:C69"/>
    <mergeCell ref="B70:C70"/>
    <mergeCell ref="B71:C71"/>
    <mergeCell ref="A72:D72"/>
    <mergeCell ref="A87:F87"/>
    <mergeCell ref="B88:D88"/>
    <mergeCell ref="B90:D90"/>
    <mergeCell ref="B91:D91"/>
    <mergeCell ref="B92:D92"/>
    <mergeCell ref="B93:D93"/>
    <mergeCell ref="B80:C80"/>
    <mergeCell ref="B81:C81"/>
    <mergeCell ref="B82:C82"/>
    <mergeCell ref="B83:C83"/>
    <mergeCell ref="A84:E84"/>
    <mergeCell ref="A85:F85"/>
    <mergeCell ref="B89:D89"/>
    <mergeCell ref="B99:D99"/>
    <mergeCell ref="B100:D100"/>
    <mergeCell ref="A101:D101"/>
    <mergeCell ref="A103:F103"/>
    <mergeCell ref="B104:E104"/>
    <mergeCell ref="B105:E105"/>
    <mergeCell ref="B94:D94"/>
    <mergeCell ref="A96:D96"/>
    <mergeCell ref="A98:F98"/>
    <mergeCell ref="B95:D95"/>
    <mergeCell ref="B113:E113"/>
    <mergeCell ref="B114:E114"/>
    <mergeCell ref="A115:E115"/>
    <mergeCell ref="A116:F116"/>
    <mergeCell ref="A117:F117"/>
    <mergeCell ref="A118:C118"/>
    <mergeCell ref="B106:E106"/>
    <mergeCell ref="A107:E107"/>
    <mergeCell ref="A109:F109"/>
    <mergeCell ref="B110:E110"/>
    <mergeCell ref="B111:E111"/>
    <mergeCell ref="B112:E112"/>
    <mergeCell ref="A124:B124"/>
    <mergeCell ref="D124:E124"/>
    <mergeCell ref="A125:B125"/>
    <mergeCell ref="D125:E125"/>
    <mergeCell ref="A126:C126"/>
    <mergeCell ref="D126:E126"/>
    <mergeCell ref="A119:C119"/>
    <mergeCell ref="A120:C120"/>
    <mergeCell ref="A121:B121"/>
    <mergeCell ref="D121:E121"/>
    <mergeCell ref="A122:B123"/>
    <mergeCell ref="D122:E122"/>
    <mergeCell ref="D123:E123"/>
    <mergeCell ref="B143:E143"/>
    <mergeCell ref="B144:E144"/>
    <mergeCell ref="B145:E145"/>
    <mergeCell ref="A146:E146"/>
    <mergeCell ref="A137:F137"/>
    <mergeCell ref="A138:E138"/>
    <mergeCell ref="B139:E139"/>
    <mergeCell ref="B140:E140"/>
    <mergeCell ref="B141:E141"/>
    <mergeCell ref="B142:E142"/>
  </mergeCells>
  <pageMargins left="0.511811024" right="0.511811024" top="0.78740157499999996" bottom="0.78740157499999996" header="0.31496062000000002" footer="0.31496062000000002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0"/>
  <sheetViews>
    <sheetView workbookViewId="0">
      <selection activeCell="H14" sqref="H14"/>
    </sheetView>
  </sheetViews>
  <sheetFormatPr defaultColWidth="9.1796875" defaultRowHeight="12.5" x14ac:dyDescent="0.25"/>
  <cols>
    <col min="1" max="1" width="12.7265625" style="75" customWidth="1"/>
    <col min="2" max="2" width="23.1796875" style="75" customWidth="1"/>
    <col min="3" max="3" width="18.7265625" style="75" bestFit="1" customWidth="1"/>
    <col min="4" max="4" width="15.26953125" style="75" customWidth="1"/>
    <col min="5" max="5" width="12.1796875" style="75" bestFit="1" customWidth="1"/>
    <col min="6" max="6" width="14.81640625" style="75" customWidth="1"/>
    <col min="7" max="7" width="12.1796875" style="75" bestFit="1" customWidth="1"/>
    <col min="8" max="8" width="20.54296875" style="75" customWidth="1"/>
    <col min="9" max="9" width="12.81640625" style="75" customWidth="1"/>
    <col min="10" max="16384" width="9.1796875" style="75"/>
  </cols>
  <sheetData>
    <row r="1" spans="1:10" ht="15.5" x14ac:dyDescent="0.35">
      <c r="A1" s="483" t="s">
        <v>1047</v>
      </c>
      <c r="B1" s="483"/>
      <c r="C1" s="483"/>
      <c r="D1" s="483"/>
      <c r="E1" s="483"/>
      <c r="F1" s="483"/>
    </row>
    <row r="2" spans="1:10" ht="16.5" hidden="1" customHeight="1" x14ac:dyDescent="0.25">
      <c r="A2" s="50" t="s">
        <v>967</v>
      </c>
      <c r="B2" s="51"/>
      <c r="C2" s="50" t="s">
        <v>968</v>
      </c>
      <c r="D2" s="50"/>
      <c r="E2" s="52" t="s">
        <v>969</v>
      </c>
      <c r="F2" s="52"/>
    </row>
    <row r="3" spans="1:10" ht="17.25" hidden="1" customHeight="1" x14ac:dyDescent="0.25">
      <c r="A3" s="484" t="s">
        <v>970</v>
      </c>
      <c r="B3" s="484"/>
      <c r="C3" s="484"/>
      <c r="D3" s="484"/>
      <c r="E3" s="484"/>
      <c r="F3" s="484"/>
    </row>
    <row r="4" spans="1:10" ht="34.5" hidden="1" customHeight="1" x14ac:dyDescent="0.25">
      <c r="A4" s="472" t="s">
        <v>971</v>
      </c>
      <c r="B4" s="472"/>
      <c r="C4" s="53"/>
      <c r="D4" s="472" t="s">
        <v>972</v>
      </c>
      <c r="E4" s="472"/>
      <c r="F4" s="178"/>
    </row>
    <row r="5" spans="1:10" ht="48.75" hidden="1" customHeight="1" x14ac:dyDescent="0.25">
      <c r="A5" s="472" t="s">
        <v>973</v>
      </c>
      <c r="B5" s="472"/>
      <c r="C5" s="54"/>
      <c r="D5" s="472" t="s">
        <v>974</v>
      </c>
      <c r="E5" s="472"/>
      <c r="F5" s="178"/>
    </row>
    <row r="6" spans="1:10" ht="36.75" hidden="1" customHeight="1" x14ac:dyDescent="0.25">
      <c r="A6" s="472" t="s">
        <v>975</v>
      </c>
      <c r="B6" s="472"/>
      <c r="C6" s="55"/>
      <c r="D6" s="472" t="s">
        <v>976</v>
      </c>
      <c r="E6" s="472"/>
      <c r="F6" s="56" t="s">
        <v>164</v>
      </c>
    </row>
    <row r="7" spans="1:10" ht="41.25" hidden="1" customHeight="1" x14ac:dyDescent="0.25">
      <c r="A7" s="472" t="s">
        <v>977</v>
      </c>
      <c r="B7" s="472"/>
      <c r="C7" s="54"/>
      <c r="D7" s="472" t="s">
        <v>978</v>
      </c>
      <c r="E7" s="472"/>
      <c r="F7" s="57">
        <v>1156.0899999999999</v>
      </c>
    </row>
    <row r="8" spans="1:10" ht="41.25" hidden="1" customHeight="1" x14ac:dyDescent="0.25">
      <c r="A8" s="472" t="s">
        <v>979</v>
      </c>
      <c r="B8" s="472"/>
      <c r="C8" s="54"/>
      <c r="D8" s="472" t="s">
        <v>980</v>
      </c>
      <c r="E8" s="472"/>
      <c r="F8" s="57" t="s">
        <v>164</v>
      </c>
    </row>
    <row r="9" spans="1:10" ht="14.25" customHeight="1" x14ac:dyDescent="0.25">
      <c r="A9" s="487"/>
      <c r="B9" s="488"/>
      <c r="C9" s="488"/>
      <c r="D9" s="488"/>
      <c r="E9" s="488"/>
      <c r="F9" s="488"/>
    </row>
    <row r="10" spans="1:10" ht="15.5" hidden="1" x14ac:dyDescent="0.25">
      <c r="A10" s="489" t="s">
        <v>981</v>
      </c>
      <c r="B10" s="489"/>
      <c r="C10" s="489"/>
      <c r="D10" s="489"/>
      <c r="E10" s="489"/>
      <c r="F10" s="489"/>
    </row>
    <row r="11" spans="1:10" ht="26" hidden="1" x14ac:dyDescent="0.25">
      <c r="A11" s="54" t="s">
        <v>982</v>
      </c>
      <c r="B11" s="55"/>
      <c r="C11" s="54" t="s">
        <v>983</v>
      </c>
      <c r="D11" s="55"/>
      <c r="E11" s="54" t="s">
        <v>984</v>
      </c>
      <c r="F11" s="54"/>
    </row>
    <row r="12" spans="1:10" ht="13" hidden="1" x14ac:dyDescent="0.25">
      <c r="A12" s="58"/>
      <c r="B12" s="59"/>
      <c r="C12" s="58"/>
      <c r="D12" s="59"/>
      <c r="E12" s="58"/>
      <c r="F12" s="58"/>
    </row>
    <row r="13" spans="1:10" ht="15.5" x14ac:dyDescent="0.25">
      <c r="A13" s="490" t="s">
        <v>985</v>
      </c>
      <c r="B13" s="491"/>
      <c r="C13" s="491"/>
      <c r="D13" s="491"/>
      <c r="E13" s="491"/>
      <c r="F13" s="492"/>
      <c r="J13" s="75" t="s">
        <v>164</v>
      </c>
    </row>
    <row r="14" spans="1:10" ht="12.75" customHeight="1" x14ac:dyDescent="0.25">
      <c r="A14" s="174">
        <v>1</v>
      </c>
      <c r="B14" s="477" t="s">
        <v>726</v>
      </c>
      <c r="C14" s="478"/>
      <c r="D14" s="478"/>
      <c r="E14" s="479"/>
      <c r="F14" s="418" t="s">
        <v>727</v>
      </c>
    </row>
    <row r="15" spans="1:10" ht="12.75" customHeight="1" x14ac:dyDescent="0.25">
      <c r="A15" s="72" t="s">
        <v>684</v>
      </c>
      <c r="B15" s="473" t="s">
        <v>704</v>
      </c>
      <c r="C15" s="474"/>
      <c r="D15" s="532"/>
      <c r="E15" s="533"/>
      <c r="F15" s="140">
        <v>1606.25</v>
      </c>
    </row>
    <row r="16" spans="1:10" ht="12.75" customHeight="1" x14ac:dyDescent="0.25">
      <c r="A16" s="72" t="s">
        <v>690</v>
      </c>
      <c r="B16" s="473" t="s">
        <v>728</v>
      </c>
      <c r="C16" s="474"/>
      <c r="D16" s="530"/>
      <c r="E16" s="531"/>
      <c r="F16" s="140">
        <f>D16*F15</f>
        <v>0</v>
      </c>
    </row>
    <row r="17" spans="1:8" x14ac:dyDescent="0.25">
      <c r="A17" s="72" t="s">
        <v>705</v>
      </c>
      <c r="B17" s="473" t="s">
        <v>986</v>
      </c>
      <c r="C17" s="474"/>
      <c r="D17" s="532"/>
      <c r="E17" s="533"/>
      <c r="F17" s="140"/>
    </row>
    <row r="18" spans="1:8" x14ac:dyDescent="0.25">
      <c r="A18" s="72" t="s">
        <v>706</v>
      </c>
      <c r="B18" s="473" t="s">
        <v>730</v>
      </c>
      <c r="C18" s="474"/>
      <c r="D18" s="532"/>
      <c r="E18" s="533"/>
      <c r="F18" s="140"/>
    </row>
    <row r="19" spans="1:8" x14ac:dyDescent="0.25">
      <c r="A19" s="72" t="s">
        <v>707</v>
      </c>
      <c r="B19" s="473" t="s">
        <v>987</v>
      </c>
      <c r="C19" s="474"/>
      <c r="D19" s="532"/>
      <c r="E19" s="533"/>
      <c r="F19" s="140"/>
    </row>
    <row r="20" spans="1:8" x14ac:dyDescent="0.25">
      <c r="A20" s="72" t="s">
        <v>708</v>
      </c>
      <c r="B20" s="473" t="s">
        <v>988</v>
      </c>
      <c r="C20" s="474"/>
      <c r="D20" s="532"/>
      <c r="E20" s="533"/>
      <c r="F20" s="140"/>
    </row>
    <row r="21" spans="1:8" x14ac:dyDescent="0.25">
      <c r="A21" s="72" t="s">
        <v>716</v>
      </c>
      <c r="B21" s="473" t="s">
        <v>732</v>
      </c>
      <c r="C21" s="474"/>
      <c r="D21" s="532"/>
      <c r="E21" s="533"/>
      <c r="F21" s="140" t="s">
        <v>164</v>
      </c>
    </row>
    <row r="22" spans="1:8" ht="13" x14ac:dyDescent="0.25">
      <c r="A22" s="477" t="s">
        <v>18</v>
      </c>
      <c r="B22" s="478"/>
      <c r="C22" s="478"/>
      <c r="D22" s="478"/>
      <c r="E22" s="479"/>
      <c r="F22" s="106">
        <f>SUM(F15:F21)</f>
        <v>1606.25</v>
      </c>
    </row>
    <row r="23" spans="1:8" ht="13" x14ac:dyDescent="0.25">
      <c r="A23" s="68"/>
      <c r="B23" s="69"/>
      <c r="C23" s="69"/>
      <c r="D23" s="69"/>
      <c r="E23" s="69"/>
      <c r="F23" s="70"/>
    </row>
    <row r="24" spans="1:8" ht="15.5" x14ac:dyDescent="0.25">
      <c r="A24" s="480" t="s">
        <v>989</v>
      </c>
      <c r="B24" s="481"/>
      <c r="C24" s="481"/>
      <c r="D24" s="481"/>
      <c r="E24" s="481"/>
      <c r="F24" s="482"/>
    </row>
    <row r="25" spans="1:8" ht="13" x14ac:dyDescent="0.25">
      <c r="A25" s="477" t="s">
        <v>990</v>
      </c>
      <c r="B25" s="478"/>
      <c r="C25" s="478"/>
      <c r="D25" s="478"/>
      <c r="E25" s="478"/>
      <c r="F25" s="478"/>
    </row>
    <row r="26" spans="1:8" ht="13" x14ac:dyDescent="0.25">
      <c r="A26" s="174" t="s">
        <v>248</v>
      </c>
      <c r="B26" s="477" t="s">
        <v>991</v>
      </c>
      <c r="C26" s="478"/>
      <c r="D26" s="478"/>
      <c r="E26" s="479"/>
      <c r="F26" s="174" t="s">
        <v>727</v>
      </c>
    </row>
    <row r="27" spans="1:8" x14ac:dyDescent="0.25">
      <c r="A27" s="72" t="s">
        <v>992</v>
      </c>
      <c r="B27" s="473" t="s">
        <v>993</v>
      </c>
      <c r="C27" s="474"/>
      <c r="D27" s="474"/>
      <c r="E27" s="143">
        <f>(1/12)*1</f>
        <v>8.3333333333333329E-2</v>
      </c>
      <c r="F27" s="144">
        <f>ROUND($E$27*F22,2)</f>
        <v>133.85</v>
      </c>
      <c r="G27" s="76"/>
      <c r="H27" s="76"/>
    </row>
    <row r="28" spans="1:8" ht="12.75" customHeight="1" x14ac:dyDescent="0.25">
      <c r="A28" s="72" t="s">
        <v>690</v>
      </c>
      <c r="B28" s="473" t="s">
        <v>994</v>
      </c>
      <c r="C28" s="474"/>
      <c r="D28" s="474"/>
      <c r="E28" s="143">
        <v>0.121</v>
      </c>
      <c r="F28" s="144">
        <f>E28*F22</f>
        <v>194.35624999999999</v>
      </c>
      <c r="G28" s="76"/>
      <c r="H28" s="76"/>
    </row>
    <row r="29" spans="1:8" ht="13" x14ac:dyDescent="0.25">
      <c r="A29" s="477" t="s">
        <v>18</v>
      </c>
      <c r="B29" s="478"/>
      <c r="C29" s="478"/>
      <c r="D29" s="478"/>
      <c r="E29" s="479"/>
      <c r="F29" s="106">
        <f>SUM(F23:F28)</f>
        <v>328.20624999999995</v>
      </c>
      <c r="H29" s="76"/>
    </row>
    <row r="30" spans="1:8" s="79" customFormat="1" ht="13" x14ac:dyDescent="0.25">
      <c r="A30" s="60"/>
      <c r="B30" s="61"/>
      <c r="C30" s="61"/>
      <c r="D30" s="61"/>
      <c r="E30" s="61"/>
      <c r="F30" s="145"/>
      <c r="G30" s="78"/>
    </row>
    <row r="31" spans="1:8" ht="13" x14ac:dyDescent="0.25">
      <c r="A31" s="477" t="s">
        <v>995</v>
      </c>
      <c r="B31" s="478"/>
      <c r="C31" s="478"/>
      <c r="D31" s="478"/>
      <c r="E31" s="478"/>
      <c r="F31" s="479"/>
    </row>
    <row r="32" spans="1:8" ht="13" x14ac:dyDescent="0.25">
      <c r="A32" s="174" t="s">
        <v>250</v>
      </c>
      <c r="B32" s="494" t="s">
        <v>996</v>
      </c>
      <c r="C32" s="494"/>
      <c r="D32" s="494"/>
      <c r="E32" s="174" t="s">
        <v>185</v>
      </c>
      <c r="F32" s="174" t="s">
        <v>727</v>
      </c>
      <c r="G32" s="80"/>
      <c r="H32" s="80"/>
    </row>
    <row r="33" spans="1:10" ht="13" x14ac:dyDescent="0.25">
      <c r="A33" s="174"/>
      <c r="B33" s="477" t="s">
        <v>1049</v>
      </c>
      <c r="C33" s="478"/>
      <c r="D33" s="479"/>
      <c r="E33" s="174"/>
      <c r="F33" s="146">
        <f>F22+F29</f>
        <v>1934.45625</v>
      </c>
      <c r="G33" s="80"/>
      <c r="H33" s="80"/>
    </row>
    <row r="34" spans="1:10" x14ac:dyDescent="0.25">
      <c r="A34" s="72" t="s">
        <v>684</v>
      </c>
      <c r="B34" s="493" t="s">
        <v>710</v>
      </c>
      <c r="C34" s="493"/>
      <c r="D34" s="493"/>
      <c r="E34" s="62">
        <v>0.2</v>
      </c>
      <c r="F34" s="103">
        <f>ROUND($F$22*E34,2)</f>
        <v>321.25</v>
      </c>
    </row>
    <row r="35" spans="1:10" ht="16.5" customHeight="1" x14ac:dyDescent="0.25">
      <c r="A35" s="72" t="s">
        <v>690</v>
      </c>
      <c r="B35" s="493" t="s">
        <v>714</v>
      </c>
      <c r="C35" s="493"/>
      <c r="D35" s="493"/>
      <c r="E35" s="62">
        <v>2.5000000000000001E-2</v>
      </c>
      <c r="F35" s="103">
        <f>F33*E35</f>
        <v>48.361406250000002</v>
      </c>
    </row>
    <row r="36" spans="1:10" ht="15" customHeight="1" x14ac:dyDescent="0.25">
      <c r="A36" s="72" t="s">
        <v>705</v>
      </c>
      <c r="B36" s="493" t="s">
        <v>997</v>
      </c>
      <c r="C36" s="493"/>
      <c r="D36" s="493"/>
      <c r="E36" s="62">
        <v>0.03</v>
      </c>
      <c r="F36" s="103">
        <f>F33*E36</f>
        <v>58.033687499999999</v>
      </c>
    </row>
    <row r="37" spans="1:10" x14ac:dyDescent="0.25">
      <c r="A37" s="72" t="s">
        <v>706</v>
      </c>
      <c r="B37" s="493" t="s">
        <v>711</v>
      </c>
      <c r="C37" s="493"/>
      <c r="D37" s="493"/>
      <c r="E37" s="62">
        <v>1.4999999999999999E-2</v>
      </c>
      <c r="F37" s="103">
        <f>F33*E37</f>
        <v>29.01684375</v>
      </c>
    </row>
    <row r="38" spans="1:10" x14ac:dyDescent="0.25">
      <c r="A38" s="72" t="s">
        <v>707</v>
      </c>
      <c r="B38" s="493" t="s">
        <v>712</v>
      </c>
      <c r="C38" s="493"/>
      <c r="D38" s="493"/>
      <c r="E38" s="62">
        <v>0.01</v>
      </c>
      <c r="F38" s="103">
        <f>F33*E38</f>
        <v>19.344562499999999</v>
      </c>
      <c r="J38" s="75" t="s">
        <v>164</v>
      </c>
    </row>
    <row r="39" spans="1:10" x14ac:dyDescent="0.25">
      <c r="A39" s="72" t="s">
        <v>708</v>
      </c>
      <c r="B39" s="493" t="s">
        <v>717</v>
      </c>
      <c r="C39" s="493"/>
      <c r="D39" s="493"/>
      <c r="E39" s="62">
        <v>6.0000000000000001E-3</v>
      </c>
      <c r="F39" s="103">
        <f>F33*E39</f>
        <v>11.606737499999999</v>
      </c>
    </row>
    <row r="40" spans="1:10" x14ac:dyDescent="0.25">
      <c r="A40" s="72" t="s">
        <v>716</v>
      </c>
      <c r="B40" s="493" t="s">
        <v>713</v>
      </c>
      <c r="C40" s="493"/>
      <c r="D40" s="493"/>
      <c r="E40" s="62">
        <v>2E-3</v>
      </c>
      <c r="F40" s="103">
        <f>F33*E40</f>
        <v>3.8689125</v>
      </c>
    </row>
    <row r="41" spans="1:10" x14ac:dyDescent="0.25">
      <c r="A41" s="72" t="s">
        <v>38</v>
      </c>
      <c r="B41" s="493" t="s">
        <v>715</v>
      </c>
      <c r="C41" s="493"/>
      <c r="D41" s="493"/>
      <c r="E41" s="62">
        <v>0.08</v>
      </c>
      <c r="F41" s="103">
        <f>F33*E41</f>
        <v>154.75649999999999</v>
      </c>
    </row>
    <row r="42" spans="1:10" ht="13" x14ac:dyDescent="0.25">
      <c r="A42" s="494" t="s">
        <v>18</v>
      </c>
      <c r="B42" s="494"/>
      <c r="C42" s="494"/>
      <c r="D42" s="494"/>
      <c r="E42" s="92">
        <f>SUM(E34:E41)</f>
        <v>0.36800000000000005</v>
      </c>
      <c r="F42" s="106">
        <f>SUM(F34:F41)</f>
        <v>646.23865000000001</v>
      </c>
    </row>
    <row r="43" spans="1:10" ht="27.75" customHeight="1" x14ac:dyDescent="0.25">
      <c r="A43" s="496" t="s">
        <v>998</v>
      </c>
      <c r="B43" s="497"/>
      <c r="C43" s="497"/>
      <c r="D43" s="497"/>
      <c r="E43" s="497"/>
      <c r="F43" s="498"/>
    </row>
    <row r="44" spans="1:10" ht="25.5" customHeight="1" x14ac:dyDescent="0.25">
      <c r="A44" s="496" t="s">
        <v>999</v>
      </c>
      <c r="B44" s="497"/>
      <c r="C44" s="497"/>
      <c r="D44" s="497"/>
      <c r="E44" s="497"/>
      <c r="F44" s="498"/>
    </row>
    <row r="45" spans="1:10" x14ac:dyDescent="0.25">
      <c r="A45" s="496" t="s">
        <v>1000</v>
      </c>
      <c r="B45" s="497"/>
      <c r="C45" s="497"/>
      <c r="D45" s="497"/>
      <c r="E45" s="497"/>
      <c r="F45" s="498"/>
    </row>
    <row r="46" spans="1:10" ht="12.75" customHeight="1" x14ac:dyDescent="0.25">
      <c r="A46" s="96"/>
      <c r="B46" s="499"/>
      <c r="C46" s="475"/>
      <c r="D46" s="475"/>
      <c r="E46" s="476"/>
      <c r="F46" s="96"/>
    </row>
    <row r="47" spans="1:10" ht="28.5" customHeight="1" x14ac:dyDescent="0.25">
      <c r="A47" s="477" t="s">
        <v>1001</v>
      </c>
      <c r="B47" s="478"/>
      <c r="C47" s="478"/>
      <c r="D47" s="478"/>
      <c r="E47" s="478"/>
      <c r="F47" s="479"/>
    </row>
    <row r="48" spans="1:10" ht="12.75" customHeight="1" x14ac:dyDescent="0.25">
      <c r="A48" s="174" t="s">
        <v>252</v>
      </c>
      <c r="B48" s="477" t="s">
        <v>731</v>
      </c>
      <c r="C48" s="478"/>
      <c r="D48" s="478"/>
      <c r="E48" s="479"/>
      <c r="F48" s="174" t="s">
        <v>727</v>
      </c>
    </row>
    <row r="49" spans="1:10" x14ac:dyDescent="0.25">
      <c r="A49" s="72" t="s">
        <v>684</v>
      </c>
      <c r="B49" s="473" t="s">
        <v>1050</v>
      </c>
      <c r="C49" s="474"/>
      <c r="D49" s="63">
        <v>3.75</v>
      </c>
      <c r="E49" s="64"/>
      <c r="F49" s="65">
        <f>(D49*2*22)-(6%*F15)</f>
        <v>68.625</v>
      </c>
      <c r="I49" s="76"/>
      <c r="J49" s="76"/>
    </row>
    <row r="50" spans="1:10" s="107" customFormat="1" ht="34.5" customHeight="1" x14ac:dyDescent="0.25">
      <c r="A50" s="100" t="s">
        <v>690</v>
      </c>
      <c r="B50" s="473" t="s">
        <v>1051</v>
      </c>
      <c r="C50" s="474"/>
      <c r="D50" s="63">
        <f>5.83+9.32</f>
        <v>15.15</v>
      </c>
      <c r="E50" s="419"/>
      <c r="F50" s="429">
        <f>D50*22</f>
        <v>333.3</v>
      </c>
    </row>
    <row r="51" spans="1:10" s="107" customFormat="1" ht="12.75" customHeight="1" x14ac:dyDescent="0.25">
      <c r="A51" s="100" t="s">
        <v>705</v>
      </c>
      <c r="B51" s="493" t="s">
        <v>1002</v>
      </c>
      <c r="C51" s="493"/>
      <c r="D51" s="495"/>
      <c r="E51" s="495"/>
      <c r="F51" s="63">
        <v>0</v>
      </c>
    </row>
    <row r="52" spans="1:10" s="107" customFormat="1" ht="13" x14ac:dyDescent="0.3">
      <c r="A52" s="100" t="s">
        <v>706</v>
      </c>
      <c r="B52" s="493" t="s">
        <v>1048</v>
      </c>
      <c r="C52" s="493"/>
      <c r="D52" s="495"/>
      <c r="E52" s="495"/>
      <c r="F52" s="431">
        <f>ROUND(((50000*0.006)/12),2)</f>
        <v>25</v>
      </c>
    </row>
    <row r="53" spans="1:10" s="107" customFormat="1" ht="15" customHeight="1" x14ac:dyDescent="0.25">
      <c r="A53" s="477" t="s">
        <v>18</v>
      </c>
      <c r="B53" s="478"/>
      <c r="C53" s="478"/>
      <c r="D53" s="478"/>
      <c r="E53" s="479"/>
      <c r="F53" s="109">
        <f>SUM(F49:F52)</f>
        <v>426.92500000000001</v>
      </c>
      <c r="G53" s="428"/>
    </row>
    <row r="54" spans="1:10" s="107" customFormat="1" ht="29.25" customHeight="1" x14ac:dyDescent="0.25">
      <c r="A54" s="496" t="s">
        <v>1003</v>
      </c>
      <c r="B54" s="497"/>
      <c r="C54" s="497"/>
      <c r="D54" s="497"/>
      <c r="E54" s="497"/>
      <c r="F54" s="498"/>
    </row>
    <row r="55" spans="1:10" ht="29.25" customHeight="1" x14ac:dyDescent="0.25">
      <c r="A55" s="496" t="s">
        <v>1004</v>
      </c>
      <c r="B55" s="497"/>
      <c r="C55" s="497"/>
      <c r="D55" s="497"/>
      <c r="E55" s="497"/>
      <c r="F55" s="498"/>
    </row>
    <row r="56" spans="1:10" ht="15" customHeight="1" x14ac:dyDescent="0.25">
      <c r="A56" s="175"/>
      <c r="B56" s="176"/>
      <c r="C56" s="176"/>
      <c r="D56" s="176"/>
      <c r="E56" s="176"/>
      <c r="F56" s="177"/>
    </row>
    <row r="57" spans="1:10" ht="28.5" customHeight="1" x14ac:dyDescent="0.25">
      <c r="A57" s="477" t="s">
        <v>1005</v>
      </c>
      <c r="B57" s="478"/>
      <c r="C57" s="478"/>
      <c r="D57" s="478"/>
      <c r="E57" s="478"/>
      <c r="F57" s="479"/>
    </row>
    <row r="58" spans="1:10" ht="12.75" customHeight="1" x14ac:dyDescent="0.25">
      <c r="A58" s="174">
        <v>2</v>
      </c>
      <c r="B58" s="477" t="s">
        <v>1006</v>
      </c>
      <c r="C58" s="478"/>
      <c r="D58" s="478"/>
      <c r="E58" s="479"/>
      <c r="F58" s="174" t="s">
        <v>727</v>
      </c>
    </row>
    <row r="59" spans="1:10" ht="16.5" customHeight="1" x14ac:dyDescent="0.25">
      <c r="A59" s="100" t="s">
        <v>248</v>
      </c>
      <c r="B59" s="500" t="s">
        <v>990</v>
      </c>
      <c r="C59" s="500"/>
      <c r="D59" s="500"/>
      <c r="E59" s="500"/>
      <c r="F59" s="147">
        <f>F29</f>
        <v>328.20624999999995</v>
      </c>
    </row>
    <row r="60" spans="1:10" ht="24" customHeight="1" x14ac:dyDescent="0.25">
      <c r="A60" s="100" t="s">
        <v>250</v>
      </c>
      <c r="B60" s="500" t="s">
        <v>995</v>
      </c>
      <c r="C60" s="500"/>
      <c r="D60" s="500"/>
      <c r="E60" s="500"/>
      <c r="F60" s="147">
        <f>F42</f>
        <v>646.23865000000001</v>
      </c>
    </row>
    <row r="61" spans="1:10" ht="15.75" customHeight="1" x14ac:dyDescent="0.25">
      <c r="A61" s="100" t="s">
        <v>252</v>
      </c>
      <c r="B61" s="500" t="s">
        <v>1001</v>
      </c>
      <c r="C61" s="500"/>
      <c r="D61" s="500"/>
      <c r="E61" s="500"/>
      <c r="F61" s="147">
        <f>F53</f>
        <v>426.92500000000001</v>
      </c>
    </row>
    <row r="62" spans="1:10" ht="15" customHeight="1" x14ac:dyDescent="0.25">
      <c r="A62" s="477" t="s">
        <v>18</v>
      </c>
      <c r="B62" s="478"/>
      <c r="C62" s="478"/>
      <c r="D62" s="478"/>
      <c r="E62" s="479"/>
      <c r="F62" s="109">
        <f>SUM(F56:F61)</f>
        <v>1401.3698999999999</v>
      </c>
    </row>
    <row r="63" spans="1:10" s="79" customFormat="1" ht="15" customHeight="1" x14ac:dyDescent="0.25">
      <c r="A63" s="60"/>
      <c r="B63" s="61"/>
      <c r="C63" s="61"/>
      <c r="D63" s="61"/>
      <c r="E63" s="61"/>
      <c r="F63" s="148"/>
    </row>
    <row r="64" spans="1:10" ht="15.5" x14ac:dyDescent="0.25">
      <c r="A64" s="490" t="s">
        <v>1007</v>
      </c>
      <c r="B64" s="491"/>
      <c r="C64" s="491"/>
      <c r="D64" s="491"/>
      <c r="E64" s="491"/>
      <c r="F64" s="492"/>
    </row>
    <row r="65" spans="1:8" ht="13" x14ac:dyDescent="0.25">
      <c r="A65" s="440" t="s">
        <v>382</v>
      </c>
      <c r="B65" s="494" t="s">
        <v>1008</v>
      </c>
      <c r="C65" s="494"/>
      <c r="D65" s="494"/>
      <c r="E65" s="440"/>
      <c r="F65" s="440" t="s">
        <v>727</v>
      </c>
    </row>
    <row r="66" spans="1:8" ht="26.25" customHeight="1" x14ac:dyDescent="0.25">
      <c r="A66" s="441" t="s">
        <v>684</v>
      </c>
      <c r="B66" s="499" t="s">
        <v>1122</v>
      </c>
      <c r="C66" s="475"/>
      <c r="D66" s="144"/>
      <c r="E66" s="101">
        <v>4.1999999999999997E-3</v>
      </c>
      <c r="F66" s="103">
        <f>E66*F22</f>
        <v>6.7462499999999999</v>
      </c>
      <c r="G66" s="82"/>
    </row>
    <row r="67" spans="1:8" ht="29.25" customHeight="1" x14ac:dyDescent="0.25">
      <c r="A67" s="441" t="s">
        <v>690</v>
      </c>
      <c r="B67" s="499" t="s">
        <v>1119</v>
      </c>
      <c r="C67" s="475"/>
      <c r="D67" s="149"/>
      <c r="E67" s="446">
        <f>E66*E41</f>
        <v>3.3599999999999998E-4</v>
      </c>
      <c r="F67" s="103">
        <f>E67*F22</f>
        <v>0.53969999999999996</v>
      </c>
    </row>
    <row r="68" spans="1:8" ht="23.25" customHeight="1" x14ac:dyDescent="0.25">
      <c r="A68" s="441" t="s">
        <v>705</v>
      </c>
      <c r="B68" s="499"/>
      <c r="C68" s="476"/>
      <c r="D68" s="144"/>
      <c r="E68" s="102"/>
      <c r="F68" s="103">
        <f>E68*F22</f>
        <v>0</v>
      </c>
    </row>
    <row r="69" spans="1:8" ht="23.25" customHeight="1" x14ac:dyDescent="0.25">
      <c r="A69" s="441" t="s">
        <v>706</v>
      </c>
      <c r="B69" s="499" t="s">
        <v>1123</v>
      </c>
      <c r="C69" s="475"/>
      <c r="D69" s="185"/>
      <c r="E69" s="101">
        <v>1.9400000000000001E-2</v>
      </c>
      <c r="F69" s="103">
        <f>E69*F22</f>
        <v>31.161250000000003</v>
      </c>
      <c r="G69" s="76" t="s">
        <v>164</v>
      </c>
    </row>
    <row r="70" spans="1:8" ht="25.5" customHeight="1" x14ac:dyDescent="0.25">
      <c r="A70" s="441" t="s">
        <v>707</v>
      </c>
      <c r="B70" s="499" t="s">
        <v>1120</v>
      </c>
      <c r="C70" s="475"/>
      <c r="D70" s="96"/>
      <c r="E70" s="102">
        <f>E42*E69</f>
        <v>7.1392000000000009E-3</v>
      </c>
      <c r="F70" s="103">
        <f>E70*F22</f>
        <v>11.467340000000002</v>
      </c>
    </row>
    <row r="71" spans="1:8" ht="28.5" customHeight="1" x14ac:dyDescent="0.25">
      <c r="A71" s="441" t="s">
        <v>708</v>
      </c>
      <c r="B71" s="499" t="s">
        <v>1121</v>
      </c>
      <c r="C71" s="475"/>
      <c r="D71" s="144"/>
      <c r="E71" s="102">
        <v>0.04</v>
      </c>
      <c r="F71" s="103">
        <f>E71*F22</f>
        <v>64.25</v>
      </c>
      <c r="G71" s="83"/>
      <c r="H71" s="83"/>
    </row>
    <row r="72" spans="1:8" ht="13" x14ac:dyDescent="0.25">
      <c r="A72" s="477" t="s">
        <v>18</v>
      </c>
      <c r="B72" s="478"/>
      <c r="C72" s="478"/>
      <c r="D72" s="478"/>
      <c r="E72" s="452">
        <f>SUM(E66:E71)</f>
        <v>7.1075200000000005E-2</v>
      </c>
      <c r="F72" s="106">
        <f>SUM(F66:F71)</f>
        <v>114.16454</v>
      </c>
      <c r="G72" s="82"/>
    </row>
    <row r="73" spans="1:8" x14ac:dyDescent="0.25">
      <c r="A73" s="442"/>
      <c r="B73" s="443"/>
      <c r="C73" s="443"/>
      <c r="D73" s="443"/>
      <c r="E73" s="443"/>
      <c r="F73" s="444"/>
    </row>
    <row r="74" spans="1:8" ht="15.5" hidden="1" x14ac:dyDescent="0.25">
      <c r="A74" s="490" t="s">
        <v>1007</v>
      </c>
      <c r="B74" s="491"/>
      <c r="C74" s="491"/>
      <c r="D74" s="491"/>
      <c r="E74" s="491"/>
      <c r="F74" s="492"/>
    </row>
    <row r="75" spans="1:8" ht="13" hidden="1" x14ac:dyDescent="0.25">
      <c r="A75" s="181" t="s">
        <v>382</v>
      </c>
      <c r="B75" s="494" t="s">
        <v>1008</v>
      </c>
      <c r="C75" s="494"/>
      <c r="D75" s="494"/>
      <c r="E75" s="181"/>
      <c r="F75" s="181" t="s">
        <v>727</v>
      </c>
    </row>
    <row r="76" spans="1:8" ht="13" hidden="1" x14ac:dyDescent="0.25">
      <c r="A76" s="181"/>
      <c r="B76" s="477" t="s">
        <v>1010</v>
      </c>
      <c r="C76" s="478"/>
      <c r="D76" s="479"/>
      <c r="E76" s="146" t="s">
        <v>164</v>
      </c>
      <c r="F76" s="146" t="e">
        <f>F13+#REF!+F32+F52</f>
        <v>#REF!</v>
      </c>
    </row>
    <row r="77" spans="1:8" ht="24" hidden="1" customHeight="1" x14ac:dyDescent="0.25">
      <c r="A77" s="72" t="s">
        <v>684</v>
      </c>
      <c r="B77" s="501" t="s">
        <v>1011</v>
      </c>
      <c r="C77" s="502"/>
      <c r="D77" s="63">
        <f>F22+F29+F41+F53</f>
        <v>2516.1377500000003</v>
      </c>
      <c r="E77" s="150">
        <v>0.38700000000000001</v>
      </c>
      <c r="F77" s="103">
        <f>((D77/12)+F79)*E77</f>
        <v>111.0908251875</v>
      </c>
      <c r="G77" s="82">
        <f>D77/12</f>
        <v>209.67814583333336</v>
      </c>
    </row>
    <row r="78" spans="1:8" ht="23.25" hidden="1" customHeight="1" x14ac:dyDescent="0.25">
      <c r="A78" s="72" t="s">
        <v>690</v>
      </c>
      <c r="B78" s="501" t="s">
        <v>1012</v>
      </c>
      <c r="C78" s="502"/>
      <c r="D78" s="151">
        <f>F77+F79</f>
        <v>188.46907518749998</v>
      </c>
      <c r="E78" s="152">
        <v>0.08</v>
      </c>
      <c r="F78" s="103">
        <f>D78*E78</f>
        <v>15.077526014999998</v>
      </c>
    </row>
    <row r="79" spans="1:8" ht="27" hidden="1" customHeight="1" x14ac:dyDescent="0.25">
      <c r="A79" s="72" t="s">
        <v>705</v>
      </c>
      <c r="B79" s="501" t="s">
        <v>1013</v>
      </c>
      <c r="C79" s="502"/>
      <c r="D79" s="63">
        <f>F22+F29</f>
        <v>1934.45625</v>
      </c>
      <c r="E79" s="102">
        <v>0.5</v>
      </c>
      <c r="F79" s="103">
        <f>D79*E78*E79</f>
        <v>77.378249999999994</v>
      </c>
    </row>
    <row r="80" spans="1:8" ht="29.25" hidden="1" customHeight="1" x14ac:dyDescent="0.25">
      <c r="A80" s="72" t="s">
        <v>706</v>
      </c>
      <c r="B80" s="501" t="s">
        <v>1014</v>
      </c>
      <c r="C80" s="504"/>
      <c r="D80" s="144">
        <f>F22+F62</f>
        <v>3007.6198999999997</v>
      </c>
      <c r="E80" s="150">
        <v>0.38700000000000001</v>
      </c>
      <c r="F80" s="103">
        <f>((D80/12)+F82)*E80</f>
        <v>126.94112452500001</v>
      </c>
      <c r="G80" s="76" t="s">
        <v>164</v>
      </c>
    </row>
    <row r="81" spans="1:7" ht="25.5" hidden="1" customHeight="1" x14ac:dyDescent="0.25">
      <c r="A81" s="72" t="s">
        <v>707</v>
      </c>
      <c r="B81" s="501" t="s">
        <v>1009</v>
      </c>
      <c r="C81" s="502"/>
      <c r="D81" s="96"/>
      <c r="E81" s="102">
        <f>E42</f>
        <v>0.36800000000000005</v>
      </c>
      <c r="F81" s="103">
        <f>E81*F80</f>
        <v>46.714333825200008</v>
      </c>
    </row>
    <row r="82" spans="1:7" ht="21.75" hidden="1" customHeight="1" x14ac:dyDescent="0.25">
      <c r="A82" s="72" t="s">
        <v>708</v>
      </c>
      <c r="B82" s="501" t="s">
        <v>1015</v>
      </c>
      <c r="C82" s="502"/>
      <c r="D82" s="63">
        <f>F22+F29</f>
        <v>1934.45625</v>
      </c>
      <c r="E82" s="102">
        <v>0.5</v>
      </c>
      <c r="F82" s="103">
        <f>D82*E78*E82</f>
        <v>77.378249999999994</v>
      </c>
    </row>
    <row r="83" spans="1:7" ht="21.75" hidden="1" customHeight="1" x14ac:dyDescent="0.25">
      <c r="A83" s="72"/>
      <c r="B83" s="473" t="s">
        <v>1016</v>
      </c>
      <c r="C83" s="503"/>
      <c r="D83" s="63">
        <f>F29</f>
        <v>328.20624999999995</v>
      </c>
      <c r="E83" s="102">
        <v>2.76E-2</v>
      </c>
      <c r="F83" s="103">
        <f>D83*E83</f>
        <v>9.0584924999999981</v>
      </c>
    </row>
    <row r="84" spans="1:7" ht="13" hidden="1" x14ac:dyDescent="0.25">
      <c r="A84" s="477" t="s">
        <v>18</v>
      </c>
      <c r="B84" s="478"/>
      <c r="C84" s="478"/>
      <c r="D84" s="478"/>
      <c r="E84" s="479"/>
      <c r="F84" s="106">
        <f>(F77+F78+F79+F80+F81+F82)-F83</f>
        <v>445.52181705269999</v>
      </c>
      <c r="G84" s="82" t="s">
        <v>164</v>
      </c>
    </row>
    <row r="85" spans="1:7" hidden="1" x14ac:dyDescent="0.25">
      <c r="A85" s="499"/>
      <c r="B85" s="475"/>
      <c r="C85" s="475"/>
      <c r="D85" s="475"/>
      <c r="E85" s="475"/>
      <c r="F85" s="476"/>
    </row>
    <row r="86" spans="1:7" s="79" customFormat="1" ht="13" x14ac:dyDescent="0.25">
      <c r="A86" s="60"/>
      <c r="B86" s="61"/>
      <c r="C86" s="61"/>
      <c r="D86" s="61"/>
      <c r="E86" s="153"/>
      <c r="F86" s="142"/>
    </row>
    <row r="87" spans="1:7" ht="15.5" x14ac:dyDescent="0.25">
      <c r="A87" s="490" t="s">
        <v>1017</v>
      </c>
      <c r="B87" s="491"/>
      <c r="C87" s="491"/>
      <c r="D87" s="491"/>
      <c r="E87" s="491"/>
      <c r="F87" s="492"/>
    </row>
    <row r="88" spans="1:7" ht="13" x14ac:dyDescent="0.25">
      <c r="A88" s="440" t="s">
        <v>501</v>
      </c>
      <c r="B88" s="494" t="s">
        <v>1018</v>
      </c>
      <c r="C88" s="494"/>
      <c r="D88" s="494"/>
      <c r="E88" s="440" t="s">
        <v>164</v>
      </c>
      <c r="F88" s="440" t="s">
        <v>727</v>
      </c>
    </row>
    <row r="89" spans="1:7" ht="13" x14ac:dyDescent="0.25">
      <c r="A89" s="440"/>
      <c r="B89" s="477" t="s">
        <v>1149</v>
      </c>
      <c r="C89" s="478"/>
      <c r="D89" s="479"/>
      <c r="E89" s="440"/>
      <c r="F89" s="146">
        <f>F22</f>
        <v>1606.25</v>
      </c>
    </row>
    <row r="90" spans="1:7" x14ac:dyDescent="0.25">
      <c r="A90" s="441" t="s">
        <v>684</v>
      </c>
      <c r="B90" s="473" t="s">
        <v>1133</v>
      </c>
      <c r="C90" s="474"/>
      <c r="D90" s="503"/>
      <c r="E90" s="449">
        <f>1/12/12+1/12/12+1/12/12/3</f>
        <v>1.6203703703703703E-2</v>
      </c>
      <c r="F90" s="187">
        <f>F89*E90</f>
        <v>26.027199074074073</v>
      </c>
      <c r="G90" s="82"/>
    </row>
    <row r="91" spans="1:7" x14ac:dyDescent="0.25">
      <c r="A91" s="441" t="s">
        <v>690</v>
      </c>
      <c r="B91" s="473" t="s">
        <v>1134</v>
      </c>
      <c r="C91" s="474"/>
      <c r="D91" s="503"/>
      <c r="E91" s="450">
        <f>1/30/12</f>
        <v>2.7777777777777779E-3</v>
      </c>
      <c r="F91" s="187">
        <f>F89*E91</f>
        <v>4.4618055555555554</v>
      </c>
    </row>
    <row r="92" spans="1:7" ht="14.5" x14ac:dyDescent="0.25">
      <c r="A92" s="441" t="s">
        <v>705</v>
      </c>
      <c r="B92" s="473" t="s">
        <v>1135</v>
      </c>
      <c r="C92" s="474"/>
      <c r="D92" s="503"/>
      <c r="E92" s="451">
        <f>5/30/12*0.015</f>
        <v>2.0833333333333332E-4</v>
      </c>
      <c r="F92" s="187">
        <f>F89*E92</f>
        <v>0.33463541666666663</v>
      </c>
    </row>
    <row r="93" spans="1:7" x14ac:dyDescent="0.25">
      <c r="A93" s="441" t="s">
        <v>706</v>
      </c>
      <c r="B93" s="473" t="s">
        <v>1136</v>
      </c>
      <c r="C93" s="474"/>
      <c r="D93" s="503"/>
      <c r="E93" s="450">
        <f>15/30/12*0.08</f>
        <v>3.3333333333333331E-3</v>
      </c>
      <c r="F93" s="187">
        <f>F89*E93</f>
        <v>5.3541666666666661</v>
      </c>
    </row>
    <row r="94" spans="1:7" x14ac:dyDescent="0.25">
      <c r="A94" s="441" t="s">
        <v>707</v>
      </c>
      <c r="B94" s="473" t="s">
        <v>1137</v>
      </c>
      <c r="C94" s="474"/>
      <c r="D94" s="503"/>
      <c r="E94" s="450">
        <f>((4*8.33%)+(4*2.78%))/12*2%</f>
        <v>7.4066666666666671E-4</v>
      </c>
      <c r="F94" s="187">
        <f>F89*E94</f>
        <v>1.1896958333333334</v>
      </c>
    </row>
    <row r="95" spans="1:7" x14ac:dyDescent="0.25">
      <c r="A95" s="441" t="s">
        <v>708</v>
      </c>
      <c r="B95" s="473" t="s">
        <v>1138</v>
      </c>
      <c r="C95" s="474"/>
      <c r="D95" s="503"/>
      <c r="E95" s="450">
        <v>0</v>
      </c>
      <c r="F95" s="156"/>
      <c r="G95" s="155"/>
    </row>
    <row r="96" spans="1:7" ht="13" x14ac:dyDescent="0.3">
      <c r="A96" s="439"/>
      <c r="B96" s="477" t="s">
        <v>18</v>
      </c>
      <c r="C96" s="478"/>
      <c r="D96" s="479"/>
      <c r="E96" s="105">
        <f>SUM(E90:E95)</f>
        <v>2.3263814814814817E-2</v>
      </c>
      <c r="F96" s="457">
        <f>SUM(F90:F94)</f>
        <v>37.367502546296294</v>
      </c>
    </row>
    <row r="97" spans="1:9" s="79" customFormat="1" ht="13" x14ac:dyDescent="0.25">
      <c r="A97" s="60"/>
      <c r="B97" s="61"/>
      <c r="C97" s="61"/>
      <c r="D97" s="61"/>
      <c r="E97" s="153"/>
      <c r="F97" s="142"/>
    </row>
    <row r="98" spans="1:9" ht="15.5" x14ac:dyDescent="0.25">
      <c r="A98" s="490" t="s">
        <v>1017</v>
      </c>
      <c r="B98" s="491"/>
      <c r="C98" s="491"/>
      <c r="D98" s="491"/>
      <c r="E98" s="491"/>
      <c r="F98" s="492"/>
    </row>
    <row r="99" spans="1:9" ht="13" x14ac:dyDescent="0.25">
      <c r="A99" s="440" t="s">
        <v>503</v>
      </c>
      <c r="B99" s="494" t="s">
        <v>1019</v>
      </c>
      <c r="C99" s="494"/>
      <c r="D99" s="494"/>
      <c r="E99" s="440" t="s">
        <v>164</v>
      </c>
      <c r="F99" s="440" t="s">
        <v>727</v>
      </c>
    </row>
    <row r="100" spans="1:9" x14ac:dyDescent="0.25">
      <c r="A100" s="441" t="s">
        <v>684</v>
      </c>
      <c r="B100" s="493" t="s">
        <v>1020</v>
      </c>
      <c r="C100" s="493"/>
      <c r="D100" s="493"/>
      <c r="E100" s="102"/>
      <c r="F100" s="103"/>
    </row>
    <row r="101" spans="1:9" ht="13" x14ac:dyDescent="0.25">
      <c r="A101" s="477" t="s">
        <v>18</v>
      </c>
      <c r="B101" s="478"/>
      <c r="C101" s="478"/>
      <c r="D101" s="479"/>
      <c r="E101" s="105"/>
      <c r="F101" s="106">
        <f>SUM(F100)</f>
        <v>0</v>
      </c>
    </row>
    <row r="102" spans="1:9" x14ac:dyDescent="0.25">
      <c r="A102" s="107"/>
      <c r="B102" s="107"/>
      <c r="C102" s="107"/>
      <c r="D102" s="107"/>
      <c r="E102" s="107"/>
      <c r="F102" s="107"/>
    </row>
    <row r="103" spans="1:9" ht="13" x14ac:dyDescent="0.25">
      <c r="A103" s="477" t="s">
        <v>1021</v>
      </c>
      <c r="B103" s="478"/>
      <c r="C103" s="478"/>
      <c r="D103" s="478"/>
      <c r="E103" s="478"/>
      <c r="F103" s="479"/>
    </row>
    <row r="104" spans="1:9" ht="13" x14ac:dyDescent="0.25">
      <c r="A104" s="181">
        <v>4</v>
      </c>
      <c r="B104" s="477" t="s">
        <v>1022</v>
      </c>
      <c r="C104" s="478"/>
      <c r="D104" s="478"/>
      <c r="E104" s="479"/>
      <c r="F104" s="181" t="s">
        <v>727</v>
      </c>
    </row>
    <row r="105" spans="1:9" ht="16.5" customHeight="1" x14ac:dyDescent="0.25">
      <c r="A105" s="100" t="s">
        <v>248</v>
      </c>
      <c r="B105" s="496" t="s">
        <v>1018</v>
      </c>
      <c r="C105" s="497"/>
      <c r="D105" s="497"/>
      <c r="E105" s="498"/>
      <c r="F105" s="108">
        <f>F96</f>
        <v>37.367502546296294</v>
      </c>
    </row>
    <row r="106" spans="1:9" ht="18" customHeight="1" x14ac:dyDescent="0.25">
      <c r="A106" s="100" t="s">
        <v>250</v>
      </c>
      <c r="B106" s="496" t="s">
        <v>1019</v>
      </c>
      <c r="C106" s="497"/>
      <c r="D106" s="497"/>
      <c r="E106" s="498"/>
      <c r="F106" s="108">
        <f>F101</f>
        <v>0</v>
      </c>
    </row>
    <row r="107" spans="1:9" ht="15" customHeight="1" x14ac:dyDescent="0.25">
      <c r="A107" s="477" t="s">
        <v>18</v>
      </c>
      <c r="B107" s="478"/>
      <c r="C107" s="478"/>
      <c r="D107" s="478"/>
      <c r="E107" s="479"/>
      <c r="F107" s="109">
        <f>SUM(F101:F106)</f>
        <v>37.367502546296294</v>
      </c>
    </row>
    <row r="108" spans="1:9" ht="15" customHeight="1" x14ac:dyDescent="0.25">
      <c r="A108" s="107"/>
      <c r="B108" s="107"/>
      <c r="C108" s="107"/>
      <c r="D108" s="107"/>
      <c r="E108" s="107"/>
      <c r="F108" s="107"/>
    </row>
    <row r="109" spans="1:9" ht="15.75" customHeight="1" x14ac:dyDescent="0.25">
      <c r="A109" s="478" t="s">
        <v>1023</v>
      </c>
      <c r="B109" s="478"/>
      <c r="C109" s="478"/>
      <c r="D109" s="478"/>
      <c r="E109" s="478"/>
      <c r="F109" s="478"/>
    </row>
    <row r="110" spans="1:9" ht="13" x14ac:dyDescent="0.25">
      <c r="A110" s="426">
        <v>5</v>
      </c>
      <c r="B110" s="477" t="s">
        <v>733</v>
      </c>
      <c r="C110" s="478"/>
      <c r="D110" s="478"/>
      <c r="E110" s="479"/>
      <c r="F110" s="426" t="s">
        <v>727</v>
      </c>
      <c r="I110" s="75" t="s">
        <v>164</v>
      </c>
    </row>
    <row r="111" spans="1:9" ht="12.75" customHeight="1" x14ac:dyDescent="0.25">
      <c r="A111" s="430" t="s">
        <v>684</v>
      </c>
      <c r="B111" s="473" t="s">
        <v>1024</v>
      </c>
      <c r="C111" s="474"/>
      <c r="D111" s="474"/>
      <c r="E111" s="503"/>
      <c r="F111" s="433">
        <f>'Anexo BIII - Uniforme'!F28</f>
        <v>54.71</v>
      </c>
    </row>
    <row r="112" spans="1:9" x14ac:dyDescent="0.25">
      <c r="A112" s="100" t="s">
        <v>690</v>
      </c>
      <c r="B112" s="473" t="s">
        <v>709</v>
      </c>
      <c r="C112" s="474"/>
      <c r="D112" s="474"/>
      <c r="E112" s="503"/>
      <c r="F112" s="433"/>
      <c r="G112" s="76"/>
    </row>
    <row r="113" spans="1:10" ht="12.75" customHeight="1" x14ac:dyDescent="0.25">
      <c r="A113" s="100" t="s">
        <v>705</v>
      </c>
      <c r="B113" s="473" t="s">
        <v>1025</v>
      </c>
      <c r="C113" s="474"/>
      <c r="D113" s="474"/>
      <c r="E113" s="503"/>
      <c r="F113" s="433">
        <f>'Anexo BII - Equip. e Ferramenta'!E53</f>
        <v>29.578842962962955</v>
      </c>
      <c r="G113" s="76"/>
    </row>
    <row r="114" spans="1:10" x14ac:dyDescent="0.25">
      <c r="A114" s="100" t="s">
        <v>706</v>
      </c>
      <c r="B114" s="473" t="s">
        <v>732</v>
      </c>
      <c r="C114" s="474"/>
      <c r="D114" s="474"/>
      <c r="E114" s="503"/>
      <c r="F114" s="433">
        <v>0</v>
      </c>
      <c r="G114" s="76"/>
    </row>
    <row r="115" spans="1:10" ht="12.75" customHeight="1" x14ac:dyDescent="0.25">
      <c r="A115" s="477" t="s">
        <v>734</v>
      </c>
      <c r="B115" s="478"/>
      <c r="C115" s="478"/>
      <c r="D115" s="478"/>
      <c r="E115" s="479"/>
      <c r="F115" s="106">
        <f>SUM(F111:F114)</f>
        <v>84.28884296296296</v>
      </c>
    </row>
    <row r="116" spans="1:10" ht="12.75" customHeight="1" x14ac:dyDescent="0.25">
      <c r="A116" s="496" t="s">
        <v>1026</v>
      </c>
      <c r="B116" s="497"/>
      <c r="C116" s="497"/>
      <c r="D116" s="497"/>
      <c r="E116" s="497"/>
      <c r="F116" s="498"/>
      <c r="I116" s="76"/>
      <c r="J116" s="76"/>
    </row>
    <row r="117" spans="1:10" ht="12.75" customHeight="1" x14ac:dyDescent="0.25">
      <c r="A117" s="505" t="s">
        <v>1027</v>
      </c>
      <c r="B117" s="506"/>
      <c r="C117" s="506"/>
      <c r="D117" s="506"/>
      <c r="E117" s="506"/>
      <c r="F117" s="506"/>
      <c r="I117" s="84"/>
    </row>
    <row r="118" spans="1:10" ht="32.25" customHeight="1" x14ac:dyDescent="0.25">
      <c r="A118" s="507" t="s">
        <v>1028</v>
      </c>
      <c r="B118" s="507"/>
      <c r="C118" s="507"/>
      <c r="D118" s="111">
        <f>F22+F62+F72+F107+F115</f>
        <v>3243.4407855092591</v>
      </c>
      <c r="E118" s="110">
        <v>6.0699999999999997E-2</v>
      </c>
      <c r="F118" s="188">
        <f>TRUNC(((F22+F62+F72+F107+F115)*E118),2)</f>
        <v>196.87</v>
      </c>
    </row>
    <row r="119" spans="1:10" ht="44.25" customHeight="1" x14ac:dyDescent="0.25">
      <c r="A119" s="507" t="s">
        <v>1029</v>
      </c>
      <c r="B119" s="507"/>
      <c r="C119" s="507"/>
      <c r="D119" s="111">
        <f>D118+F118</f>
        <v>3440.3107855092589</v>
      </c>
      <c r="E119" s="110">
        <v>7.3999999999999996E-2</v>
      </c>
      <c r="F119" s="188">
        <f>TRUNC(((F22+F62+F72+F107+F115)*E119),2)</f>
        <v>240.01</v>
      </c>
    </row>
    <row r="120" spans="1:10" ht="47.25" customHeight="1" x14ac:dyDescent="0.25">
      <c r="A120" s="522" t="s">
        <v>1053</v>
      </c>
      <c r="B120" s="523"/>
      <c r="C120" s="524"/>
      <c r="D120" s="111">
        <f>F144+F118+F119</f>
        <v>3680.3207855092587</v>
      </c>
      <c r="E120" s="110"/>
      <c r="F120" s="188"/>
    </row>
    <row r="121" spans="1:10" ht="14" x14ac:dyDescent="0.25">
      <c r="A121" s="511" t="s">
        <v>1030</v>
      </c>
      <c r="B121" s="512"/>
      <c r="C121" s="113" t="s">
        <v>1031</v>
      </c>
      <c r="D121" s="511" t="s">
        <v>185</v>
      </c>
      <c r="E121" s="512"/>
      <c r="F121" s="189" t="s">
        <v>727</v>
      </c>
    </row>
    <row r="122" spans="1:10" ht="15.75" customHeight="1" x14ac:dyDescent="0.25">
      <c r="A122" s="515" t="s">
        <v>1032</v>
      </c>
      <c r="B122" s="516" t="s">
        <v>1033</v>
      </c>
      <c r="C122" s="115" t="s">
        <v>1068</v>
      </c>
      <c r="D122" s="513">
        <v>6.4999999999999997E-3</v>
      </c>
      <c r="E122" s="514">
        <v>1.6500000000000001E-2</v>
      </c>
      <c r="F122" s="190">
        <f>TRUNC(D122*F133,2)</f>
        <v>26.18</v>
      </c>
    </row>
    <row r="123" spans="1:10" ht="18" customHeight="1" x14ac:dyDescent="0.25">
      <c r="A123" s="525"/>
      <c r="B123" s="526"/>
      <c r="C123" s="115" t="s">
        <v>1071</v>
      </c>
      <c r="D123" s="513">
        <v>0.03</v>
      </c>
      <c r="E123" s="514">
        <v>7.5999999999999998E-2</v>
      </c>
      <c r="F123" s="190">
        <f>TRUNC(D123*F133,2)</f>
        <v>120.86</v>
      </c>
    </row>
    <row r="124" spans="1:10" ht="25.5" customHeight="1" x14ac:dyDescent="0.25">
      <c r="A124" s="511" t="s">
        <v>1034</v>
      </c>
      <c r="B124" s="512" t="s">
        <v>1035</v>
      </c>
      <c r="C124" s="115" t="s">
        <v>1070</v>
      </c>
      <c r="D124" s="513">
        <v>0.05</v>
      </c>
      <c r="E124" s="514">
        <v>0.05</v>
      </c>
      <c r="F124" s="190">
        <f>TRUNC(D124*F133,2)</f>
        <v>201.44</v>
      </c>
    </row>
    <row r="125" spans="1:10" ht="14" x14ac:dyDescent="0.25">
      <c r="A125" s="511" t="s">
        <v>1036</v>
      </c>
      <c r="B125" s="512"/>
      <c r="C125" s="115"/>
      <c r="D125" s="513"/>
      <c r="E125" s="514"/>
      <c r="F125" s="188"/>
    </row>
    <row r="126" spans="1:10" ht="13" x14ac:dyDescent="0.25">
      <c r="A126" s="527" t="s">
        <v>1037</v>
      </c>
      <c r="B126" s="527"/>
      <c r="C126" s="527"/>
      <c r="D126" s="528">
        <f>E118+E119+E120+D122+D123+D124+D125</f>
        <v>0.22120000000000001</v>
      </c>
      <c r="E126" s="528"/>
      <c r="F126" s="191">
        <f>SUM(F118+F119+F120+F122+F123+F124+F125)</f>
        <v>785.3599999999999</v>
      </c>
      <c r="J126" s="75" t="s">
        <v>164</v>
      </c>
    </row>
    <row r="127" spans="1:10" ht="13.5" thickBot="1" x14ac:dyDescent="0.3">
      <c r="A127" s="158"/>
      <c r="B127" s="158"/>
      <c r="C127" s="158"/>
      <c r="D127" s="159"/>
      <c r="E127" s="159"/>
      <c r="F127" s="173"/>
      <c r="G127" s="107"/>
    </row>
    <row r="128" spans="1:10" ht="13" x14ac:dyDescent="0.25">
      <c r="A128" s="161" t="s">
        <v>1054</v>
      </c>
      <c r="B128" s="162" t="s">
        <v>1057</v>
      </c>
      <c r="C128" s="162"/>
      <c r="D128" s="163">
        <f>D122+D123+D124</f>
        <v>8.6499999999999994E-2</v>
      </c>
      <c r="E128" s="163"/>
      <c r="F128" s="171">
        <f>D128</f>
        <v>8.6499999999999994E-2</v>
      </c>
      <c r="G128" s="107"/>
    </row>
    <row r="129" spans="1:7" ht="13" x14ac:dyDescent="0.25">
      <c r="A129" s="164"/>
      <c r="B129" s="158">
        <v>100</v>
      </c>
      <c r="C129" s="158"/>
      <c r="D129" s="159"/>
      <c r="E129" s="159"/>
      <c r="F129" s="170"/>
      <c r="G129" s="107"/>
    </row>
    <row r="130" spans="1:7" ht="13" x14ac:dyDescent="0.25">
      <c r="A130" s="164"/>
      <c r="B130" s="158"/>
      <c r="C130" s="158"/>
      <c r="D130" s="159"/>
      <c r="E130" s="159"/>
      <c r="F130" s="165"/>
    </row>
    <row r="131" spans="1:7" ht="13" x14ac:dyDescent="0.25">
      <c r="A131" s="164" t="s">
        <v>1055</v>
      </c>
      <c r="B131" s="158" t="s">
        <v>1058</v>
      </c>
      <c r="C131" s="158"/>
      <c r="D131" s="159"/>
      <c r="E131" s="159"/>
      <c r="F131" s="170">
        <f>F22+F62+F72+F107+F115+F118+F119</f>
        <v>3680.3207855092587</v>
      </c>
      <c r="G131" s="107" t="s">
        <v>1061</v>
      </c>
    </row>
    <row r="132" spans="1:7" ht="13" x14ac:dyDescent="0.25">
      <c r="A132" s="164"/>
      <c r="B132" s="158"/>
      <c r="C132" s="158"/>
      <c r="D132" s="159"/>
      <c r="E132" s="159"/>
      <c r="F132" s="165"/>
    </row>
    <row r="133" spans="1:7" ht="13" x14ac:dyDescent="0.25">
      <c r="A133" s="164" t="s">
        <v>1056</v>
      </c>
      <c r="B133" s="158" t="s">
        <v>1059</v>
      </c>
      <c r="C133" s="158"/>
      <c r="D133" s="159"/>
      <c r="E133" s="159"/>
      <c r="F133" s="170">
        <f>TRUNC(F131/(1-D128),2)</f>
        <v>4028.81</v>
      </c>
    </row>
    <row r="134" spans="1:7" ht="13" x14ac:dyDescent="0.25">
      <c r="A134" s="164"/>
      <c r="B134" s="158"/>
      <c r="C134" s="158"/>
      <c r="D134" s="159"/>
      <c r="E134" s="159"/>
      <c r="F134" s="165"/>
    </row>
    <row r="135" spans="1:7" ht="12.75" customHeight="1" thickBot="1" x14ac:dyDescent="0.3">
      <c r="A135" s="166"/>
      <c r="B135" s="169" t="s">
        <v>1060</v>
      </c>
      <c r="C135" s="167"/>
      <c r="D135" s="167"/>
      <c r="E135" s="167"/>
      <c r="F135" s="168"/>
    </row>
    <row r="136" spans="1:7" ht="12.75" customHeight="1" x14ac:dyDescent="0.25">
      <c r="A136" s="160"/>
      <c r="B136" s="160"/>
      <c r="C136" s="160"/>
      <c r="D136" s="160"/>
      <c r="E136" s="160"/>
      <c r="F136" s="160"/>
    </row>
    <row r="137" spans="1:7" s="107" customFormat="1" ht="15.5" x14ac:dyDescent="0.25">
      <c r="A137" s="534" t="s">
        <v>1038</v>
      </c>
      <c r="B137" s="535"/>
      <c r="C137" s="535"/>
      <c r="D137" s="535"/>
      <c r="E137" s="535"/>
      <c r="F137" s="536"/>
    </row>
    <row r="138" spans="1:7" ht="12.75" customHeight="1" x14ac:dyDescent="0.25">
      <c r="A138" s="477" t="s">
        <v>1039</v>
      </c>
      <c r="B138" s="478"/>
      <c r="C138" s="478"/>
      <c r="D138" s="478"/>
      <c r="E138" s="479"/>
      <c r="F138" s="181" t="s">
        <v>727</v>
      </c>
    </row>
    <row r="139" spans="1:7" ht="12.75" customHeight="1" x14ac:dyDescent="0.25">
      <c r="A139" s="72" t="s">
        <v>684</v>
      </c>
      <c r="B139" s="473" t="s">
        <v>703</v>
      </c>
      <c r="C139" s="474"/>
      <c r="D139" s="474"/>
      <c r="E139" s="503"/>
      <c r="F139" s="140">
        <f>F22</f>
        <v>1606.25</v>
      </c>
    </row>
    <row r="140" spans="1:7" ht="12.75" customHeight="1" x14ac:dyDescent="0.25">
      <c r="A140" s="72" t="s">
        <v>690</v>
      </c>
      <c r="B140" s="473" t="s">
        <v>989</v>
      </c>
      <c r="C140" s="474"/>
      <c r="D140" s="474"/>
      <c r="E140" s="503"/>
      <c r="F140" s="140">
        <f>F62</f>
        <v>1401.3698999999999</v>
      </c>
    </row>
    <row r="141" spans="1:7" ht="12.75" customHeight="1" x14ac:dyDescent="0.25">
      <c r="A141" s="72" t="s">
        <v>705</v>
      </c>
      <c r="B141" s="473" t="s">
        <v>1040</v>
      </c>
      <c r="C141" s="474"/>
      <c r="D141" s="474"/>
      <c r="E141" s="503"/>
      <c r="F141" s="140">
        <f>F72</f>
        <v>114.16454</v>
      </c>
    </row>
    <row r="142" spans="1:7" ht="12.75" customHeight="1" x14ac:dyDescent="0.25">
      <c r="A142" s="72" t="s">
        <v>706</v>
      </c>
      <c r="B142" s="473" t="s">
        <v>1041</v>
      </c>
      <c r="C142" s="474"/>
      <c r="D142" s="474"/>
      <c r="E142" s="503"/>
      <c r="F142" s="140">
        <f>F107</f>
        <v>37.367502546296294</v>
      </c>
    </row>
    <row r="143" spans="1:7" ht="12.75" customHeight="1" x14ac:dyDescent="0.25">
      <c r="A143" s="72" t="s">
        <v>707</v>
      </c>
      <c r="B143" s="473" t="s">
        <v>1042</v>
      </c>
      <c r="C143" s="474"/>
      <c r="D143" s="474"/>
      <c r="E143" s="503"/>
      <c r="F143" s="140">
        <f>F115</f>
        <v>84.28884296296296</v>
      </c>
      <c r="G143" s="76"/>
    </row>
    <row r="144" spans="1:7" ht="12.75" customHeight="1" x14ac:dyDescent="0.25">
      <c r="A144" s="106"/>
      <c r="B144" s="494" t="s">
        <v>1043</v>
      </c>
      <c r="C144" s="494"/>
      <c r="D144" s="494"/>
      <c r="E144" s="494"/>
      <c r="F144" s="106">
        <f>SUM(F139:F143)</f>
        <v>3243.4407855092591</v>
      </c>
      <c r="G144" s="76"/>
    </row>
    <row r="145" spans="1:9" ht="12.75" customHeight="1" x14ac:dyDescent="0.25">
      <c r="A145" s="72" t="s">
        <v>708</v>
      </c>
      <c r="B145" s="473" t="s">
        <v>1044</v>
      </c>
      <c r="C145" s="474"/>
      <c r="D145" s="474"/>
      <c r="E145" s="503"/>
      <c r="F145" s="140">
        <f>F126</f>
        <v>785.3599999999999</v>
      </c>
    </row>
    <row r="146" spans="1:9" ht="13" x14ac:dyDescent="0.25">
      <c r="A146" s="494" t="s">
        <v>18</v>
      </c>
      <c r="B146" s="494"/>
      <c r="C146" s="494"/>
      <c r="D146" s="494"/>
      <c r="E146" s="494"/>
      <c r="F146" s="106">
        <f>F144+F145</f>
        <v>4028.8007855092592</v>
      </c>
      <c r="G146" s="85" t="s">
        <v>164</v>
      </c>
      <c r="H146" s="76"/>
      <c r="I146" s="76"/>
    </row>
    <row r="147" spans="1:9" s="89" customFormat="1" ht="13" x14ac:dyDescent="0.25">
      <c r="A147" s="182"/>
      <c r="B147" s="182"/>
      <c r="C147" s="182"/>
      <c r="D147" s="182"/>
      <c r="E147" s="183"/>
      <c r="F147" s="184"/>
    </row>
    <row r="148" spans="1:9" x14ac:dyDescent="0.25">
      <c r="A148" s="107"/>
      <c r="B148" s="107"/>
      <c r="C148" s="107"/>
      <c r="D148" s="107"/>
      <c r="E148" s="107"/>
      <c r="F148" s="107"/>
    </row>
    <row r="149" spans="1:9" x14ac:dyDescent="0.25">
      <c r="F149" s="76"/>
    </row>
    <row r="150" spans="1:9" x14ac:dyDescent="0.25">
      <c r="F150" s="84"/>
    </row>
  </sheetData>
  <mergeCells count="143">
    <mergeCell ref="B143:E143"/>
    <mergeCell ref="B144:E144"/>
    <mergeCell ref="B145:E145"/>
    <mergeCell ref="A146:E146"/>
    <mergeCell ref="A137:F137"/>
    <mergeCell ref="A138:E138"/>
    <mergeCell ref="B139:E139"/>
    <mergeCell ref="B140:E140"/>
    <mergeCell ref="B141:E141"/>
    <mergeCell ref="B142:E142"/>
    <mergeCell ref="A124:B124"/>
    <mergeCell ref="D124:E124"/>
    <mergeCell ref="A125:B125"/>
    <mergeCell ref="D125:E125"/>
    <mergeCell ref="A126:C126"/>
    <mergeCell ref="D126:E126"/>
    <mergeCell ref="A119:C119"/>
    <mergeCell ref="A120:C120"/>
    <mergeCell ref="A121:B121"/>
    <mergeCell ref="D121:E121"/>
    <mergeCell ref="A122:B123"/>
    <mergeCell ref="D122:E122"/>
    <mergeCell ref="D123:E123"/>
    <mergeCell ref="B113:E113"/>
    <mergeCell ref="B114:E114"/>
    <mergeCell ref="A115:E115"/>
    <mergeCell ref="A116:F116"/>
    <mergeCell ref="A117:F117"/>
    <mergeCell ref="A118:C118"/>
    <mergeCell ref="B106:E106"/>
    <mergeCell ref="A107:E107"/>
    <mergeCell ref="A109:F109"/>
    <mergeCell ref="B110:E110"/>
    <mergeCell ref="B111:E111"/>
    <mergeCell ref="B112:E112"/>
    <mergeCell ref="B99:D99"/>
    <mergeCell ref="B100:D100"/>
    <mergeCell ref="A101:D101"/>
    <mergeCell ref="A103:F103"/>
    <mergeCell ref="B104:E104"/>
    <mergeCell ref="B105:E105"/>
    <mergeCell ref="B94:D94"/>
    <mergeCell ref="B96:D96"/>
    <mergeCell ref="A98:F98"/>
    <mergeCell ref="B95:D95"/>
    <mergeCell ref="A87:F87"/>
    <mergeCell ref="B88:D88"/>
    <mergeCell ref="B90:D90"/>
    <mergeCell ref="B91:D91"/>
    <mergeCell ref="B92:D92"/>
    <mergeCell ref="B93:D93"/>
    <mergeCell ref="B80:C80"/>
    <mergeCell ref="B81:C81"/>
    <mergeCell ref="B82:C82"/>
    <mergeCell ref="B83:C83"/>
    <mergeCell ref="A84:E84"/>
    <mergeCell ref="A85:F85"/>
    <mergeCell ref="B89:D89"/>
    <mergeCell ref="A74:F74"/>
    <mergeCell ref="B75:D75"/>
    <mergeCell ref="B76:D76"/>
    <mergeCell ref="B77:C77"/>
    <mergeCell ref="B78:C78"/>
    <mergeCell ref="B79:C79"/>
    <mergeCell ref="B66:C66"/>
    <mergeCell ref="B67:C67"/>
    <mergeCell ref="B68:C68"/>
    <mergeCell ref="B69:C69"/>
    <mergeCell ref="B70:C70"/>
    <mergeCell ref="B71:C71"/>
    <mergeCell ref="A72:D72"/>
    <mergeCell ref="B60:E60"/>
    <mergeCell ref="B61:E61"/>
    <mergeCell ref="A62:E62"/>
    <mergeCell ref="A64:F64"/>
    <mergeCell ref="B65:D65"/>
    <mergeCell ref="A53:E53"/>
    <mergeCell ref="A54:F54"/>
    <mergeCell ref="A55:F55"/>
    <mergeCell ref="A57:F57"/>
    <mergeCell ref="B58:E58"/>
    <mergeCell ref="B59:E59"/>
    <mergeCell ref="B49:C49"/>
    <mergeCell ref="B50:C50"/>
    <mergeCell ref="B51:C51"/>
    <mergeCell ref="D51:E51"/>
    <mergeCell ref="B52:C52"/>
    <mergeCell ref="D52:E52"/>
    <mergeCell ref="A43:F43"/>
    <mergeCell ref="A44:F44"/>
    <mergeCell ref="A45:F45"/>
    <mergeCell ref="B46:E46"/>
    <mergeCell ref="A47:F47"/>
    <mergeCell ref="B48:E48"/>
    <mergeCell ref="B37:D37"/>
    <mergeCell ref="B38:D38"/>
    <mergeCell ref="B39:D39"/>
    <mergeCell ref="B40:D40"/>
    <mergeCell ref="B41:D41"/>
    <mergeCell ref="A42:D42"/>
    <mergeCell ref="A29:E29"/>
    <mergeCell ref="A31:F31"/>
    <mergeCell ref="B32:D32"/>
    <mergeCell ref="B34:D34"/>
    <mergeCell ref="B35:D35"/>
    <mergeCell ref="B36:D36"/>
    <mergeCell ref="B33:D33"/>
    <mergeCell ref="A22:E22"/>
    <mergeCell ref="A24:F24"/>
    <mergeCell ref="A25:F25"/>
    <mergeCell ref="B26:E26"/>
    <mergeCell ref="B27:D27"/>
    <mergeCell ref="B28:D28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A9:F9"/>
    <mergeCell ref="A10:F10"/>
    <mergeCell ref="A13:F13"/>
    <mergeCell ref="B14:E14"/>
    <mergeCell ref="B15:C15"/>
    <mergeCell ref="D15:E15"/>
    <mergeCell ref="A6:B6"/>
    <mergeCell ref="D6:E6"/>
    <mergeCell ref="A7:B7"/>
    <mergeCell ref="D7:E7"/>
    <mergeCell ref="A8:B8"/>
    <mergeCell ref="D8:E8"/>
    <mergeCell ref="A1:F1"/>
    <mergeCell ref="A3:F3"/>
    <mergeCell ref="A4:B4"/>
    <mergeCell ref="D4:E4"/>
    <mergeCell ref="A5:B5"/>
    <mergeCell ref="D5:E5"/>
  </mergeCells>
  <pageMargins left="0.511811024" right="0.511811024" top="0.78740157499999996" bottom="0.78740157499999996" header="0.31496062000000002" footer="0.31496062000000002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8"/>
  <sheetViews>
    <sheetView zoomScaleNormal="100" workbookViewId="0">
      <selection activeCell="H10" sqref="H10"/>
    </sheetView>
  </sheetViews>
  <sheetFormatPr defaultRowHeight="14.5" x14ac:dyDescent="0.35"/>
  <cols>
    <col min="1" max="1" width="28.54296875" style="2" customWidth="1"/>
    <col min="2" max="2" width="9.54296875" style="2" customWidth="1"/>
    <col min="3" max="3" width="9.1796875" style="2" customWidth="1"/>
    <col min="4" max="5" width="12.26953125" style="2" customWidth="1"/>
    <col min="6" max="6" width="15.453125" style="3" customWidth="1"/>
    <col min="7" max="253" width="9.1796875" style="1"/>
    <col min="254" max="254" width="28.54296875" style="1" customWidth="1"/>
    <col min="255" max="255" width="9.54296875" style="1" customWidth="1"/>
    <col min="256" max="256" width="9.1796875" style="1" customWidth="1"/>
    <col min="257" max="258" width="12.26953125" style="1" customWidth="1"/>
    <col min="259" max="259" width="15.453125" style="1" customWidth="1"/>
    <col min="260" max="509" width="9.1796875" style="1"/>
    <col min="510" max="510" width="28.54296875" style="1" customWidth="1"/>
    <col min="511" max="511" width="9.54296875" style="1" customWidth="1"/>
    <col min="512" max="512" width="9.1796875" style="1" customWidth="1"/>
    <col min="513" max="514" width="12.26953125" style="1" customWidth="1"/>
    <col min="515" max="515" width="15.453125" style="1" customWidth="1"/>
    <col min="516" max="765" width="9.1796875" style="1"/>
    <col min="766" max="766" width="28.54296875" style="1" customWidth="1"/>
    <col min="767" max="767" width="9.54296875" style="1" customWidth="1"/>
    <col min="768" max="768" width="9.1796875" style="1" customWidth="1"/>
    <col min="769" max="770" width="12.26953125" style="1" customWidth="1"/>
    <col min="771" max="771" width="15.453125" style="1" customWidth="1"/>
    <col min="772" max="1021" width="9.1796875" style="1"/>
    <col min="1022" max="1022" width="28.54296875" style="1" customWidth="1"/>
    <col min="1023" max="1023" width="9.54296875" style="1" customWidth="1"/>
    <col min="1024" max="1024" width="9.1796875" style="1" customWidth="1"/>
    <col min="1025" max="1026" width="12.26953125" style="1" customWidth="1"/>
    <col min="1027" max="1027" width="15.453125" style="1" customWidth="1"/>
    <col min="1028" max="1277" width="9.1796875" style="1"/>
    <col min="1278" max="1278" width="28.54296875" style="1" customWidth="1"/>
    <col min="1279" max="1279" width="9.54296875" style="1" customWidth="1"/>
    <col min="1280" max="1280" width="9.1796875" style="1" customWidth="1"/>
    <col min="1281" max="1282" width="12.26953125" style="1" customWidth="1"/>
    <col min="1283" max="1283" width="15.453125" style="1" customWidth="1"/>
    <col min="1284" max="1533" width="9.1796875" style="1"/>
    <col min="1534" max="1534" width="28.54296875" style="1" customWidth="1"/>
    <col min="1535" max="1535" width="9.54296875" style="1" customWidth="1"/>
    <col min="1536" max="1536" width="9.1796875" style="1" customWidth="1"/>
    <col min="1537" max="1538" width="12.26953125" style="1" customWidth="1"/>
    <col min="1539" max="1539" width="15.453125" style="1" customWidth="1"/>
    <col min="1540" max="1789" width="9.1796875" style="1"/>
    <col min="1790" max="1790" width="28.54296875" style="1" customWidth="1"/>
    <col min="1791" max="1791" width="9.54296875" style="1" customWidth="1"/>
    <col min="1792" max="1792" width="9.1796875" style="1" customWidth="1"/>
    <col min="1793" max="1794" width="12.26953125" style="1" customWidth="1"/>
    <col min="1795" max="1795" width="15.453125" style="1" customWidth="1"/>
    <col min="1796" max="2045" width="9.1796875" style="1"/>
    <col min="2046" max="2046" width="28.54296875" style="1" customWidth="1"/>
    <col min="2047" max="2047" width="9.54296875" style="1" customWidth="1"/>
    <col min="2048" max="2048" width="9.1796875" style="1" customWidth="1"/>
    <col min="2049" max="2050" width="12.26953125" style="1" customWidth="1"/>
    <col min="2051" max="2051" width="15.453125" style="1" customWidth="1"/>
    <col min="2052" max="2301" width="9.1796875" style="1"/>
    <col min="2302" max="2302" width="28.54296875" style="1" customWidth="1"/>
    <col min="2303" max="2303" width="9.54296875" style="1" customWidth="1"/>
    <col min="2304" max="2304" width="9.1796875" style="1" customWidth="1"/>
    <col min="2305" max="2306" width="12.26953125" style="1" customWidth="1"/>
    <col min="2307" max="2307" width="15.453125" style="1" customWidth="1"/>
    <col min="2308" max="2557" width="9.1796875" style="1"/>
    <col min="2558" max="2558" width="28.54296875" style="1" customWidth="1"/>
    <col min="2559" max="2559" width="9.54296875" style="1" customWidth="1"/>
    <col min="2560" max="2560" width="9.1796875" style="1" customWidth="1"/>
    <col min="2561" max="2562" width="12.26953125" style="1" customWidth="1"/>
    <col min="2563" max="2563" width="15.453125" style="1" customWidth="1"/>
    <col min="2564" max="2813" width="9.1796875" style="1"/>
    <col min="2814" max="2814" width="28.54296875" style="1" customWidth="1"/>
    <col min="2815" max="2815" width="9.54296875" style="1" customWidth="1"/>
    <col min="2816" max="2816" width="9.1796875" style="1" customWidth="1"/>
    <col min="2817" max="2818" width="12.26953125" style="1" customWidth="1"/>
    <col min="2819" max="2819" width="15.453125" style="1" customWidth="1"/>
    <col min="2820" max="3069" width="9.1796875" style="1"/>
    <col min="3070" max="3070" width="28.54296875" style="1" customWidth="1"/>
    <col min="3071" max="3071" width="9.54296875" style="1" customWidth="1"/>
    <col min="3072" max="3072" width="9.1796875" style="1" customWidth="1"/>
    <col min="3073" max="3074" width="12.26953125" style="1" customWidth="1"/>
    <col min="3075" max="3075" width="15.453125" style="1" customWidth="1"/>
    <col min="3076" max="3325" width="9.1796875" style="1"/>
    <col min="3326" max="3326" width="28.54296875" style="1" customWidth="1"/>
    <col min="3327" max="3327" width="9.54296875" style="1" customWidth="1"/>
    <col min="3328" max="3328" width="9.1796875" style="1" customWidth="1"/>
    <col min="3329" max="3330" width="12.26953125" style="1" customWidth="1"/>
    <col min="3331" max="3331" width="15.453125" style="1" customWidth="1"/>
    <col min="3332" max="3581" width="9.1796875" style="1"/>
    <col min="3582" max="3582" width="28.54296875" style="1" customWidth="1"/>
    <col min="3583" max="3583" width="9.54296875" style="1" customWidth="1"/>
    <col min="3584" max="3584" width="9.1796875" style="1" customWidth="1"/>
    <col min="3585" max="3586" width="12.26953125" style="1" customWidth="1"/>
    <col min="3587" max="3587" width="15.453125" style="1" customWidth="1"/>
    <col min="3588" max="3837" width="9.1796875" style="1"/>
    <col min="3838" max="3838" width="28.54296875" style="1" customWidth="1"/>
    <col min="3839" max="3839" width="9.54296875" style="1" customWidth="1"/>
    <col min="3840" max="3840" width="9.1796875" style="1" customWidth="1"/>
    <col min="3841" max="3842" width="12.26953125" style="1" customWidth="1"/>
    <col min="3843" max="3843" width="15.453125" style="1" customWidth="1"/>
    <col min="3844" max="4093" width="9.1796875" style="1"/>
    <col min="4094" max="4094" width="28.54296875" style="1" customWidth="1"/>
    <col min="4095" max="4095" width="9.54296875" style="1" customWidth="1"/>
    <col min="4096" max="4096" width="9.1796875" style="1" customWidth="1"/>
    <col min="4097" max="4098" width="12.26953125" style="1" customWidth="1"/>
    <col min="4099" max="4099" width="15.453125" style="1" customWidth="1"/>
    <col min="4100" max="4349" width="9.1796875" style="1"/>
    <col min="4350" max="4350" width="28.54296875" style="1" customWidth="1"/>
    <col min="4351" max="4351" width="9.54296875" style="1" customWidth="1"/>
    <col min="4352" max="4352" width="9.1796875" style="1" customWidth="1"/>
    <col min="4353" max="4354" width="12.26953125" style="1" customWidth="1"/>
    <col min="4355" max="4355" width="15.453125" style="1" customWidth="1"/>
    <col min="4356" max="4605" width="9.1796875" style="1"/>
    <col min="4606" max="4606" width="28.54296875" style="1" customWidth="1"/>
    <col min="4607" max="4607" width="9.54296875" style="1" customWidth="1"/>
    <col min="4608" max="4608" width="9.1796875" style="1" customWidth="1"/>
    <col min="4609" max="4610" width="12.26953125" style="1" customWidth="1"/>
    <col min="4611" max="4611" width="15.453125" style="1" customWidth="1"/>
    <col min="4612" max="4861" width="9.1796875" style="1"/>
    <col min="4862" max="4862" width="28.54296875" style="1" customWidth="1"/>
    <col min="4863" max="4863" width="9.54296875" style="1" customWidth="1"/>
    <col min="4864" max="4864" width="9.1796875" style="1" customWidth="1"/>
    <col min="4865" max="4866" width="12.26953125" style="1" customWidth="1"/>
    <col min="4867" max="4867" width="15.453125" style="1" customWidth="1"/>
    <col min="4868" max="5117" width="9.1796875" style="1"/>
    <col min="5118" max="5118" width="28.54296875" style="1" customWidth="1"/>
    <col min="5119" max="5119" width="9.54296875" style="1" customWidth="1"/>
    <col min="5120" max="5120" width="9.1796875" style="1" customWidth="1"/>
    <col min="5121" max="5122" width="12.26953125" style="1" customWidth="1"/>
    <col min="5123" max="5123" width="15.453125" style="1" customWidth="1"/>
    <col min="5124" max="5373" width="9.1796875" style="1"/>
    <col min="5374" max="5374" width="28.54296875" style="1" customWidth="1"/>
    <col min="5375" max="5375" width="9.54296875" style="1" customWidth="1"/>
    <col min="5376" max="5376" width="9.1796875" style="1" customWidth="1"/>
    <col min="5377" max="5378" width="12.26953125" style="1" customWidth="1"/>
    <col min="5379" max="5379" width="15.453125" style="1" customWidth="1"/>
    <col min="5380" max="5629" width="9.1796875" style="1"/>
    <col min="5630" max="5630" width="28.54296875" style="1" customWidth="1"/>
    <col min="5631" max="5631" width="9.54296875" style="1" customWidth="1"/>
    <col min="5632" max="5632" width="9.1796875" style="1" customWidth="1"/>
    <col min="5633" max="5634" width="12.26953125" style="1" customWidth="1"/>
    <col min="5635" max="5635" width="15.453125" style="1" customWidth="1"/>
    <col min="5636" max="5885" width="9.1796875" style="1"/>
    <col min="5886" max="5886" width="28.54296875" style="1" customWidth="1"/>
    <col min="5887" max="5887" width="9.54296875" style="1" customWidth="1"/>
    <col min="5888" max="5888" width="9.1796875" style="1" customWidth="1"/>
    <col min="5889" max="5890" width="12.26953125" style="1" customWidth="1"/>
    <col min="5891" max="5891" width="15.453125" style="1" customWidth="1"/>
    <col min="5892" max="6141" width="9.1796875" style="1"/>
    <col min="6142" max="6142" width="28.54296875" style="1" customWidth="1"/>
    <col min="6143" max="6143" width="9.54296875" style="1" customWidth="1"/>
    <col min="6144" max="6144" width="9.1796875" style="1" customWidth="1"/>
    <col min="6145" max="6146" width="12.26953125" style="1" customWidth="1"/>
    <col min="6147" max="6147" width="15.453125" style="1" customWidth="1"/>
    <col min="6148" max="6397" width="9.1796875" style="1"/>
    <col min="6398" max="6398" width="28.54296875" style="1" customWidth="1"/>
    <col min="6399" max="6399" width="9.54296875" style="1" customWidth="1"/>
    <col min="6400" max="6400" width="9.1796875" style="1" customWidth="1"/>
    <col min="6401" max="6402" width="12.26953125" style="1" customWidth="1"/>
    <col min="6403" max="6403" width="15.453125" style="1" customWidth="1"/>
    <col min="6404" max="6653" width="9.1796875" style="1"/>
    <col min="6654" max="6654" width="28.54296875" style="1" customWidth="1"/>
    <col min="6655" max="6655" width="9.54296875" style="1" customWidth="1"/>
    <col min="6656" max="6656" width="9.1796875" style="1" customWidth="1"/>
    <col min="6657" max="6658" width="12.26953125" style="1" customWidth="1"/>
    <col min="6659" max="6659" width="15.453125" style="1" customWidth="1"/>
    <col min="6660" max="6909" width="9.1796875" style="1"/>
    <col min="6910" max="6910" width="28.54296875" style="1" customWidth="1"/>
    <col min="6911" max="6911" width="9.54296875" style="1" customWidth="1"/>
    <col min="6912" max="6912" width="9.1796875" style="1" customWidth="1"/>
    <col min="6913" max="6914" width="12.26953125" style="1" customWidth="1"/>
    <col min="6915" max="6915" width="15.453125" style="1" customWidth="1"/>
    <col min="6916" max="7165" width="9.1796875" style="1"/>
    <col min="7166" max="7166" width="28.54296875" style="1" customWidth="1"/>
    <col min="7167" max="7167" width="9.54296875" style="1" customWidth="1"/>
    <col min="7168" max="7168" width="9.1796875" style="1" customWidth="1"/>
    <col min="7169" max="7170" width="12.26953125" style="1" customWidth="1"/>
    <col min="7171" max="7171" width="15.453125" style="1" customWidth="1"/>
    <col min="7172" max="7421" width="9.1796875" style="1"/>
    <col min="7422" max="7422" width="28.54296875" style="1" customWidth="1"/>
    <col min="7423" max="7423" width="9.54296875" style="1" customWidth="1"/>
    <col min="7424" max="7424" width="9.1796875" style="1" customWidth="1"/>
    <col min="7425" max="7426" width="12.26953125" style="1" customWidth="1"/>
    <col min="7427" max="7427" width="15.453125" style="1" customWidth="1"/>
    <col min="7428" max="7677" width="9.1796875" style="1"/>
    <col min="7678" max="7678" width="28.54296875" style="1" customWidth="1"/>
    <col min="7679" max="7679" width="9.54296875" style="1" customWidth="1"/>
    <col min="7680" max="7680" width="9.1796875" style="1" customWidth="1"/>
    <col min="7681" max="7682" width="12.26953125" style="1" customWidth="1"/>
    <col min="7683" max="7683" width="15.453125" style="1" customWidth="1"/>
    <col min="7684" max="7933" width="9.1796875" style="1"/>
    <col min="7934" max="7934" width="28.54296875" style="1" customWidth="1"/>
    <col min="7935" max="7935" width="9.54296875" style="1" customWidth="1"/>
    <col min="7936" max="7936" width="9.1796875" style="1" customWidth="1"/>
    <col min="7937" max="7938" width="12.26953125" style="1" customWidth="1"/>
    <col min="7939" max="7939" width="15.453125" style="1" customWidth="1"/>
    <col min="7940" max="8189" width="9.1796875" style="1"/>
    <col min="8190" max="8190" width="28.54296875" style="1" customWidth="1"/>
    <col min="8191" max="8191" width="9.54296875" style="1" customWidth="1"/>
    <col min="8192" max="8192" width="9.1796875" style="1" customWidth="1"/>
    <col min="8193" max="8194" width="12.26953125" style="1" customWidth="1"/>
    <col min="8195" max="8195" width="15.453125" style="1" customWidth="1"/>
    <col min="8196" max="8445" width="9.1796875" style="1"/>
    <col min="8446" max="8446" width="28.54296875" style="1" customWidth="1"/>
    <col min="8447" max="8447" width="9.54296875" style="1" customWidth="1"/>
    <col min="8448" max="8448" width="9.1796875" style="1" customWidth="1"/>
    <col min="8449" max="8450" width="12.26953125" style="1" customWidth="1"/>
    <col min="8451" max="8451" width="15.453125" style="1" customWidth="1"/>
    <col min="8452" max="8701" width="9.1796875" style="1"/>
    <col min="8702" max="8702" width="28.54296875" style="1" customWidth="1"/>
    <col min="8703" max="8703" width="9.54296875" style="1" customWidth="1"/>
    <col min="8704" max="8704" width="9.1796875" style="1" customWidth="1"/>
    <col min="8705" max="8706" width="12.26953125" style="1" customWidth="1"/>
    <col min="8707" max="8707" width="15.453125" style="1" customWidth="1"/>
    <col min="8708" max="8957" width="9.1796875" style="1"/>
    <col min="8958" max="8958" width="28.54296875" style="1" customWidth="1"/>
    <col min="8959" max="8959" width="9.54296875" style="1" customWidth="1"/>
    <col min="8960" max="8960" width="9.1796875" style="1" customWidth="1"/>
    <col min="8961" max="8962" width="12.26953125" style="1" customWidth="1"/>
    <col min="8963" max="8963" width="15.453125" style="1" customWidth="1"/>
    <col min="8964" max="9213" width="9.1796875" style="1"/>
    <col min="9214" max="9214" width="28.54296875" style="1" customWidth="1"/>
    <col min="9215" max="9215" width="9.54296875" style="1" customWidth="1"/>
    <col min="9216" max="9216" width="9.1796875" style="1" customWidth="1"/>
    <col min="9217" max="9218" width="12.26953125" style="1" customWidth="1"/>
    <col min="9219" max="9219" width="15.453125" style="1" customWidth="1"/>
    <col min="9220" max="9469" width="9.1796875" style="1"/>
    <col min="9470" max="9470" width="28.54296875" style="1" customWidth="1"/>
    <col min="9471" max="9471" width="9.54296875" style="1" customWidth="1"/>
    <col min="9472" max="9472" width="9.1796875" style="1" customWidth="1"/>
    <col min="9473" max="9474" width="12.26953125" style="1" customWidth="1"/>
    <col min="9475" max="9475" width="15.453125" style="1" customWidth="1"/>
    <col min="9476" max="9725" width="9.1796875" style="1"/>
    <col min="9726" max="9726" width="28.54296875" style="1" customWidth="1"/>
    <col min="9727" max="9727" width="9.54296875" style="1" customWidth="1"/>
    <col min="9728" max="9728" width="9.1796875" style="1" customWidth="1"/>
    <col min="9729" max="9730" width="12.26953125" style="1" customWidth="1"/>
    <col min="9731" max="9731" width="15.453125" style="1" customWidth="1"/>
    <col min="9732" max="9981" width="9.1796875" style="1"/>
    <col min="9982" max="9982" width="28.54296875" style="1" customWidth="1"/>
    <col min="9983" max="9983" width="9.54296875" style="1" customWidth="1"/>
    <col min="9984" max="9984" width="9.1796875" style="1" customWidth="1"/>
    <col min="9985" max="9986" width="12.26953125" style="1" customWidth="1"/>
    <col min="9987" max="9987" width="15.453125" style="1" customWidth="1"/>
    <col min="9988" max="10237" width="9.1796875" style="1"/>
    <col min="10238" max="10238" width="28.54296875" style="1" customWidth="1"/>
    <col min="10239" max="10239" width="9.54296875" style="1" customWidth="1"/>
    <col min="10240" max="10240" width="9.1796875" style="1" customWidth="1"/>
    <col min="10241" max="10242" width="12.26953125" style="1" customWidth="1"/>
    <col min="10243" max="10243" width="15.453125" style="1" customWidth="1"/>
    <col min="10244" max="10493" width="9.1796875" style="1"/>
    <col min="10494" max="10494" width="28.54296875" style="1" customWidth="1"/>
    <col min="10495" max="10495" width="9.54296875" style="1" customWidth="1"/>
    <col min="10496" max="10496" width="9.1796875" style="1" customWidth="1"/>
    <col min="10497" max="10498" width="12.26953125" style="1" customWidth="1"/>
    <col min="10499" max="10499" width="15.453125" style="1" customWidth="1"/>
    <col min="10500" max="10749" width="9.1796875" style="1"/>
    <col min="10750" max="10750" width="28.54296875" style="1" customWidth="1"/>
    <col min="10751" max="10751" width="9.54296875" style="1" customWidth="1"/>
    <col min="10752" max="10752" width="9.1796875" style="1" customWidth="1"/>
    <col min="10753" max="10754" width="12.26953125" style="1" customWidth="1"/>
    <col min="10755" max="10755" width="15.453125" style="1" customWidth="1"/>
    <col min="10756" max="11005" width="9.1796875" style="1"/>
    <col min="11006" max="11006" width="28.54296875" style="1" customWidth="1"/>
    <col min="11007" max="11007" width="9.54296875" style="1" customWidth="1"/>
    <col min="11008" max="11008" width="9.1796875" style="1" customWidth="1"/>
    <col min="11009" max="11010" width="12.26953125" style="1" customWidth="1"/>
    <col min="11011" max="11011" width="15.453125" style="1" customWidth="1"/>
    <col min="11012" max="11261" width="9.1796875" style="1"/>
    <col min="11262" max="11262" width="28.54296875" style="1" customWidth="1"/>
    <col min="11263" max="11263" width="9.54296875" style="1" customWidth="1"/>
    <col min="11264" max="11264" width="9.1796875" style="1" customWidth="1"/>
    <col min="11265" max="11266" width="12.26953125" style="1" customWidth="1"/>
    <col min="11267" max="11267" width="15.453125" style="1" customWidth="1"/>
    <col min="11268" max="11517" width="9.1796875" style="1"/>
    <col min="11518" max="11518" width="28.54296875" style="1" customWidth="1"/>
    <col min="11519" max="11519" width="9.54296875" style="1" customWidth="1"/>
    <col min="11520" max="11520" width="9.1796875" style="1" customWidth="1"/>
    <col min="11521" max="11522" width="12.26953125" style="1" customWidth="1"/>
    <col min="11523" max="11523" width="15.453125" style="1" customWidth="1"/>
    <col min="11524" max="11773" width="9.1796875" style="1"/>
    <col min="11774" max="11774" width="28.54296875" style="1" customWidth="1"/>
    <col min="11775" max="11775" width="9.54296875" style="1" customWidth="1"/>
    <col min="11776" max="11776" width="9.1796875" style="1" customWidth="1"/>
    <col min="11777" max="11778" width="12.26953125" style="1" customWidth="1"/>
    <col min="11779" max="11779" width="15.453125" style="1" customWidth="1"/>
    <col min="11780" max="12029" width="9.1796875" style="1"/>
    <col min="12030" max="12030" width="28.54296875" style="1" customWidth="1"/>
    <col min="12031" max="12031" width="9.54296875" style="1" customWidth="1"/>
    <col min="12032" max="12032" width="9.1796875" style="1" customWidth="1"/>
    <col min="12033" max="12034" width="12.26953125" style="1" customWidth="1"/>
    <col min="12035" max="12035" width="15.453125" style="1" customWidth="1"/>
    <col min="12036" max="12285" width="9.1796875" style="1"/>
    <col min="12286" max="12286" width="28.54296875" style="1" customWidth="1"/>
    <col min="12287" max="12287" width="9.54296875" style="1" customWidth="1"/>
    <col min="12288" max="12288" width="9.1796875" style="1" customWidth="1"/>
    <col min="12289" max="12290" width="12.26953125" style="1" customWidth="1"/>
    <col min="12291" max="12291" width="15.453125" style="1" customWidth="1"/>
    <col min="12292" max="12541" width="9.1796875" style="1"/>
    <col min="12542" max="12542" width="28.54296875" style="1" customWidth="1"/>
    <col min="12543" max="12543" width="9.54296875" style="1" customWidth="1"/>
    <col min="12544" max="12544" width="9.1796875" style="1" customWidth="1"/>
    <col min="12545" max="12546" width="12.26953125" style="1" customWidth="1"/>
    <col min="12547" max="12547" width="15.453125" style="1" customWidth="1"/>
    <col min="12548" max="12797" width="9.1796875" style="1"/>
    <col min="12798" max="12798" width="28.54296875" style="1" customWidth="1"/>
    <col min="12799" max="12799" width="9.54296875" style="1" customWidth="1"/>
    <col min="12800" max="12800" width="9.1796875" style="1" customWidth="1"/>
    <col min="12801" max="12802" width="12.26953125" style="1" customWidth="1"/>
    <col min="12803" max="12803" width="15.453125" style="1" customWidth="1"/>
    <col min="12804" max="13053" width="9.1796875" style="1"/>
    <col min="13054" max="13054" width="28.54296875" style="1" customWidth="1"/>
    <col min="13055" max="13055" width="9.54296875" style="1" customWidth="1"/>
    <col min="13056" max="13056" width="9.1796875" style="1" customWidth="1"/>
    <col min="13057" max="13058" width="12.26953125" style="1" customWidth="1"/>
    <col min="13059" max="13059" width="15.453125" style="1" customWidth="1"/>
    <col min="13060" max="13309" width="9.1796875" style="1"/>
    <col min="13310" max="13310" width="28.54296875" style="1" customWidth="1"/>
    <col min="13311" max="13311" width="9.54296875" style="1" customWidth="1"/>
    <col min="13312" max="13312" width="9.1796875" style="1" customWidth="1"/>
    <col min="13313" max="13314" width="12.26953125" style="1" customWidth="1"/>
    <col min="13315" max="13315" width="15.453125" style="1" customWidth="1"/>
    <col min="13316" max="13565" width="9.1796875" style="1"/>
    <col min="13566" max="13566" width="28.54296875" style="1" customWidth="1"/>
    <col min="13567" max="13567" width="9.54296875" style="1" customWidth="1"/>
    <col min="13568" max="13568" width="9.1796875" style="1" customWidth="1"/>
    <col min="13569" max="13570" width="12.26953125" style="1" customWidth="1"/>
    <col min="13571" max="13571" width="15.453125" style="1" customWidth="1"/>
    <col min="13572" max="13821" width="9.1796875" style="1"/>
    <col min="13822" max="13822" width="28.54296875" style="1" customWidth="1"/>
    <col min="13823" max="13823" width="9.54296875" style="1" customWidth="1"/>
    <col min="13824" max="13824" width="9.1796875" style="1" customWidth="1"/>
    <col min="13825" max="13826" width="12.26953125" style="1" customWidth="1"/>
    <col min="13827" max="13827" width="15.453125" style="1" customWidth="1"/>
    <col min="13828" max="14077" width="9.1796875" style="1"/>
    <col min="14078" max="14078" width="28.54296875" style="1" customWidth="1"/>
    <col min="14079" max="14079" width="9.54296875" style="1" customWidth="1"/>
    <col min="14080" max="14080" width="9.1796875" style="1" customWidth="1"/>
    <col min="14081" max="14082" width="12.26953125" style="1" customWidth="1"/>
    <col min="14083" max="14083" width="15.453125" style="1" customWidth="1"/>
    <col min="14084" max="14333" width="9.1796875" style="1"/>
    <col min="14334" max="14334" width="28.54296875" style="1" customWidth="1"/>
    <col min="14335" max="14335" width="9.54296875" style="1" customWidth="1"/>
    <col min="14336" max="14336" width="9.1796875" style="1" customWidth="1"/>
    <col min="14337" max="14338" width="12.26953125" style="1" customWidth="1"/>
    <col min="14339" max="14339" width="15.453125" style="1" customWidth="1"/>
    <col min="14340" max="14589" width="9.1796875" style="1"/>
    <col min="14590" max="14590" width="28.54296875" style="1" customWidth="1"/>
    <col min="14591" max="14591" width="9.54296875" style="1" customWidth="1"/>
    <col min="14592" max="14592" width="9.1796875" style="1" customWidth="1"/>
    <col min="14593" max="14594" width="12.26953125" style="1" customWidth="1"/>
    <col min="14595" max="14595" width="15.453125" style="1" customWidth="1"/>
    <col min="14596" max="14845" width="9.1796875" style="1"/>
    <col min="14846" max="14846" width="28.54296875" style="1" customWidth="1"/>
    <col min="14847" max="14847" width="9.54296875" style="1" customWidth="1"/>
    <col min="14848" max="14848" width="9.1796875" style="1" customWidth="1"/>
    <col min="14849" max="14850" width="12.26953125" style="1" customWidth="1"/>
    <col min="14851" max="14851" width="15.453125" style="1" customWidth="1"/>
    <col min="14852" max="15101" width="9.1796875" style="1"/>
    <col min="15102" max="15102" width="28.54296875" style="1" customWidth="1"/>
    <col min="15103" max="15103" width="9.54296875" style="1" customWidth="1"/>
    <col min="15104" max="15104" width="9.1796875" style="1" customWidth="1"/>
    <col min="15105" max="15106" width="12.26953125" style="1" customWidth="1"/>
    <col min="15107" max="15107" width="15.453125" style="1" customWidth="1"/>
    <col min="15108" max="15357" width="9.1796875" style="1"/>
    <col min="15358" max="15358" width="28.54296875" style="1" customWidth="1"/>
    <col min="15359" max="15359" width="9.54296875" style="1" customWidth="1"/>
    <col min="15360" max="15360" width="9.1796875" style="1" customWidth="1"/>
    <col min="15361" max="15362" width="12.26953125" style="1" customWidth="1"/>
    <col min="15363" max="15363" width="15.453125" style="1" customWidth="1"/>
    <col min="15364" max="15613" width="9.1796875" style="1"/>
    <col min="15614" max="15614" width="28.54296875" style="1" customWidth="1"/>
    <col min="15615" max="15615" width="9.54296875" style="1" customWidth="1"/>
    <col min="15616" max="15616" width="9.1796875" style="1" customWidth="1"/>
    <col min="15617" max="15618" width="12.26953125" style="1" customWidth="1"/>
    <col min="15619" max="15619" width="15.453125" style="1" customWidth="1"/>
    <col min="15620" max="15869" width="9.1796875" style="1"/>
    <col min="15870" max="15870" width="28.54296875" style="1" customWidth="1"/>
    <col min="15871" max="15871" width="9.54296875" style="1" customWidth="1"/>
    <col min="15872" max="15872" width="9.1796875" style="1" customWidth="1"/>
    <col min="15873" max="15874" width="12.26953125" style="1" customWidth="1"/>
    <col min="15875" max="15875" width="15.453125" style="1" customWidth="1"/>
    <col min="15876" max="16125" width="9.1796875" style="1"/>
    <col min="16126" max="16126" width="28.54296875" style="1" customWidth="1"/>
    <col min="16127" max="16127" width="9.54296875" style="1" customWidth="1"/>
    <col min="16128" max="16128" width="9.1796875" style="1" customWidth="1"/>
    <col min="16129" max="16130" width="12.26953125" style="1" customWidth="1"/>
    <col min="16131" max="16131" width="15.453125" style="1" customWidth="1"/>
    <col min="16132" max="16384" width="9.1796875" style="1"/>
  </cols>
  <sheetData>
    <row r="1" spans="1:6" s="14" customFormat="1" ht="63.75" customHeight="1" x14ac:dyDescent="0.3">
      <c r="A1" s="538"/>
      <c r="B1" s="538"/>
      <c r="C1" s="538"/>
      <c r="D1" s="538"/>
      <c r="E1" s="538"/>
      <c r="F1" s="538"/>
    </row>
    <row r="2" spans="1:6" ht="40.5" customHeight="1" x14ac:dyDescent="0.35">
      <c r="A2" s="539" t="s">
        <v>736</v>
      </c>
      <c r="B2" s="539"/>
      <c r="C2" s="539"/>
      <c r="D2" s="539"/>
      <c r="E2" s="539"/>
      <c r="F2" s="539"/>
    </row>
    <row r="3" spans="1:6" ht="48" customHeight="1" x14ac:dyDescent="0.35">
      <c r="A3" s="192" t="s">
        <v>695</v>
      </c>
      <c r="B3" s="192" t="s">
        <v>696</v>
      </c>
      <c r="C3" s="192" t="s">
        <v>697</v>
      </c>
      <c r="D3" s="192" t="s">
        <v>698</v>
      </c>
      <c r="E3" s="192" t="s">
        <v>699</v>
      </c>
      <c r="F3" s="192" t="s">
        <v>761</v>
      </c>
    </row>
    <row r="4" spans="1:6" ht="30.75" customHeight="1" x14ac:dyDescent="0.35">
      <c r="A4" s="193" t="s">
        <v>700</v>
      </c>
      <c r="B4" s="194">
        <v>1</v>
      </c>
      <c r="C4" s="194">
        <v>40</v>
      </c>
      <c r="D4" s="195">
        <f>Artifice!F146</f>
        <v>3290.2801033518517</v>
      </c>
      <c r="E4" s="195">
        <f>D4*B4</f>
        <v>3290.2801033518517</v>
      </c>
      <c r="F4" s="196">
        <f>E4*20</f>
        <v>65805.602067037034</v>
      </c>
    </row>
    <row r="5" spans="1:6" ht="30.75" customHeight="1" x14ac:dyDescent="0.35">
      <c r="A5" s="193" t="s">
        <v>735</v>
      </c>
      <c r="B5" s="194">
        <v>1</v>
      </c>
      <c r="C5" s="194">
        <v>40</v>
      </c>
      <c r="D5" s="195">
        <f>'Téc. Eletricista'!F146</f>
        <v>4996.6400832731479</v>
      </c>
      <c r="E5" s="195">
        <f>D5*B5</f>
        <v>4996.6400832731479</v>
      </c>
      <c r="F5" s="196">
        <f>E5*20</f>
        <v>99932.801665462961</v>
      </c>
    </row>
    <row r="6" spans="1:6" ht="30.75" customHeight="1" x14ac:dyDescent="0.35">
      <c r="A6" s="193" t="s">
        <v>701</v>
      </c>
      <c r="B6" s="194">
        <v>1</v>
      </c>
      <c r="C6" s="194">
        <v>40</v>
      </c>
      <c r="D6" s="195">
        <f>'Téc. Refrigeração'!F146</f>
        <v>4028.8007855092592</v>
      </c>
      <c r="E6" s="195">
        <f>D6*B6</f>
        <v>4028.8007855092592</v>
      </c>
      <c r="F6" s="196">
        <f>E6*20</f>
        <v>80576.01571018518</v>
      </c>
    </row>
    <row r="7" spans="1:6" ht="30.75" customHeight="1" x14ac:dyDescent="0.35">
      <c r="A7" s="197" t="s">
        <v>17</v>
      </c>
      <c r="B7" s="198">
        <f>SUM(B4:B6)</f>
        <v>3</v>
      </c>
      <c r="C7" s="199"/>
      <c r="D7" s="200"/>
      <c r="E7" s="201">
        <f>SUM(E4:E6)</f>
        <v>12315.720972134259</v>
      </c>
      <c r="F7" s="202">
        <f>SUM(F4:F6)</f>
        <v>246314.41944268515</v>
      </c>
    </row>
    <row r="8" spans="1:6" ht="26.25" customHeight="1" x14ac:dyDescent="0.35">
      <c r="A8" s="20"/>
      <c r="B8" s="20" t="s">
        <v>164</v>
      </c>
      <c r="C8" s="20"/>
      <c r="D8" s="20"/>
      <c r="E8" s="20"/>
      <c r="F8" s="203"/>
    </row>
    <row r="9" spans="1:6" ht="30.75" customHeight="1" x14ac:dyDescent="0.35">
      <c r="A9" s="540" t="s">
        <v>702</v>
      </c>
      <c r="B9" s="541"/>
      <c r="C9" s="541"/>
      <c r="D9" s="541"/>
      <c r="E9" s="541"/>
      <c r="F9" s="542"/>
    </row>
    <row r="10" spans="1:6" ht="65.25" customHeight="1" x14ac:dyDescent="0.35">
      <c r="A10" s="543" t="s">
        <v>1072</v>
      </c>
      <c r="B10" s="544"/>
      <c r="C10" s="544"/>
      <c r="D10" s="544"/>
      <c r="E10" s="544"/>
      <c r="F10" s="545"/>
    </row>
    <row r="11" spans="1:6" x14ac:dyDescent="0.35">
      <c r="A11" s="20"/>
      <c r="B11" s="20"/>
      <c r="C11" s="20"/>
      <c r="D11" s="20"/>
      <c r="E11" s="20"/>
      <c r="F11" s="46"/>
    </row>
    <row r="12" spans="1:6" x14ac:dyDescent="0.35">
      <c r="A12" s="20"/>
      <c r="B12" s="20"/>
      <c r="C12" s="20"/>
      <c r="D12" s="546"/>
      <c r="E12" s="546"/>
      <c r="F12" s="546"/>
    </row>
    <row r="13" spans="1:6" x14ac:dyDescent="0.35">
      <c r="A13" s="20"/>
      <c r="B13" s="20"/>
      <c r="C13" s="20"/>
      <c r="D13" s="20"/>
      <c r="E13" s="18"/>
      <c r="F13" s="46"/>
    </row>
    <row r="14" spans="1:6" x14ac:dyDescent="0.35">
      <c r="E14" s="67"/>
    </row>
    <row r="15" spans="1:6" x14ac:dyDescent="0.35">
      <c r="E15" s="3"/>
    </row>
    <row r="16" spans="1:6" x14ac:dyDescent="0.35">
      <c r="E16" s="3"/>
    </row>
    <row r="17" spans="4:6" ht="21.75" customHeight="1" x14ac:dyDescent="0.5">
      <c r="D17" s="547"/>
      <c r="E17" s="547"/>
      <c r="F17" s="547"/>
    </row>
    <row r="18" spans="4:6" x14ac:dyDescent="0.35">
      <c r="D18" s="537"/>
      <c r="E18" s="537"/>
      <c r="F18" s="537"/>
    </row>
  </sheetData>
  <mergeCells count="7">
    <mergeCell ref="D18:F18"/>
    <mergeCell ref="A1:F1"/>
    <mergeCell ref="A2:F2"/>
    <mergeCell ref="A9:F9"/>
    <mergeCell ref="A10:F10"/>
    <mergeCell ref="D12:F12"/>
    <mergeCell ref="D17:F17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headerFooter>
    <oddHeader>&amp;C27</oddHeader>
    <oddFooter>&amp;C27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E60"/>
  <sheetViews>
    <sheetView view="pageBreakPreview" topLeftCell="A49" zoomScale="120" zoomScaleNormal="100" zoomScaleSheetLayoutView="120" workbookViewId="0">
      <selection activeCell="A57" sqref="A57:XFD60"/>
    </sheetView>
  </sheetViews>
  <sheetFormatPr defaultRowHeight="14.5" x14ac:dyDescent="0.35"/>
  <cols>
    <col min="1" max="1" width="4.54296875" style="7" customWidth="1"/>
    <col min="2" max="2" width="51.26953125" style="2" bestFit="1" customWidth="1"/>
    <col min="3" max="3" width="4.1796875" style="7" customWidth="1"/>
    <col min="4" max="4" width="6.7265625" style="7" customWidth="1"/>
    <col min="5" max="5" width="9.26953125" style="7" bestFit="1" customWidth="1"/>
    <col min="6" max="245" width="9.1796875" style="1"/>
    <col min="246" max="246" width="4.54296875" style="1" customWidth="1"/>
    <col min="247" max="247" width="54.26953125" style="1" customWidth="1"/>
    <col min="248" max="248" width="4.54296875" style="1" customWidth="1"/>
    <col min="249" max="249" width="10" style="1" customWidth="1"/>
    <col min="250" max="250" width="11.453125" style="1" customWidth="1"/>
    <col min="251" max="501" width="9.1796875" style="1"/>
    <col min="502" max="502" width="4.54296875" style="1" customWidth="1"/>
    <col min="503" max="503" width="54.26953125" style="1" customWidth="1"/>
    <col min="504" max="504" width="4.54296875" style="1" customWidth="1"/>
    <col min="505" max="505" width="10" style="1" customWidth="1"/>
    <col min="506" max="506" width="11.453125" style="1" customWidth="1"/>
    <col min="507" max="757" width="9.1796875" style="1"/>
    <col min="758" max="758" width="4.54296875" style="1" customWidth="1"/>
    <col min="759" max="759" width="54.26953125" style="1" customWidth="1"/>
    <col min="760" max="760" width="4.54296875" style="1" customWidth="1"/>
    <col min="761" max="761" width="10" style="1" customWidth="1"/>
    <col min="762" max="762" width="11.453125" style="1" customWidth="1"/>
    <col min="763" max="1013" width="9.1796875" style="1"/>
    <col min="1014" max="1014" width="4.54296875" style="1" customWidth="1"/>
    <col min="1015" max="1015" width="54.26953125" style="1" customWidth="1"/>
    <col min="1016" max="1016" width="4.54296875" style="1" customWidth="1"/>
    <col min="1017" max="1017" width="10" style="1" customWidth="1"/>
    <col min="1018" max="1018" width="11.453125" style="1" customWidth="1"/>
    <col min="1019" max="1269" width="9.1796875" style="1"/>
    <col min="1270" max="1270" width="4.54296875" style="1" customWidth="1"/>
    <col min="1271" max="1271" width="54.26953125" style="1" customWidth="1"/>
    <col min="1272" max="1272" width="4.54296875" style="1" customWidth="1"/>
    <col min="1273" max="1273" width="10" style="1" customWidth="1"/>
    <col min="1274" max="1274" width="11.453125" style="1" customWidth="1"/>
    <col min="1275" max="1525" width="9.1796875" style="1"/>
    <col min="1526" max="1526" width="4.54296875" style="1" customWidth="1"/>
    <col min="1527" max="1527" width="54.26953125" style="1" customWidth="1"/>
    <col min="1528" max="1528" width="4.54296875" style="1" customWidth="1"/>
    <col min="1529" max="1529" width="10" style="1" customWidth="1"/>
    <col min="1530" max="1530" width="11.453125" style="1" customWidth="1"/>
    <col min="1531" max="1781" width="9.1796875" style="1"/>
    <col min="1782" max="1782" width="4.54296875" style="1" customWidth="1"/>
    <col min="1783" max="1783" width="54.26953125" style="1" customWidth="1"/>
    <col min="1784" max="1784" width="4.54296875" style="1" customWidth="1"/>
    <col min="1785" max="1785" width="10" style="1" customWidth="1"/>
    <col min="1786" max="1786" width="11.453125" style="1" customWidth="1"/>
    <col min="1787" max="2037" width="9.1796875" style="1"/>
    <col min="2038" max="2038" width="4.54296875" style="1" customWidth="1"/>
    <col min="2039" max="2039" width="54.26953125" style="1" customWidth="1"/>
    <col min="2040" max="2040" width="4.54296875" style="1" customWidth="1"/>
    <col min="2041" max="2041" width="10" style="1" customWidth="1"/>
    <col min="2042" max="2042" width="11.453125" style="1" customWidth="1"/>
    <col min="2043" max="2293" width="9.1796875" style="1"/>
    <col min="2294" max="2294" width="4.54296875" style="1" customWidth="1"/>
    <col min="2295" max="2295" width="54.26953125" style="1" customWidth="1"/>
    <col min="2296" max="2296" width="4.54296875" style="1" customWidth="1"/>
    <col min="2297" max="2297" width="10" style="1" customWidth="1"/>
    <col min="2298" max="2298" width="11.453125" style="1" customWidth="1"/>
    <col min="2299" max="2549" width="9.1796875" style="1"/>
    <col min="2550" max="2550" width="4.54296875" style="1" customWidth="1"/>
    <col min="2551" max="2551" width="54.26953125" style="1" customWidth="1"/>
    <col min="2552" max="2552" width="4.54296875" style="1" customWidth="1"/>
    <col min="2553" max="2553" width="10" style="1" customWidth="1"/>
    <col min="2554" max="2554" width="11.453125" style="1" customWidth="1"/>
    <col min="2555" max="2805" width="9.1796875" style="1"/>
    <col min="2806" max="2806" width="4.54296875" style="1" customWidth="1"/>
    <col min="2807" max="2807" width="54.26953125" style="1" customWidth="1"/>
    <col min="2808" max="2808" width="4.54296875" style="1" customWidth="1"/>
    <col min="2809" max="2809" width="10" style="1" customWidth="1"/>
    <col min="2810" max="2810" width="11.453125" style="1" customWidth="1"/>
    <col min="2811" max="3061" width="9.1796875" style="1"/>
    <col min="3062" max="3062" width="4.54296875" style="1" customWidth="1"/>
    <col min="3063" max="3063" width="54.26953125" style="1" customWidth="1"/>
    <col min="3064" max="3064" width="4.54296875" style="1" customWidth="1"/>
    <col min="3065" max="3065" width="10" style="1" customWidth="1"/>
    <col min="3066" max="3066" width="11.453125" style="1" customWidth="1"/>
    <col min="3067" max="3317" width="9.1796875" style="1"/>
    <col min="3318" max="3318" width="4.54296875" style="1" customWidth="1"/>
    <col min="3319" max="3319" width="54.26953125" style="1" customWidth="1"/>
    <col min="3320" max="3320" width="4.54296875" style="1" customWidth="1"/>
    <col min="3321" max="3321" width="10" style="1" customWidth="1"/>
    <col min="3322" max="3322" width="11.453125" style="1" customWidth="1"/>
    <col min="3323" max="3573" width="9.1796875" style="1"/>
    <col min="3574" max="3574" width="4.54296875" style="1" customWidth="1"/>
    <col min="3575" max="3575" width="54.26953125" style="1" customWidth="1"/>
    <col min="3576" max="3576" width="4.54296875" style="1" customWidth="1"/>
    <col min="3577" max="3577" width="10" style="1" customWidth="1"/>
    <col min="3578" max="3578" width="11.453125" style="1" customWidth="1"/>
    <col min="3579" max="3829" width="9.1796875" style="1"/>
    <col min="3830" max="3830" width="4.54296875" style="1" customWidth="1"/>
    <col min="3831" max="3831" width="54.26953125" style="1" customWidth="1"/>
    <col min="3832" max="3832" width="4.54296875" style="1" customWidth="1"/>
    <col min="3833" max="3833" width="10" style="1" customWidth="1"/>
    <col min="3834" max="3834" width="11.453125" style="1" customWidth="1"/>
    <col min="3835" max="4085" width="9.1796875" style="1"/>
    <col min="4086" max="4086" width="4.54296875" style="1" customWidth="1"/>
    <col min="4087" max="4087" width="54.26953125" style="1" customWidth="1"/>
    <col min="4088" max="4088" width="4.54296875" style="1" customWidth="1"/>
    <col min="4089" max="4089" width="10" style="1" customWidth="1"/>
    <col min="4090" max="4090" width="11.453125" style="1" customWidth="1"/>
    <col min="4091" max="4341" width="9.1796875" style="1"/>
    <col min="4342" max="4342" width="4.54296875" style="1" customWidth="1"/>
    <col min="4343" max="4343" width="54.26953125" style="1" customWidth="1"/>
    <col min="4344" max="4344" width="4.54296875" style="1" customWidth="1"/>
    <col min="4345" max="4345" width="10" style="1" customWidth="1"/>
    <col min="4346" max="4346" width="11.453125" style="1" customWidth="1"/>
    <col min="4347" max="4597" width="9.1796875" style="1"/>
    <col min="4598" max="4598" width="4.54296875" style="1" customWidth="1"/>
    <col min="4599" max="4599" width="54.26953125" style="1" customWidth="1"/>
    <col min="4600" max="4600" width="4.54296875" style="1" customWidth="1"/>
    <col min="4601" max="4601" width="10" style="1" customWidth="1"/>
    <col min="4602" max="4602" width="11.453125" style="1" customWidth="1"/>
    <col min="4603" max="4853" width="9.1796875" style="1"/>
    <col min="4854" max="4854" width="4.54296875" style="1" customWidth="1"/>
    <col min="4855" max="4855" width="54.26953125" style="1" customWidth="1"/>
    <col min="4856" max="4856" width="4.54296875" style="1" customWidth="1"/>
    <col min="4857" max="4857" width="10" style="1" customWidth="1"/>
    <col min="4858" max="4858" width="11.453125" style="1" customWidth="1"/>
    <col min="4859" max="5109" width="9.1796875" style="1"/>
    <col min="5110" max="5110" width="4.54296875" style="1" customWidth="1"/>
    <col min="5111" max="5111" width="54.26953125" style="1" customWidth="1"/>
    <col min="5112" max="5112" width="4.54296875" style="1" customWidth="1"/>
    <col min="5113" max="5113" width="10" style="1" customWidth="1"/>
    <col min="5114" max="5114" width="11.453125" style="1" customWidth="1"/>
    <col min="5115" max="5365" width="9.1796875" style="1"/>
    <col min="5366" max="5366" width="4.54296875" style="1" customWidth="1"/>
    <col min="5367" max="5367" width="54.26953125" style="1" customWidth="1"/>
    <col min="5368" max="5368" width="4.54296875" style="1" customWidth="1"/>
    <col min="5369" max="5369" width="10" style="1" customWidth="1"/>
    <col min="5370" max="5370" width="11.453125" style="1" customWidth="1"/>
    <col min="5371" max="5621" width="9.1796875" style="1"/>
    <col min="5622" max="5622" width="4.54296875" style="1" customWidth="1"/>
    <col min="5623" max="5623" width="54.26953125" style="1" customWidth="1"/>
    <col min="5624" max="5624" width="4.54296875" style="1" customWidth="1"/>
    <col min="5625" max="5625" width="10" style="1" customWidth="1"/>
    <col min="5626" max="5626" width="11.453125" style="1" customWidth="1"/>
    <col min="5627" max="5877" width="9.1796875" style="1"/>
    <col min="5878" max="5878" width="4.54296875" style="1" customWidth="1"/>
    <col min="5879" max="5879" width="54.26953125" style="1" customWidth="1"/>
    <col min="5880" max="5880" width="4.54296875" style="1" customWidth="1"/>
    <col min="5881" max="5881" width="10" style="1" customWidth="1"/>
    <col min="5882" max="5882" width="11.453125" style="1" customWidth="1"/>
    <col min="5883" max="6133" width="9.1796875" style="1"/>
    <col min="6134" max="6134" width="4.54296875" style="1" customWidth="1"/>
    <col min="6135" max="6135" width="54.26953125" style="1" customWidth="1"/>
    <col min="6136" max="6136" width="4.54296875" style="1" customWidth="1"/>
    <col min="6137" max="6137" width="10" style="1" customWidth="1"/>
    <col min="6138" max="6138" width="11.453125" style="1" customWidth="1"/>
    <col min="6139" max="6389" width="9.1796875" style="1"/>
    <col min="6390" max="6390" width="4.54296875" style="1" customWidth="1"/>
    <col min="6391" max="6391" width="54.26953125" style="1" customWidth="1"/>
    <col min="6392" max="6392" width="4.54296875" style="1" customWidth="1"/>
    <col min="6393" max="6393" width="10" style="1" customWidth="1"/>
    <col min="6394" max="6394" width="11.453125" style="1" customWidth="1"/>
    <col min="6395" max="6645" width="9.1796875" style="1"/>
    <col min="6646" max="6646" width="4.54296875" style="1" customWidth="1"/>
    <col min="6647" max="6647" width="54.26953125" style="1" customWidth="1"/>
    <col min="6648" max="6648" width="4.54296875" style="1" customWidth="1"/>
    <col min="6649" max="6649" width="10" style="1" customWidth="1"/>
    <col min="6650" max="6650" width="11.453125" style="1" customWidth="1"/>
    <col min="6651" max="6901" width="9.1796875" style="1"/>
    <col min="6902" max="6902" width="4.54296875" style="1" customWidth="1"/>
    <col min="6903" max="6903" width="54.26953125" style="1" customWidth="1"/>
    <col min="6904" max="6904" width="4.54296875" style="1" customWidth="1"/>
    <col min="6905" max="6905" width="10" style="1" customWidth="1"/>
    <col min="6906" max="6906" width="11.453125" style="1" customWidth="1"/>
    <col min="6907" max="7157" width="9.1796875" style="1"/>
    <col min="7158" max="7158" width="4.54296875" style="1" customWidth="1"/>
    <col min="7159" max="7159" width="54.26953125" style="1" customWidth="1"/>
    <col min="7160" max="7160" width="4.54296875" style="1" customWidth="1"/>
    <col min="7161" max="7161" width="10" style="1" customWidth="1"/>
    <col min="7162" max="7162" width="11.453125" style="1" customWidth="1"/>
    <col min="7163" max="7413" width="9.1796875" style="1"/>
    <col min="7414" max="7414" width="4.54296875" style="1" customWidth="1"/>
    <col min="7415" max="7415" width="54.26953125" style="1" customWidth="1"/>
    <col min="7416" max="7416" width="4.54296875" style="1" customWidth="1"/>
    <col min="7417" max="7417" width="10" style="1" customWidth="1"/>
    <col min="7418" max="7418" width="11.453125" style="1" customWidth="1"/>
    <col min="7419" max="7669" width="9.1796875" style="1"/>
    <col min="7670" max="7670" width="4.54296875" style="1" customWidth="1"/>
    <col min="7671" max="7671" width="54.26953125" style="1" customWidth="1"/>
    <col min="7672" max="7672" width="4.54296875" style="1" customWidth="1"/>
    <col min="7673" max="7673" width="10" style="1" customWidth="1"/>
    <col min="7674" max="7674" width="11.453125" style="1" customWidth="1"/>
    <col min="7675" max="7925" width="9.1796875" style="1"/>
    <col min="7926" max="7926" width="4.54296875" style="1" customWidth="1"/>
    <col min="7927" max="7927" width="54.26953125" style="1" customWidth="1"/>
    <col min="7928" max="7928" width="4.54296875" style="1" customWidth="1"/>
    <col min="7929" max="7929" width="10" style="1" customWidth="1"/>
    <col min="7930" max="7930" width="11.453125" style="1" customWidth="1"/>
    <col min="7931" max="8181" width="9.1796875" style="1"/>
    <col min="8182" max="8182" width="4.54296875" style="1" customWidth="1"/>
    <col min="8183" max="8183" width="54.26953125" style="1" customWidth="1"/>
    <col min="8184" max="8184" width="4.54296875" style="1" customWidth="1"/>
    <col min="8185" max="8185" width="10" style="1" customWidth="1"/>
    <col min="8186" max="8186" width="11.453125" style="1" customWidth="1"/>
    <col min="8187" max="8437" width="9.1796875" style="1"/>
    <col min="8438" max="8438" width="4.54296875" style="1" customWidth="1"/>
    <col min="8439" max="8439" width="54.26953125" style="1" customWidth="1"/>
    <col min="8440" max="8440" width="4.54296875" style="1" customWidth="1"/>
    <col min="8441" max="8441" width="10" style="1" customWidth="1"/>
    <col min="8442" max="8442" width="11.453125" style="1" customWidth="1"/>
    <col min="8443" max="8693" width="9.1796875" style="1"/>
    <col min="8694" max="8694" width="4.54296875" style="1" customWidth="1"/>
    <col min="8695" max="8695" width="54.26953125" style="1" customWidth="1"/>
    <col min="8696" max="8696" width="4.54296875" style="1" customWidth="1"/>
    <col min="8697" max="8697" width="10" style="1" customWidth="1"/>
    <col min="8698" max="8698" width="11.453125" style="1" customWidth="1"/>
    <col min="8699" max="8949" width="9.1796875" style="1"/>
    <col min="8950" max="8950" width="4.54296875" style="1" customWidth="1"/>
    <col min="8951" max="8951" width="54.26953125" style="1" customWidth="1"/>
    <col min="8952" max="8952" width="4.54296875" style="1" customWidth="1"/>
    <col min="8953" max="8953" width="10" style="1" customWidth="1"/>
    <col min="8954" max="8954" width="11.453125" style="1" customWidth="1"/>
    <col min="8955" max="9205" width="9.1796875" style="1"/>
    <col min="9206" max="9206" width="4.54296875" style="1" customWidth="1"/>
    <col min="9207" max="9207" width="54.26953125" style="1" customWidth="1"/>
    <col min="9208" max="9208" width="4.54296875" style="1" customWidth="1"/>
    <col min="9209" max="9209" width="10" style="1" customWidth="1"/>
    <col min="9210" max="9210" width="11.453125" style="1" customWidth="1"/>
    <col min="9211" max="9461" width="9.1796875" style="1"/>
    <col min="9462" max="9462" width="4.54296875" style="1" customWidth="1"/>
    <col min="9463" max="9463" width="54.26953125" style="1" customWidth="1"/>
    <col min="9464" max="9464" width="4.54296875" style="1" customWidth="1"/>
    <col min="9465" max="9465" width="10" style="1" customWidth="1"/>
    <col min="9466" max="9466" width="11.453125" style="1" customWidth="1"/>
    <col min="9467" max="9717" width="9.1796875" style="1"/>
    <col min="9718" max="9718" width="4.54296875" style="1" customWidth="1"/>
    <col min="9719" max="9719" width="54.26953125" style="1" customWidth="1"/>
    <col min="9720" max="9720" width="4.54296875" style="1" customWidth="1"/>
    <col min="9721" max="9721" width="10" style="1" customWidth="1"/>
    <col min="9722" max="9722" width="11.453125" style="1" customWidth="1"/>
    <col min="9723" max="9973" width="9.1796875" style="1"/>
    <col min="9974" max="9974" width="4.54296875" style="1" customWidth="1"/>
    <col min="9975" max="9975" width="54.26953125" style="1" customWidth="1"/>
    <col min="9976" max="9976" width="4.54296875" style="1" customWidth="1"/>
    <col min="9977" max="9977" width="10" style="1" customWidth="1"/>
    <col min="9978" max="9978" width="11.453125" style="1" customWidth="1"/>
    <col min="9979" max="10229" width="9.1796875" style="1"/>
    <col min="10230" max="10230" width="4.54296875" style="1" customWidth="1"/>
    <col min="10231" max="10231" width="54.26953125" style="1" customWidth="1"/>
    <col min="10232" max="10232" width="4.54296875" style="1" customWidth="1"/>
    <col min="10233" max="10233" width="10" style="1" customWidth="1"/>
    <col min="10234" max="10234" width="11.453125" style="1" customWidth="1"/>
    <col min="10235" max="10485" width="9.1796875" style="1"/>
    <col min="10486" max="10486" width="4.54296875" style="1" customWidth="1"/>
    <col min="10487" max="10487" width="54.26953125" style="1" customWidth="1"/>
    <col min="10488" max="10488" width="4.54296875" style="1" customWidth="1"/>
    <col min="10489" max="10489" width="10" style="1" customWidth="1"/>
    <col min="10490" max="10490" width="11.453125" style="1" customWidth="1"/>
    <col min="10491" max="10741" width="9.1796875" style="1"/>
    <col min="10742" max="10742" width="4.54296875" style="1" customWidth="1"/>
    <col min="10743" max="10743" width="54.26953125" style="1" customWidth="1"/>
    <col min="10744" max="10744" width="4.54296875" style="1" customWidth="1"/>
    <col min="10745" max="10745" width="10" style="1" customWidth="1"/>
    <col min="10746" max="10746" width="11.453125" style="1" customWidth="1"/>
    <col min="10747" max="10997" width="9.1796875" style="1"/>
    <col min="10998" max="10998" width="4.54296875" style="1" customWidth="1"/>
    <col min="10999" max="10999" width="54.26953125" style="1" customWidth="1"/>
    <col min="11000" max="11000" width="4.54296875" style="1" customWidth="1"/>
    <col min="11001" max="11001" width="10" style="1" customWidth="1"/>
    <col min="11002" max="11002" width="11.453125" style="1" customWidth="1"/>
    <col min="11003" max="11253" width="9.1796875" style="1"/>
    <col min="11254" max="11254" width="4.54296875" style="1" customWidth="1"/>
    <col min="11255" max="11255" width="54.26953125" style="1" customWidth="1"/>
    <col min="11256" max="11256" width="4.54296875" style="1" customWidth="1"/>
    <col min="11257" max="11257" width="10" style="1" customWidth="1"/>
    <col min="11258" max="11258" width="11.453125" style="1" customWidth="1"/>
    <col min="11259" max="11509" width="9.1796875" style="1"/>
    <col min="11510" max="11510" width="4.54296875" style="1" customWidth="1"/>
    <col min="11511" max="11511" width="54.26953125" style="1" customWidth="1"/>
    <col min="11512" max="11512" width="4.54296875" style="1" customWidth="1"/>
    <col min="11513" max="11513" width="10" style="1" customWidth="1"/>
    <col min="11514" max="11514" width="11.453125" style="1" customWidth="1"/>
    <col min="11515" max="11765" width="9.1796875" style="1"/>
    <col min="11766" max="11766" width="4.54296875" style="1" customWidth="1"/>
    <col min="11767" max="11767" width="54.26953125" style="1" customWidth="1"/>
    <col min="11768" max="11768" width="4.54296875" style="1" customWidth="1"/>
    <col min="11769" max="11769" width="10" style="1" customWidth="1"/>
    <col min="11770" max="11770" width="11.453125" style="1" customWidth="1"/>
    <col min="11771" max="12021" width="9.1796875" style="1"/>
    <col min="12022" max="12022" width="4.54296875" style="1" customWidth="1"/>
    <col min="12023" max="12023" width="54.26953125" style="1" customWidth="1"/>
    <col min="12024" max="12024" width="4.54296875" style="1" customWidth="1"/>
    <col min="12025" max="12025" width="10" style="1" customWidth="1"/>
    <col min="12026" max="12026" width="11.453125" style="1" customWidth="1"/>
    <col min="12027" max="12277" width="9.1796875" style="1"/>
    <col min="12278" max="12278" width="4.54296875" style="1" customWidth="1"/>
    <col min="12279" max="12279" width="54.26953125" style="1" customWidth="1"/>
    <col min="12280" max="12280" width="4.54296875" style="1" customWidth="1"/>
    <col min="12281" max="12281" width="10" style="1" customWidth="1"/>
    <col min="12282" max="12282" width="11.453125" style="1" customWidth="1"/>
    <col min="12283" max="12533" width="9.1796875" style="1"/>
    <col min="12534" max="12534" width="4.54296875" style="1" customWidth="1"/>
    <col min="12535" max="12535" width="54.26953125" style="1" customWidth="1"/>
    <col min="12536" max="12536" width="4.54296875" style="1" customWidth="1"/>
    <col min="12537" max="12537" width="10" style="1" customWidth="1"/>
    <col min="12538" max="12538" width="11.453125" style="1" customWidth="1"/>
    <col min="12539" max="12789" width="9.1796875" style="1"/>
    <col min="12790" max="12790" width="4.54296875" style="1" customWidth="1"/>
    <col min="12791" max="12791" width="54.26953125" style="1" customWidth="1"/>
    <col min="12792" max="12792" width="4.54296875" style="1" customWidth="1"/>
    <col min="12793" max="12793" width="10" style="1" customWidth="1"/>
    <col min="12794" max="12794" width="11.453125" style="1" customWidth="1"/>
    <col min="12795" max="13045" width="9.1796875" style="1"/>
    <col min="13046" max="13046" width="4.54296875" style="1" customWidth="1"/>
    <col min="13047" max="13047" width="54.26953125" style="1" customWidth="1"/>
    <col min="13048" max="13048" width="4.54296875" style="1" customWidth="1"/>
    <col min="13049" max="13049" width="10" style="1" customWidth="1"/>
    <col min="13050" max="13050" width="11.453125" style="1" customWidth="1"/>
    <col min="13051" max="13301" width="9.1796875" style="1"/>
    <col min="13302" max="13302" width="4.54296875" style="1" customWidth="1"/>
    <col min="13303" max="13303" width="54.26953125" style="1" customWidth="1"/>
    <col min="13304" max="13304" width="4.54296875" style="1" customWidth="1"/>
    <col min="13305" max="13305" width="10" style="1" customWidth="1"/>
    <col min="13306" max="13306" width="11.453125" style="1" customWidth="1"/>
    <col min="13307" max="13557" width="9.1796875" style="1"/>
    <col min="13558" max="13558" width="4.54296875" style="1" customWidth="1"/>
    <col min="13559" max="13559" width="54.26953125" style="1" customWidth="1"/>
    <col min="13560" max="13560" width="4.54296875" style="1" customWidth="1"/>
    <col min="13561" max="13561" width="10" style="1" customWidth="1"/>
    <col min="13562" max="13562" width="11.453125" style="1" customWidth="1"/>
    <col min="13563" max="13813" width="9.1796875" style="1"/>
    <col min="13814" max="13814" width="4.54296875" style="1" customWidth="1"/>
    <col min="13815" max="13815" width="54.26953125" style="1" customWidth="1"/>
    <col min="13816" max="13816" width="4.54296875" style="1" customWidth="1"/>
    <col min="13817" max="13817" width="10" style="1" customWidth="1"/>
    <col min="13818" max="13818" width="11.453125" style="1" customWidth="1"/>
    <col min="13819" max="14069" width="9.1796875" style="1"/>
    <col min="14070" max="14070" width="4.54296875" style="1" customWidth="1"/>
    <col min="14071" max="14071" width="54.26953125" style="1" customWidth="1"/>
    <col min="14072" max="14072" width="4.54296875" style="1" customWidth="1"/>
    <col min="14073" max="14073" width="10" style="1" customWidth="1"/>
    <col min="14074" max="14074" width="11.453125" style="1" customWidth="1"/>
    <col min="14075" max="14325" width="9.1796875" style="1"/>
    <col min="14326" max="14326" width="4.54296875" style="1" customWidth="1"/>
    <col min="14327" max="14327" width="54.26953125" style="1" customWidth="1"/>
    <col min="14328" max="14328" width="4.54296875" style="1" customWidth="1"/>
    <col min="14329" max="14329" width="10" style="1" customWidth="1"/>
    <col min="14330" max="14330" width="11.453125" style="1" customWidth="1"/>
    <col min="14331" max="14581" width="9.1796875" style="1"/>
    <col min="14582" max="14582" width="4.54296875" style="1" customWidth="1"/>
    <col min="14583" max="14583" width="54.26953125" style="1" customWidth="1"/>
    <col min="14584" max="14584" width="4.54296875" style="1" customWidth="1"/>
    <col min="14585" max="14585" width="10" style="1" customWidth="1"/>
    <col min="14586" max="14586" width="11.453125" style="1" customWidth="1"/>
    <col min="14587" max="14837" width="9.1796875" style="1"/>
    <col min="14838" max="14838" width="4.54296875" style="1" customWidth="1"/>
    <col min="14839" max="14839" width="54.26953125" style="1" customWidth="1"/>
    <col min="14840" max="14840" width="4.54296875" style="1" customWidth="1"/>
    <col min="14841" max="14841" width="10" style="1" customWidth="1"/>
    <col min="14842" max="14842" width="11.453125" style="1" customWidth="1"/>
    <col min="14843" max="15093" width="9.1796875" style="1"/>
    <col min="15094" max="15094" width="4.54296875" style="1" customWidth="1"/>
    <col min="15095" max="15095" width="54.26953125" style="1" customWidth="1"/>
    <col min="15096" max="15096" width="4.54296875" style="1" customWidth="1"/>
    <col min="15097" max="15097" width="10" style="1" customWidth="1"/>
    <col min="15098" max="15098" width="11.453125" style="1" customWidth="1"/>
    <col min="15099" max="15349" width="9.1796875" style="1"/>
    <col min="15350" max="15350" width="4.54296875" style="1" customWidth="1"/>
    <col min="15351" max="15351" width="54.26953125" style="1" customWidth="1"/>
    <col min="15352" max="15352" width="4.54296875" style="1" customWidth="1"/>
    <col min="15353" max="15353" width="10" style="1" customWidth="1"/>
    <col min="15354" max="15354" width="11.453125" style="1" customWidth="1"/>
    <col min="15355" max="15605" width="9.1796875" style="1"/>
    <col min="15606" max="15606" width="4.54296875" style="1" customWidth="1"/>
    <col min="15607" max="15607" width="54.26953125" style="1" customWidth="1"/>
    <col min="15608" max="15608" width="4.54296875" style="1" customWidth="1"/>
    <col min="15609" max="15609" width="10" style="1" customWidth="1"/>
    <col min="15610" max="15610" width="11.453125" style="1" customWidth="1"/>
    <col min="15611" max="15861" width="9.1796875" style="1"/>
    <col min="15862" max="15862" width="4.54296875" style="1" customWidth="1"/>
    <col min="15863" max="15863" width="54.26953125" style="1" customWidth="1"/>
    <col min="15864" max="15864" width="4.54296875" style="1" customWidth="1"/>
    <col min="15865" max="15865" width="10" style="1" customWidth="1"/>
    <col min="15866" max="15866" width="11.453125" style="1" customWidth="1"/>
    <col min="15867" max="16117" width="9.1796875" style="1"/>
    <col min="16118" max="16118" width="4.54296875" style="1" customWidth="1"/>
    <col min="16119" max="16119" width="54.26953125" style="1" customWidth="1"/>
    <col min="16120" max="16120" width="4.54296875" style="1" customWidth="1"/>
    <col min="16121" max="16121" width="10" style="1" customWidth="1"/>
    <col min="16122" max="16122" width="11.453125" style="1" customWidth="1"/>
    <col min="16123" max="16374" width="9.1796875" style="1"/>
    <col min="16375" max="16384" width="9.1796875" style="1" customWidth="1"/>
  </cols>
  <sheetData>
    <row r="1" spans="1:5" s="19" customFormat="1" ht="31.5" customHeight="1" x14ac:dyDescent="0.35">
      <c r="A1" s="210" t="s">
        <v>1075</v>
      </c>
      <c r="B1" s="210"/>
      <c r="C1" s="210"/>
      <c r="D1" s="210"/>
      <c r="E1" s="210"/>
    </row>
    <row r="2" spans="1:5" s="19" customFormat="1" ht="24" customHeight="1" x14ac:dyDescent="0.35">
      <c r="A2" s="211" t="s">
        <v>116</v>
      </c>
      <c r="B2" s="211" t="s">
        <v>9</v>
      </c>
      <c r="C2" s="212" t="s">
        <v>117</v>
      </c>
      <c r="D2" s="211" t="s">
        <v>118</v>
      </c>
      <c r="E2" s="211" t="s">
        <v>119</v>
      </c>
    </row>
    <row r="3" spans="1:5" s="19" customFormat="1" ht="15" customHeight="1" x14ac:dyDescent="0.35">
      <c r="A3" s="359">
        <v>1</v>
      </c>
      <c r="B3" s="360" t="s">
        <v>120</v>
      </c>
      <c r="C3" s="361">
        <v>1</v>
      </c>
      <c r="D3" s="364">
        <v>117.15</v>
      </c>
      <c r="E3" s="365">
        <f>D3*C3</f>
        <v>117.15</v>
      </c>
    </row>
    <row r="4" spans="1:5" s="19" customFormat="1" x14ac:dyDescent="0.35">
      <c r="A4" s="359">
        <v>2</v>
      </c>
      <c r="B4" s="360" t="s">
        <v>121</v>
      </c>
      <c r="C4" s="361">
        <v>1</v>
      </c>
      <c r="D4" s="364">
        <v>40.9</v>
      </c>
      <c r="E4" s="365">
        <f t="shared" ref="E4:E37" si="0">D4*C4</f>
        <v>40.9</v>
      </c>
    </row>
    <row r="5" spans="1:5" s="19" customFormat="1" ht="15" customHeight="1" x14ac:dyDescent="0.35">
      <c r="A5" s="359">
        <v>3</v>
      </c>
      <c r="B5" s="360" t="s">
        <v>122</v>
      </c>
      <c r="C5" s="361">
        <v>1</v>
      </c>
      <c r="D5" s="364">
        <v>125.88</v>
      </c>
      <c r="E5" s="365">
        <f t="shared" si="0"/>
        <v>125.88</v>
      </c>
    </row>
    <row r="6" spans="1:5" s="19" customFormat="1" x14ac:dyDescent="0.35">
      <c r="A6" s="359">
        <v>4</v>
      </c>
      <c r="B6" s="360" t="s">
        <v>123</v>
      </c>
      <c r="C6" s="361">
        <v>1</v>
      </c>
      <c r="D6" s="364">
        <v>42.9</v>
      </c>
      <c r="E6" s="365">
        <f t="shared" si="0"/>
        <v>42.9</v>
      </c>
    </row>
    <row r="7" spans="1:5" s="19" customFormat="1" x14ac:dyDescent="0.35">
      <c r="A7" s="359">
        <v>5</v>
      </c>
      <c r="B7" s="360" t="s">
        <v>124</v>
      </c>
      <c r="C7" s="361">
        <v>1</v>
      </c>
      <c r="D7" s="364">
        <v>70.83</v>
      </c>
      <c r="E7" s="365">
        <f t="shared" si="0"/>
        <v>70.83</v>
      </c>
    </row>
    <row r="8" spans="1:5" s="19" customFormat="1" x14ac:dyDescent="0.35">
      <c r="A8" s="359">
        <v>6</v>
      </c>
      <c r="B8" s="360" t="s">
        <v>125</v>
      </c>
      <c r="C8" s="361">
        <v>1</v>
      </c>
      <c r="D8" s="364">
        <v>127.75333333333333</v>
      </c>
      <c r="E8" s="365">
        <f t="shared" si="0"/>
        <v>127.75333333333333</v>
      </c>
    </row>
    <row r="9" spans="1:5" s="19" customFormat="1" x14ac:dyDescent="0.35">
      <c r="A9" s="359">
        <v>7</v>
      </c>
      <c r="B9" s="360" t="s">
        <v>126</v>
      </c>
      <c r="C9" s="361">
        <v>1</v>
      </c>
      <c r="D9" s="364">
        <v>107.09666666666668</v>
      </c>
      <c r="E9" s="365">
        <f t="shared" si="0"/>
        <v>107.09666666666668</v>
      </c>
    </row>
    <row r="10" spans="1:5" s="19" customFormat="1" x14ac:dyDescent="0.35">
      <c r="A10" s="359">
        <v>8</v>
      </c>
      <c r="B10" s="360" t="s">
        <v>797</v>
      </c>
      <c r="C10" s="361">
        <v>1</v>
      </c>
      <c r="D10" s="364">
        <v>47.816666666666663</v>
      </c>
      <c r="E10" s="365">
        <f t="shared" si="0"/>
        <v>47.816666666666663</v>
      </c>
    </row>
    <row r="11" spans="1:5" s="19" customFormat="1" x14ac:dyDescent="0.35">
      <c r="A11" s="359">
        <v>9</v>
      </c>
      <c r="B11" s="360" t="s">
        <v>798</v>
      </c>
      <c r="C11" s="361">
        <v>1</v>
      </c>
      <c r="D11" s="364">
        <v>30.456666666666667</v>
      </c>
      <c r="E11" s="365">
        <f t="shared" si="0"/>
        <v>30.456666666666667</v>
      </c>
    </row>
    <row r="12" spans="1:5" s="19" customFormat="1" x14ac:dyDescent="0.35">
      <c r="A12" s="359">
        <v>10</v>
      </c>
      <c r="B12" s="360" t="s">
        <v>127</v>
      </c>
      <c r="C12" s="361">
        <v>1</v>
      </c>
      <c r="D12" s="364">
        <v>104.3</v>
      </c>
      <c r="E12" s="365">
        <f t="shared" si="0"/>
        <v>104.3</v>
      </c>
    </row>
    <row r="13" spans="1:5" s="19" customFormat="1" x14ac:dyDescent="0.35">
      <c r="A13" s="359">
        <v>11</v>
      </c>
      <c r="B13" s="360" t="s">
        <v>799</v>
      </c>
      <c r="C13" s="361">
        <v>1</v>
      </c>
      <c r="D13" s="364">
        <v>150.54333333333332</v>
      </c>
      <c r="E13" s="365">
        <f t="shared" si="0"/>
        <v>150.54333333333332</v>
      </c>
    </row>
    <row r="14" spans="1:5" s="19" customFormat="1" x14ac:dyDescent="0.35">
      <c r="A14" s="359">
        <v>12</v>
      </c>
      <c r="B14" s="360" t="s">
        <v>128</v>
      </c>
      <c r="C14" s="361">
        <v>1</v>
      </c>
      <c r="D14" s="364">
        <v>12.74</v>
      </c>
      <c r="E14" s="365">
        <f t="shared" si="0"/>
        <v>12.74</v>
      </c>
    </row>
    <row r="15" spans="1:5" s="19" customFormat="1" x14ac:dyDescent="0.35">
      <c r="A15" s="359">
        <v>13</v>
      </c>
      <c r="B15" s="360" t="s">
        <v>129</v>
      </c>
      <c r="C15" s="361">
        <v>1</v>
      </c>
      <c r="D15" s="364">
        <v>12.803333333333333</v>
      </c>
      <c r="E15" s="365">
        <f t="shared" si="0"/>
        <v>12.803333333333333</v>
      </c>
    </row>
    <row r="16" spans="1:5" s="19" customFormat="1" x14ac:dyDescent="0.35">
      <c r="A16" s="359">
        <v>14</v>
      </c>
      <c r="B16" s="360" t="s">
        <v>130</v>
      </c>
      <c r="C16" s="361">
        <v>1</v>
      </c>
      <c r="D16" s="364">
        <v>10.93</v>
      </c>
      <c r="E16" s="365">
        <f t="shared" si="0"/>
        <v>10.93</v>
      </c>
    </row>
    <row r="17" spans="1:5" s="19" customFormat="1" x14ac:dyDescent="0.35">
      <c r="A17" s="359">
        <v>15</v>
      </c>
      <c r="B17" s="360" t="s">
        <v>131</v>
      </c>
      <c r="C17" s="361">
        <v>1</v>
      </c>
      <c r="D17" s="364">
        <v>10.69</v>
      </c>
      <c r="E17" s="365">
        <f t="shared" si="0"/>
        <v>10.69</v>
      </c>
    </row>
    <row r="18" spans="1:5" s="19" customFormat="1" x14ac:dyDescent="0.35">
      <c r="A18" s="359">
        <v>16</v>
      </c>
      <c r="B18" s="360" t="s">
        <v>132</v>
      </c>
      <c r="C18" s="361">
        <v>1</v>
      </c>
      <c r="D18" s="364">
        <v>10.756666666666666</v>
      </c>
      <c r="E18" s="365">
        <f t="shared" si="0"/>
        <v>10.756666666666666</v>
      </c>
    </row>
    <row r="19" spans="1:5" s="19" customFormat="1" x14ac:dyDescent="0.35">
      <c r="A19" s="359">
        <v>17</v>
      </c>
      <c r="B19" s="360" t="s">
        <v>133</v>
      </c>
      <c r="C19" s="361">
        <v>1</v>
      </c>
      <c r="D19" s="364">
        <v>9.9799999999999986</v>
      </c>
      <c r="E19" s="365">
        <f t="shared" si="0"/>
        <v>9.9799999999999986</v>
      </c>
    </row>
    <row r="20" spans="1:5" s="19" customFormat="1" x14ac:dyDescent="0.35">
      <c r="A20" s="359">
        <v>18</v>
      </c>
      <c r="B20" s="360" t="s">
        <v>134</v>
      </c>
      <c r="C20" s="361">
        <v>1</v>
      </c>
      <c r="D20" s="364">
        <v>31.193333333333328</v>
      </c>
      <c r="E20" s="365">
        <f t="shared" si="0"/>
        <v>31.193333333333328</v>
      </c>
    </row>
    <row r="21" spans="1:5" s="19" customFormat="1" x14ac:dyDescent="0.35">
      <c r="A21" s="359">
        <v>19</v>
      </c>
      <c r="B21" s="360" t="s">
        <v>135</v>
      </c>
      <c r="C21" s="361">
        <v>1</v>
      </c>
      <c r="D21" s="364">
        <v>62.533333333333331</v>
      </c>
      <c r="E21" s="365">
        <f t="shared" si="0"/>
        <v>62.533333333333331</v>
      </c>
    </row>
    <row r="22" spans="1:5" s="19" customFormat="1" x14ac:dyDescent="0.35">
      <c r="A22" s="359">
        <v>20</v>
      </c>
      <c r="B22" s="360" t="s">
        <v>136</v>
      </c>
      <c r="C22" s="361">
        <v>1</v>
      </c>
      <c r="D22" s="364">
        <v>57.160000000000004</v>
      </c>
      <c r="E22" s="365">
        <f t="shared" si="0"/>
        <v>57.160000000000004</v>
      </c>
    </row>
    <row r="23" spans="1:5" s="19" customFormat="1" x14ac:dyDescent="0.35">
      <c r="A23" s="359">
        <v>21</v>
      </c>
      <c r="B23" s="360" t="s">
        <v>137</v>
      </c>
      <c r="C23" s="361">
        <v>1</v>
      </c>
      <c r="D23" s="364">
        <v>76.266666666666666</v>
      </c>
      <c r="E23" s="365">
        <f t="shared" si="0"/>
        <v>76.266666666666666</v>
      </c>
    </row>
    <row r="24" spans="1:5" s="19" customFormat="1" x14ac:dyDescent="0.35">
      <c r="A24" s="359">
        <v>22</v>
      </c>
      <c r="B24" s="360" t="s">
        <v>138</v>
      </c>
      <c r="C24" s="361">
        <v>1</v>
      </c>
      <c r="D24" s="364">
        <v>22.786666666666665</v>
      </c>
      <c r="E24" s="365">
        <f t="shared" si="0"/>
        <v>22.786666666666665</v>
      </c>
    </row>
    <row r="25" spans="1:5" s="19" customFormat="1" x14ac:dyDescent="0.35">
      <c r="A25" s="359">
        <v>23</v>
      </c>
      <c r="B25" s="360" t="s">
        <v>800</v>
      </c>
      <c r="C25" s="361">
        <v>1</v>
      </c>
      <c r="D25" s="364">
        <v>233.57</v>
      </c>
      <c r="E25" s="365">
        <f t="shared" si="0"/>
        <v>233.57</v>
      </c>
    </row>
    <row r="26" spans="1:5" s="19" customFormat="1" ht="15" customHeight="1" x14ac:dyDescent="0.35">
      <c r="A26" s="359">
        <v>24</v>
      </c>
      <c r="B26" s="360" t="s">
        <v>801</v>
      </c>
      <c r="C26" s="361">
        <v>1</v>
      </c>
      <c r="D26" s="364">
        <v>661.41</v>
      </c>
      <c r="E26" s="365">
        <f t="shared" si="0"/>
        <v>661.41</v>
      </c>
    </row>
    <row r="27" spans="1:5" s="19" customFormat="1" x14ac:dyDescent="0.35">
      <c r="A27" s="359">
        <v>25</v>
      </c>
      <c r="B27" s="360" t="s">
        <v>169</v>
      </c>
      <c r="C27" s="361">
        <v>1</v>
      </c>
      <c r="D27" s="364">
        <v>12.520000000000001</v>
      </c>
      <c r="E27" s="365">
        <f t="shared" si="0"/>
        <v>12.520000000000001</v>
      </c>
    </row>
    <row r="28" spans="1:5" s="19" customFormat="1" ht="21" x14ac:dyDescent="0.35">
      <c r="A28" s="359">
        <v>26</v>
      </c>
      <c r="B28" s="360" t="s">
        <v>802</v>
      </c>
      <c r="C28" s="361">
        <v>10</v>
      </c>
      <c r="D28" s="364">
        <v>141.6</v>
      </c>
      <c r="E28" s="365">
        <f t="shared" si="0"/>
        <v>1416</v>
      </c>
    </row>
    <row r="29" spans="1:5" s="19" customFormat="1" x14ac:dyDescent="0.35">
      <c r="A29" s="359">
        <v>27</v>
      </c>
      <c r="B29" s="360" t="s">
        <v>803</v>
      </c>
      <c r="C29" s="361">
        <v>1</v>
      </c>
      <c r="D29" s="364">
        <v>19.940000000000001</v>
      </c>
      <c r="E29" s="365">
        <f t="shared" si="0"/>
        <v>19.940000000000001</v>
      </c>
    </row>
    <row r="30" spans="1:5" s="19" customFormat="1" ht="21" x14ac:dyDescent="0.35">
      <c r="A30" s="359">
        <v>28</v>
      </c>
      <c r="B30" s="360" t="s">
        <v>139</v>
      </c>
      <c r="C30" s="361">
        <v>1</v>
      </c>
      <c r="D30" s="364">
        <v>17.809999999999999</v>
      </c>
      <c r="E30" s="365">
        <f t="shared" si="0"/>
        <v>17.809999999999999</v>
      </c>
    </row>
    <row r="31" spans="1:5" s="19" customFormat="1" x14ac:dyDescent="0.35">
      <c r="A31" s="359">
        <v>29</v>
      </c>
      <c r="B31" s="360" t="s">
        <v>140</v>
      </c>
      <c r="C31" s="361">
        <v>1</v>
      </c>
      <c r="D31" s="364">
        <v>84.65</v>
      </c>
      <c r="E31" s="365">
        <f t="shared" si="0"/>
        <v>84.65</v>
      </c>
    </row>
    <row r="32" spans="1:5" s="19" customFormat="1" ht="21" x14ac:dyDescent="0.35">
      <c r="A32" s="359">
        <v>30</v>
      </c>
      <c r="B32" s="360" t="s">
        <v>804</v>
      </c>
      <c r="C32" s="361">
        <v>1</v>
      </c>
      <c r="D32" s="364">
        <v>425.68333333333334</v>
      </c>
      <c r="E32" s="365">
        <f t="shared" si="0"/>
        <v>425.68333333333334</v>
      </c>
    </row>
    <row r="33" spans="1:5" s="19" customFormat="1" x14ac:dyDescent="0.35">
      <c r="A33" s="359">
        <v>31</v>
      </c>
      <c r="B33" s="360" t="s">
        <v>141</v>
      </c>
      <c r="C33" s="361">
        <v>1</v>
      </c>
      <c r="D33" s="364">
        <v>45.723333333333336</v>
      </c>
      <c r="E33" s="365">
        <f t="shared" si="0"/>
        <v>45.723333333333336</v>
      </c>
    </row>
    <row r="34" spans="1:5" s="19" customFormat="1" x14ac:dyDescent="0.35">
      <c r="A34" s="359">
        <v>32</v>
      </c>
      <c r="B34" s="360" t="s">
        <v>805</v>
      </c>
      <c r="C34" s="361">
        <v>1</v>
      </c>
      <c r="D34" s="364">
        <v>203.57000000000002</v>
      </c>
      <c r="E34" s="365">
        <f t="shared" si="0"/>
        <v>203.57000000000002</v>
      </c>
    </row>
    <row r="35" spans="1:5" s="19" customFormat="1" x14ac:dyDescent="0.35">
      <c r="A35" s="359">
        <v>33</v>
      </c>
      <c r="B35" s="360" t="s">
        <v>142</v>
      </c>
      <c r="C35" s="361">
        <v>2</v>
      </c>
      <c r="D35" s="364">
        <v>46.633333333333333</v>
      </c>
      <c r="E35" s="365">
        <f t="shared" si="0"/>
        <v>93.266666666666666</v>
      </c>
    </row>
    <row r="36" spans="1:5" s="19" customFormat="1" ht="15" customHeight="1" x14ac:dyDescent="0.35">
      <c r="A36" s="359">
        <v>34</v>
      </c>
      <c r="B36" s="360" t="s">
        <v>165</v>
      </c>
      <c r="C36" s="361">
        <v>1</v>
      </c>
      <c r="D36" s="364">
        <v>879.4</v>
      </c>
      <c r="E36" s="365">
        <f t="shared" si="0"/>
        <v>879.4</v>
      </c>
    </row>
    <row r="37" spans="1:5" s="19" customFormat="1" x14ac:dyDescent="0.35">
      <c r="A37" s="359">
        <v>35</v>
      </c>
      <c r="B37" s="360" t="s">
        <v>143</v>
      </c>
      <c r="C37" s="361">
        <v>1</v>
      </c>
      <c r="D37" s="364">
        <v>520.65</v>
      </c>
      <c r="E37" s="365">
        <f t="shared" si="0"/>
        <v>520.65</v>
      </c>
    </row>
    <row r="38" spans="1:5" s="19" customFormat="1" x14ac:dyDescent="0.35">
      <c r="A38" s="359">
        <v>36</v>
      </c>
      <c r="B38" s="360" t="s">
        <v>806</v>
      </c>
      <c r="C38" s="361">
        <v>1</v>
      </c>
      <c r="D38" s="364">
        <v>54.53</v>
      </c>
      <c r="E38" s="365">
        <f t="shared" ref="E38:E46" si="1">D38*C38</f>
        <v>54.53</v>
      </c>
    </row>
    <row r="39" spans="1:5" s="19" customFormat="1" x14ac:dyDescent="0.35">
      <c r="A39" s="359">
        <v>37</v>
      </c>
      <c r="B39" s="360" t="s">
        <v>807</v>
      </c>
      <c r="C39" s="361">
        <v>1</v>
      </c>
      <c r="D39" s="364">
        <v>286.92</v>
      </c>
      <c r="E39" s="365">
        <f t="shared" si="1"/>
        <v>286.92</v>
      </c>
    </row>
    <row r="40" spans="1:5" s="19" customFormat="1" x14ac:dyDescent="0.35">
      <c r="A40" s="359">
        <v>38</v>
      </c>
      <c r="B40" s="360" t="s">
        <v>144</v>
      </c>
      <c r="C40" s="361">
        <v>1</v>
      </c>
      <c r="D40" s="364">
        <v>89.736666666666679</v>
      </c>
      <c r="E40" s="365">
        <f t="shared" si="1"/>
        <v>89.736666666666679</v>
      </c>
    </row>
    <row r="41" spans="1:5" s="19" customFormat="1" ht="21" x14ac:dyDescent="0.35">
      <c r="A41" s="359">
        <v>39</v>
      </c>
      <c r="B41" s="360" t="s">
        <v>166</v>
      </c>
      <c r="C41" s="361">
        <v>1</v>
      </c>
      <c r="D41" s="364">
        <v>47.796333333333337</v>
      </c>
      <c r="E41" s="365">
        <f t="shared" si="1"/>
        <v>47.796333333333337</v>
      </c>
    </row>
    <row r="42" spans="1:5" s="19" customFormat="1" x14ac:dyDescent="0.35">
      <c r="A42" s="359">
        <v>40</v>
      </c>
      <c r="B42" s="360" t="s">
        <v>145</v>
      </c>
      <c r="C42" s="361">
        <v>1</v>
      </c>
      <c r="D42" s="364">
        <v>42.120000000000005</v>
      </c>
      <c r="E42" s="365">
        <f t="shared" si="1"/>
        <v>42.120000000000005</v>
      </c>
    </row>
    <row r="43" spans="1:5" s="19" customFormat="1" ht="15.75" customHeight="1" x14ac:dyDescent="0.35">
      <c r="A43" s="359">
        <v>41</v>
      </c>
      <c r="B43" s="360" t="s">
        <v>208</v>
      </c>
      <c r="C43" s="361">
        <v>1</v>
      </c>
      <c r="D43" s="364">
        <v>59.669999999999995</v>
      </c>
      <c r="E43" s="365">
        <f t="shared" si="1"/>
        <v>59.669999999999995</v>
      </c>
    </row>
    <row r="44" spans="1:5" s="19" customFormat="1" x14ac:dyDescent="0.35">
      <c r="A44" s="359">
        <v>42</v>
      </c>
      <c r="B44" s="360" t="s">
        <v>167</v>
      </c>
      <c r="C44" s="361">
        <v>1</v>
      </c>
      <c r="D44" s="364">
        <v>33.33</v>
      </c>
      <c r="E44" s="365">
        <f t="shared" si="1"/>
        <v>33.33</v>
      </c>
    </row>
    <row r="45" spans="1:5" s="19" customFormat="1" ht="15.75" customHeight="1" x14ac:dyDescent="0.35">
      <c r="A45" s="359">
        <v>43</v>
      </c>
      <c r="B45" s="360" t="s">
        <v>168</v>
      </c>
      <c r="C45" s="361">
        <v>1</v>
      </c>
      <c r="D45" s="364">
        <v>124.43333333333334</v>
      </c>
      <c r="E45" s="365">
        <f t="shared" si="1"/>
        <v>124.43333333333334</v>
      </c>
    </row>
    <row r="46" spans="1:5" s="19" customFormat="1" x14ac:dyDescent="0.35">
      <c r="A46" s="359">
        <v>44</v>
      </c>
      <c r="B46" s="360" t="s">
        <v>146</v>
      </c>
      <c r="C46" s="361">
        <v>1</v>
      </c>
      <c r="D46" s="364">
        <v>19.043333333333333</v>
      </c>
      <c r="E46" s="365">
        <f t="shared" si="1"/>
        <v>19.043333333333333</v>
      </c>
    </row>
    <row r="47" spans="1:5" s="19" customFormat="1" x14ac:dyDescent="0.35">
      <c r="A47" s="565" t="s">
        <v>147</v>
      </c>
      <c r="B47" s="566"/>
      <c r="C47" s="566"/>
      <c r="D47" s="567"/>
      <c r="E47" s="366">
        <f>SUM(E3:E46)</f>
        <v>6655.2396666666646</v>
      </c>
    </row>
    <row r="48" spans="1:5" s="19" customFormat="1" ht="21" customHeight="1" x14ac:dyDescent="0.35">
      <c r="A48" s="568" t="s">
        <v>148</v>
      </c>
      <c r="B48" s="569"/>
      <c r="C48" s="569"/>
      <c r="D48" s="569"/>
      <c r="E48" s="367">
        <f>E47*0.5%</f>
        <v>33.276198333333326</v>
      </c>
    </row>
    <row r="49" spans="1:5" s="19" customFormat="1" x14ac:dyDescent="0.35">
      <c r="A49" s="570" t="s">
        <v>149</v>
      </c>
      <c r="B49" s="571"/>
      <c r="C49" s="571"/>
      <c r="D49" s="362">
        <v>0.2</v>
      </c>
      <c r="E49" s="368">
        <f>D49*E47</f>
        <v>1331.047933333333</v>
      </c>
    </row>
    <row r="50" spans="1:5" s="19" customFormat="1" ht="19.5" customHeight="1" x14ac:dyDescent="0.35">
      <c r="A50" s="568" t="s">
        <v>150</v>
      </c>
      <c r="B50" s="569"/>
      <c r="C50" s="569"/>
      <c r="D50" s="569"/>
      <c r="E50" s="367">
        <f>((E47-E49)/8)/12</f>
        <v>55.460330555555537</v>
      </c>
    </row>
    <row r="51" spans="1:5" s="19" customFormat="1" x14ac:dyDescent="0.35">
      <c r="A51" s="563" t="s">
        <v>151</v>
      </c>
      <c r="B51" s="564"/>
      <c r="C51" s="564"/>
      <c r="D51" s="564"/>
      <c r="E51" s="369">
        <f>E48+E50</f>
        <v>88.73652888888887</v>
      </c>
    </row>
    <row r="52" spans="1:5" s="19" customFormat="1" x14ac:dyDescent="0.35">
      <c r="A52" s="550" t="s">
        <v>152</v>
      </c>
      <c r="B52" s="551"/>
      <c r="C52" s="551"/>
      <c r="D52" s="551"/>
      <c r="E52" s="370">
        <v>3</v>
      </c>
    </row>
    <row r="53" spans="1:5" s="19" customFormat="1" x14ac:dyDescent="0.35">
      <c r="A53" s="552" t="s">
        <v>153</v>
      </c>
      <c r="B53" s="553"/>
      <c r="C53" s="553"/>
      <c r="D53" s="553"/>
      <c r="E53" s="371">
        <f>E51/E52</f>
        <v>29.578842962962955</v>
      </c>
    </row>
    <row r="54" spans="1:5" s="19" customFormat="1" ht="24" customHeight="1" x14ac:dyDescent="0.35">
      <c r="A54" s="554" t="s">
        <v>1076</v>
      </c>
      <c r="B54" s="555"/>
      <c r="C54" s="555"/>
      <c r="D54" s="555"/>
      <c r="E54" s="556"/>
    </row>
    <row r="55" spans="1:5" ht="16.5" customHeight="1" x14ac:dyDescent="0.35">
      <c r="A55" s="557" t="s">
        <v>154</v>
      </c>
      <c r="B55" s="558"/>
      <c r="C55" s="558"/>
      <c r="D55" s="558"/>
      <c r="E55" s="559"/>
    </row>
    <row r="56" spans="1:5" ht="16.5" customHeight="1" x14ac:dyDescent="0.35">
      <c r="A56" s="560"/>
      <c r="B56" s="561"/>
      <c r="C56" s="561"/>
      <c r="D56" s="561"/>
      <c r="E56" s="562"/>
    </row>
    <row r="57" spans="1:5" ht="19" x14ac:dyDescent="0.5">
      <c r="B57" s="17"/>
      <c r="D57" s="548"/>
      <c r="E57" s="548"/>
    </row>
    <row r="58" spans="1:5" x14ac:dyDescent="0.35">
      <c r="B58" s="17"/>
      <c r="D58" s="549"/>
      <c r="E58" s="549"/>
    </row>
    <row r="59" spans="1:5" x14ac:dyDescent="0.35">
      <c r="B59" s="4"/>
    </row>
    <row r="60" spans="1:5" x14ac:dyDescent="0.35">
      <c r="B60" s="4"/>
    </row>
  </sheetData>
  <mergeCells count="12">
    <mergeCell ref="A51:D51"/>
    <mergeCell ref="A47:D47"/>
    <mergeCell ref="A48:D48"/>
    <mergeCell ref="A49:C49"/>
    <mergeCell ref="A50:D50"/>
    <mergeCell ref="D57:E57"/>
    <mergeCell ref="D58:E58"/>
    <mergeCell ref="A52:D52"/>
    <mergeCell ref="A53:D53"/>
    <mergeCell ref="A54:E54"/>
    <mergeCell ref="A55:E55"/>
    <mergeCell ref="A56:E56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headerFooter>
    <oddHeader>&amp;C27</oddHeader>
    <oddFooter>&amp;C27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48"/>
  <sheetViews>
    <sheetView showWhiteSpace="0" view="pageBreakPreview" zoomScaleNormal="100" zoomScaleSheetLayoutView="100" workbookViewId="0">
      <selection activeCell="G24" sqref="G24"/>
    </sheetView>
  </sheetViews>
  <sheetFormatPr defaultRowHeight="14.5" x14ac:dyDescent="0.35"/>
  <cols>
    <col min="1" max="1" width="46.54296875" style="2" customWidth="1"/>
    <col min="2" max="2" width="11.1796875" style="2" customWidth="1"/>
    <col min="3" max="3" width="29.81640625" style="2" hidden="1" customWidth="1"/>
    <col min="4" max="4" width="5.1796875" style="2" hidden="1" customWidth="1"/>
    <col min="5" max="5" width="10.54296875" style="2" customWidth="1"/>
    <col min="6" max="6" width="16.54296875" style="2" bestFit="1" customWidth="1"/>
    <col min="7" max="7" width="6" style="1" customWidth="1"/>
    <col min="8" max="242" width="9.1796875" style="1"/>
    <col min="243" max="243" width="40.1796875" style="1" customWidth="1"/>
    <col min="244" max="244" width="15.54296875" style="1" customWidth="1"/>
    <col min="245" max="245" width="12.453125" style="1" customWidth="1"/>
    <col min="246" max="246" width="13.453125" style="1" customWidth="1"/>
    <col min="247" max="498" width="9.1796875" style="1"/>
    <col min="499" max="499" width="40.1796875" style="1" customWidth="1"/>
    <col min="500" max="500" width="15.54296875" style="1" customWidth="1"/>
    <col min="501" max="501" width="12.453125" style="1" customWidth="1"/>
    <col min="502" max="502" width="13.453125" style="1" customWidth="1"/>
    <col min="503" max="754" width="9.1796875" style="1"/>
    <col min="755" max="755" width="40.1796875" style="1" customWidth="1"/>
    <col min="756" max="756" width="15.54296875" style="1" customWidth="1"/>
    <col min="757" max="757" width="12.453125" style="1" customWidth="1"/>
    <col min="758" max="758" width="13.453125" style="1" customWidth="1"/>
    <col min="759" max="1010" width="9.1796875" style="1"/>
    <col min="1011" max="1011" width="40.1796875" style="1" customWidth="1"/>
    <col min="1012" max="1012" width="15.54296875" style="1" customWidth="1"/>
    <col min="1013" max="1013" width="12.453125" style="1" customWidth="1"/>
    <col min="1014" max="1014" width="13.453125" style="1" customWidth="1"/>
    <col min="1015" max="1266" width="9.1796875" style="1"/>
    <col min="1267" max="1267" width="40.1796875" style="1" customWidth="1"/>
    <col min="1268" max="1268" width="15.54296875" style="1" customWidth="1"/>
    <col min="1269" max="1269" width="12.453125" style="1" customWidth="1"/>
    <col min="1270" max="1270" width="13.453125" style="1" customWidth="1"/>
    <col min="1271" max="1522" width="9.1796875" style="1"/>
    <col min="1523" max="1523" width="40.1796875" style="1" customWidth="1"/>
    <col min="1524" max="1524" width="15.54296875" style="1" customWidth="1"/>
    <col min="1525" max="1525" width="12.453125" style="1" customWidth="1"/>
    <col min="1526" max="1526" width="13.453125" style="1" customWidth="1"/>
    <col min="1527" max="1778" width="9.1796875" style="1"/>
    <col min="1779" max="1779" width="40.1796875" style="1" customWidth="1"/>
    <col min="1780" max="1780" width="15.54296875" style="1" customWidth="1"/>
    <col min="1781" max="1781" width="12.453125" style="1" customWidth="1"/>
    <col min="1782" max="1782" width="13.453125" style="1" customWidth="1"/>
    <col min="1783" max="2034" width="9.1796875" style="1"/>
    <col min="2035" max="2035" width="40.1796875" style="1" customWidth="1"/>
    <col min="2036" max="2036" width="15.54296875" style="1" customWidth="1"/>
    <col min="2037" max="2037" width="12.453125" style="1" customWidth="1"/>
    <col min="2038" max="2038" width="13.453125" style="1" customWidth="1"/>
    <col min="2039" max="2290" width="9.1796875" style="1"/>
    <col min="2291" max="2291" width="40.1796875" style="1" customWidth="1"/>
    <col min="2292" max="2292" width="15.54296875" style="1" customWidth="1"/>
    <col min="2293" max="2293" width="12.453125" style="1" customWidth="1"/>
    <col min="2294" max="2294" width="13.453125" style="1" customWidth="1"/>
    <col min="2295" max="2546" width="9.1796875" style="1"/>
    <col min="2547" max="2547" width="40.1796875" style="1" customWidth="1"/>
    <col min="2548" max="2548" width="15.54296875" style="1" customWidth="1"/>
    <col min="2549" max="2549" width="12.453125" style="1" customWidth="1"/>
    <col min="2550" max="2550" width="13.453125" style="1" customWidth="1"/>
    <col min="2551" max="2802" width="9.1796875" style="1"/>
    <col min="2803" max="2803" width="40.1796875" style="1" customWidth="1"/>
    <col min="2804" max="2804" width="15.54296875" style="1" customWidth="1"/>
    <col min="2805" max="2805" width="12.453125" style="1" customWidth="1"/>
    <col min="2806" max="2806" width="13.453125" style="1" customWidth="1"/>
    <col min="2807" max="3058" width="9.1796875" style="1"/>
    <col min="3059" max="3059" width="40.1796875" style="1" customWidth="1"/>
    <col min="3060" max="3060" width="15.54296875" style="1" customWidth="1"/>
    <col min="3061" max="3061" width="12.453125" style="1" customWidth="1"/>
    <col min="3062" max="3062" width="13.453125" style="1" customWidth="1"/>
    <col min="3063" max="3314" width="9.1796875" style="1"/>
    <col min="3315" max="3315" width="40.1796875" style="1" customWidth="1"/>
    <col min="3316" max="3316" width="15.54296875" style="1" customWidth="1"/>
    <col min="3317" max="3317" width="12.453125" style="1" customWidth="1"/>
    <col min="3318" max="3318" width="13.453125" style="1" customWidth="1"/>
    <col min="3319" max="3570" width="9.1796875" style="1"/>
    <col min="3571" max="3571" width="40.1796875" style="1" customWidth="1"/>
    <col min="3572" max="3572" width="15.54296875" style="1" customWidth="1"/>
    <col min="3573" max="3573" width="12.453125" style="1" customWidth="1"/>
    <col min="3574" max="3574" width="13.453125" style="1" customWidth="1"/>
    <col min="3575" max="3826" width="9.1796875" style="1"/>
    <col min="3827" max="3827" width="40.1796875" style="1" customWidth="1"/>
    <col min="3828" max="3828" width="15.54296875" style="1" customWidth="1"/>
    <col min="3829" max="3829" width="12.453125" style="1" customWidth="1"/>
    <col min="3830" max="3830" width="13.453125" style="1" customWidth="1"/>
    <col min="3831" max="4082" width="9.1796875" style="1"/>
    <col min="4083" max="4083" width="40.1796875" style="1" customWidth="1"/>
    <col min="4084" max="4084" width="15.54296875" style="1" customWidth="1"/>
    <col min="4085" max="4085" width="12.453125" style="1" customWidth="1"/>
    <col min="4086" max="4086" width="13.453125" style="1" customWidth="1"/>
    <col min="4087" max="4338" width="9.1796875" style="1"/>
    <col min="4339" max="4339" width="40.1796875" style="1" customWidth="1"/>
    <col min="4340" max="4340" width="15.54296875" style="1" customWidth="1"/>
    <col min="4341" max="4341" width="12.453125" style="1" customWidth="1"/>
    <col min="4342" max="4342" width="13.453125" style="1" customWidth="1"/>
    <col min="4343" max="4594" width="9.1796875" style="1"/>
    <col min="4595" max="4595" width="40.1796875" style="1" customWidth="1"/>
    <col min="4596" max="4596" width="15.54296875" style="1" customWidth="1"/>
    <col min="4597" max="4597" width="12.453125" style="1" customWidth="1"/>
    <col min="4598" max="4598" width="13.453125" style="1" customWidth="1"/>
    <col min="4599" max="4850" width="9.1796875" style="1"/>
    <col min="4851" max="4851" width="40.1796875" style="1" customWidth="1"/>
    <col min="4852" max="4852" width="15.54296875" style="1" customWidth="1"/>
    <col min="4853" max="4853" width="12.453125" style="1" customWidth="1"/>
    <col min="4854" max="4854" width="13.453125" style="1" customWidth="1"/>
    <col min="4855" max="5106" width="9.1796875" style="1"/>
    <col min="5107" max="5107" width="40.1796875" style="1" customWidth="1"/>
    <col min="5108" max="5108" width="15.54296875" style="1" customWidth="1"/>
    <col min="5109" max="5109" width="12.453125" style="1" customWidth="1"/>
    <col min="5110" max="5110" width="13.453125" style="1" customWidth="1"/>
    <col min="5111" max="5362" width="9.1796875" style="1"/>
    <col min="5363" max="5363" width="40.1796875" style="1" customWidth="1"/>
    <col min="5364" max="5364" width="15.54296875" style="1" customWidth="1"/>
    <col min="5365" max="5365" width="12.453125" style="1" customWidth="1"/>
    <col min="5366" max="5366" width="13.453125" style="1" customWidth="1"/>
    <col min="5367" max="5618" width="9.1796875" style="1"/>
    <col min="5619" max="5619" width="40.1796875" style="1" customWidth="1"/>
    <col min="5620" max="5620" width="15.54296875" style="1" customWidth="1"/>
    <col min="5621" max="5621" width="12.453125" style="1" customWidth="1"/>
    <col min="5622" max="5622" width="13.453125" style="1" customWidth="1"/>
    <col min="5623" max="5874" width="9.1796875" style="1"/>
    <col min="5875" max="5875" width="40.1796875" style="1" customWidth="1"/>
    <col min="5876" max="5876" width="15.54296875" style="1" customWidth="1"/>
    <col min="5877" max="5877" width="12.453125" style="1" customWidth="1"/>
    <col min="5878" max="5878" width="13.453125" style="1" customWidth="1"/>
    <col min="5879" max="6130" width="9.1796875" style="1"/>
    <col min="6131" max="6131" width="40.1796875" style="1" customWidth="1"/>
    <col min="6132" max="6132" width="15.54296875" style="1" customWidth="1"/>
    <col min="6133" max="6133" width="12.453125" style="1" customWidth="1"/>
    <col min="6134" max="6134" width="13.453125" style="1" customWidth="1"/>
    <col min="6135" max="6386" width="9.1796875" style="1"/>
    <col min="6387" max="6387" width="40.1796875" style="1" customWidth="1"/>
    <col min="6388" max="6388" width="15.54296875" style="1" customWidth="1"/>
    <col min="6389" max="6389" width="12.453125" style="1" customWidth="1"/>
    <col min="6390" max="6390" width="13.453125" style="1" customWidth="1"/>
    <col min="6391" max="6642" width="9.1796875" style="1"/>
    <col min="6643" max="6643" width="40.1796875" style="1" customWidth="1"/>
    <col min="6644" max="6644" width="15.54296875" style="1" customWidth="1"/>
    <col min="6645" max="6645" width="12.453125" style="1" customWidth="1"/>
    <col min="6646" max="6646" width="13.453125" style="1" customWidth="1"/>
    <col min="6647" max="6898" width="9.1796875" style="1"/>
    <col min="6899" max="6899" width="40.1796875" style="1" customWidth="1"/>
    <col min="6900" max="6900" width="15.54296875" style="1" customWidth="1"/>
    <col min="6901" max="6901" width="12.453125" style="1" customWidth="1"/>
    <col min="6902" max="6902" width="13.453125" style="1" customWidth="1"/>
    <col min="6903" max="7154" width="9.1796875" style="1"/>
    <col min="7155" max="7155" width="40.1796875" style="1" customWidth="1"/>
    <col min="7156" max="7156" width="15.54296875" style="1" customWidth="1"/>
    <col min="7157" max="7157" width="12.453125" style="1" customWidth="1"/>
    <col min="7158" max="7158" width="13.453125" style="1" customWidth="1"/>
    <col min="7159" max="7410" width="9.1796875" style="1"/>
    <col min="7411" max="7411" width="40.1796875" style="1" customWidth="1"/>
    <col min="7412" max="7412" width="15.54296875" style="1" customWidth="1"/>
    <col min="7413" max="7413" width="12.453125" style="1" customWidth="1"/>
    <col min="7414" max="7414" width="13.453125" style="1" customWidth="1"/>
    <col min="7415" max="7666" width="9.1796875" style="1"/>
    <col min="7667" max="7667" width="40.1796875" style="1" customWidth="1"/>
    <col min="7668" max="7668" width="15.54296875" style="1" customWidth="1"/>
    <col min="7669" max="7669" width="12.453125" style="1" customWidth="1"/>
    <col min="7670" max="7670" width="13.453125" style="1" customWidth="1"/>
    <col min="7671" max="7922" width="9.1796875" style="1"/>
    <col min="7923" max="7923" width="40.1796875" style="1" customWidth="1"/>
    <col min="7924" max="7924" width="15.54296875" style="1" customWidth="1"/>
    <col min="7925" max="7925" width="12.453125" style="1" customWidth="1"/>
    <col min="7926" max="7926" width="13.453125" style="1" customWidth="1"/>
    <col min="7927" max="8178" width="9.1796875" style="1"/>
    <col min="8179" max="8179" width="40.1796875" style="1" customWidth="1"/>
    <col min="8180" max="8180" width="15.54296875" style="1" customWidth="1"/>
    <col min="8181" max="8181" width="12.453125" style="1" customWidth="1"/>
    <col min="8182" max="8182" width="13.453125" style="1" customWidth="1"/>
    <col min="8183" max="8434" width="9.1796875" style="1"/>
    <col min="8435" max="8435" width="40.1796875" style="1" customWidth="1"/>
    <col min="8436" max="8436" width="15.54296875" style="1" customWidth="1"/>
    <col min="8437" max="8437" width="12.453125" style="1" customWidth="1"/>
    <col min="8438" max="8438" width="13.453125" style="1" customWidth="1"/>
    <col min="8439" max="8690" width="9.1796875" style="1"/>
    <col min="8691" max="8691" width="40.1796875" style="1" customWidth="1"/>
    <col min="8692" max="8692" width="15.54296875" style="1" customWidth="1"/>
    <col min="8693" max="8693" width="12.453125" style="1" customWidth="1"/>
    <col min="8694" max="8694" width="13.453125" style="1" customWidth="1"/>
    <col min="8695" max="8946" width="9.1796875" style="1"/>
    <col min="8947" max="8947" width="40.1796875" style="1" customWidth="1"/>
    <col min="8948" max="8948" width="15.54296875" style="1" customWidth="1"/>
    <col min="8949" max="8949" width="12.453125" style="1" customWidth="1"/>
    <col min="8950" max="8950" width="13.453125" style="1" customWidth="1"/>
    <col min="8951" max="9202" width="9.1796875" style="1"/>
    <col min="9203" max="9203" width="40.1796875" style="1" customWidth="1"/>
    <col min="9204" max="9204" width="15.54296875" style="1" customWidth="1"/>
    <col min="9205" max="9205" width="12.453125" style="1" customWidth="1"/>
    <col min="9206" max="9206" width="13.453125" style="1" customWidth="1"/>
    <col min="9207" max="9458" width="9.1796875" style="1"/>
    <col min="9459" max="9459" width="40.1796875" style="1" customWidth="1"/>
    <col min="9460" max="9460" width="15.54296875" style="1" customWidth="1"/>
    <col min="9461" max="9461" width="12.453125" style="1" customWidth="1"/>
    <col min="9462" max="9462" width="13.453125" style="1" customWidth="1"/>
    <col min="9463" max="9714" width="9.1796875" style="1"/>
    <col min="9715" max="9715" width="40.1796875" style="1" customWidth="1"/>
    <col min="9716" max="9716" width="15.54296875" style="1" customWidth="1"/>
    <col min="9717" max="9717" width="12.453125" style="1" customWidth="1"/>
    <col min="9718" max="9718" width="13.453125" style="1" customWidth="1"/>
    <col min="9719" max="9970" width="9.1796875" style="1"/>
    <col min="9971" max="9971" width="40.1796875" style="1" customWidth="1"/>
    <col min="9972" max="9972" width="15.54296875" style="1" customWidth="1"/>
    <col min="9973" max="9973" width="12.453125" style="1" customWidth="1"/>
    <col min="9974" max="9974" width="13.453125" style="1" customWidth="1"/>
    <col min="9975" max="10226" width="9.1796875" style="1"/>
    <col min="10227" max="10227" width="40.1796875" style="1" customWidth="1"/>
    <col min="10228" max="10228" width="15.54296875" style="1" customWidth="1"/>
    <col min="10229" max="10229" width="12.453125" style="1" customWidth="1"/>
    <col min="10230" max="10230" width="13.453125" style="1" customWidth="1"/>
    <col min="10231" max="10482" width="9.1796875" style="1"/>
    <col min="10483" max="10483" width="40.1796875" style="1" customWidth="1"/>
    <col min="10484" max="10484" width="15.54296875" style="1" customWidth="1"/>
    <col min="10485" max="10485" width="12.453125" style="1" customWidth="1"/>
    <col min="10486" max="10486" width="13.453125" style="1" customWidth="1"/>
    <col min="10487" max="10738" width="9.1796875" style="1"/>
    <col min="10739" max="10739" width="40.1796875" style="1" customWidth="1"/>
    <col min="10740" max="10740" width="15.54296875" style="1" customWidth="1"/>
    <col min="10741" max="10741" width="12.453125" style="1" customWidth="1"/>
    <col min="10742" max="10742" width="13.453125" style="1" customWidth="1"/>
    <col min="10743" max="10994" width="9.1796875" style="1"/>
    <col min="10995" max="10995" width="40.1796875" style="1" customWidth="1"/>
    <col min="10996" max="10996" width="15.54296875" style="1" customWidth="1"/>
    <col min="10997" max="10997" width="12.453125" style="1" customWidth="1"/>
    <col min="10998" max="10998" width="13.453125" style="1" customWidth="1"/>
    <col min="10999" max="11250" width="9.1796875" style="1"/>
    <col min="11251" max="11251" width="40.1796875" style="1" customWidth="1"/>
    <col min="11252" max="11252" width="15.54296875" style="1" customWidth="1"/>
    <col min="11253" max="11253" width="12.453125" style="1" customWidth="1"/>
    <col min="11254" max="11254" width="13.453125" style="1" customWidth="1"/>
    <col min="11255" max="11506" width="9.1796875" style="1"/>
    <col min="11507" max="11507" width="40.1796875" style="1" customWidth="1"/>
    <col min="11508" max="11508" width="15.54296875" style="1" customWidth="1"/>
    <col min="11509" max="11509" width="12.453125" style="1" customWidth="1"/>
    <col min="11510" max="11510" width="13.453125" style="1" customWidth="1"/>
    <col min="11511" max="11762" width="9.1796875" style="1"/>
    <col min="11763" max="11763" width="40.1796875" style="1" customWidth="1"/>
    <col min="11764" max="11764" width="15.54296875" style="1" customWidth="1"/>
    <col min="11765" max="11765" width="12.453125" style="1" customWidth="1"/>
    <col min="11766" max="11766" width="13.453125" style="1" customWidth="1"/>
    <col min="11767" max="12018" width="9.1796875" style="1"/>
    <col min="12019" max="12019" width="40.1796875" style="1" customWidth="1"/>
    <col min="12020" max="12020" width="15.54296875" style="1" customWidth="1"/>
    <col min="12021" max="12021" width="12.453125" style="1" customWidth="1"/>
    <col min="12022" max="12022" width="13.453125" style="1" customWidth="1"/>
    <col min="12023" max="12274" width="9.1796875" style="1"/>
    <col min="12275" max="12275" width="40.1796875" style="1" customWidth="1"/>
    <col min="12276" max="12276" width="15.54296875" style="1" customWidth="1"/>
    <col min="12277" max="12277" width="12.453125" style="1" customWidth="1"/>
    <col min="12278" max="12278" width="13.453125" style="1" customWidth="1"/>
    <col min="12279" max="12530" width="9.1796875" style="1"/>
    <col min="12531" max="12531" width="40.1796875" style="1" customWidth="1"/>
    <col min="12532" max="12532" width="15.54296875" style="1" customWidth="1"/>
    <col min="12533" max="12533" width="12.453125" style="1" customWidth="1"/>
    <col min="12534" max="12534" width="13.453125" style="1" customWidth="1"/>
    <col min="12535" max="12786" width="9.1796875" style="1"/>
    <col min="12787" max="12787" width="40.1796875" style="1" customWidth="1"/>
    <col min="12788" max="12788" width="15.54296875" style="1" customWidth="1"/>
    <col min="12789" max="12789" width="12.453125" style="1" customWidth="1"/>
    <col min="12790" max="12790" width="13.453125" style="1" customWidth="1"/>
    <col min="12791" max="13042" width="9.1796875" style="1"/>
    <col min="13043" max="13043" width="40.1796875" style="1" customWidth="1"/>
    <col min="13044" max="13044" width="15.54296875" style="1" customWidth="1"/>
    <col min="13045" max="13045" width="12.453125" style="1" customWidth="1"/>
    <col min="13046" max="13046" width="13.453125" style="1" customWidth="1"/>
    <col min="13047" max="13298" width="9.1796875" style="1"/>
    <col min="13299" max="13299" width="40.1796875" style="1" customWidth="1"/>
    <col min="13300" max="13300" width="15.54296875" style="1" customWidth="1"/>
    <col min="13301" max="13301" width="12.453125" style="1" customWidth="1"/>
    <col min="13302" max="13302" width="13.453125" style="1" customWidth="1"/>
    <col min="13303" max="13554" width="9.1796875" style="1"/>
    <col min="13555" max="13555" width="40.1796875" style="1" customWidth="1"/>
    <col min="13556" max="13556" width="15.54296875" style="1" customWidth="1"/>
    <col min="13557" max="13557" width="12.453125" style="1" customWidth="1"/>
    <col min="13558" max="13558" width="13.453125" style="1" customWidth="1"/>
    <col min="13559" max="13810" width="9.1796875" style="1"/>
    <col min="13811" max="13811" width="40.1796875" style="1" customWidth="1"/>
    <col min="13812" max="13812" width="15.54296875" style="1" customWidth="1"/>
    <col min="13813" max="13813" width="12.453125" style="1" customWidth="1"/>
    <col min="13814" max="13814" width="13.453125" style="1" customWidth="1"/>
    <col min="13815" max="14066" width="9.1796875" style="1"/>
    <col min="14067" max="14067" width="40.1796875" style="1" customWidth="1"/>
    <col min="14068" max="14068" width="15.54296875" style="1" customWidth="1"/>
    <col min="14069" max="14069" width="12.453125" style="1" customWidth="1"/>
    <col min="14070" max="14070" width="13.453125" style="1" customWidth="1"/>
    <col min="14071" max="14322" width="9.1796875" style="1"/>
    <col min="14323" max="14323" width="40.1796875" style="1" customWidth="1"/>
    <col min="14324" max="14324" width="15.54296875" style="1" customWidth="1"/>
    <col min="14325" max="14325" width="12.453125" style="1" customWidth="1"/>
    <col min="14326" max="14326" width="13.453125" style="1" customWidth="1"/>
    <col min="14327" max="14578" width="9.1796875" style="1"/>
    <col min="14579" max="14579" width="40.1796875" style="1" customWidth="1"/>
    <col min="14580" max="14580" width="15.54296875" style="1" customWidth="1"/>
    <col min="14581" max="14581" width="12.453125" style="1" customWidth="1"/>
    <col min="14582" max="14582" width="13.453125" style="1" customWidth="1"/>
    <col min="14583" max="14834" width="9.1796875" style="1"/>
    <col min="14835" max="14835" width="40.1796875" style="1" customWidth="1"/>
    <col min="14836" max="14836" width="15.54296875" style="1" customWidth="1"/>
    <col min="14837" max="14837" width="12.453125" style="1" customWidth="1"/>
    <col min="14838" max="14838" width="13.453125" style="1" customWidth="1"/>
    <col min="14839" max="15090" width="9.1796875" style="1"/>
    <col min="15091" max="15091" width="40.1796875" style="1" customWidth="1"/>
    <col min="15092" max="15092" width="15.54296875" style="1" customWidth="1"/>
    <col min="15093" max="15093" width="12.453125" style="1" customWidth="1"/>
    <col min="15094" max="15094" width="13.453125" style="1" customWidth="1"/>
    <col min="15095" max="15346" width="9.1796875" style="1"/>
    <col min="15347" max="15347" width="40.1796875" style="1" customWidth="1"/>
    <col min="15348" max="15348" width="15.54296875" style="1" customWidth="1"/>
    <col min="15349" max="15349" width="12.453125" style="1" customWidth="1"/>
    <col min="15350" max="15350" width="13.453125" style="1" customWidth="1"/>
    <col min="15351" max="15602" width="9.1796875" style="1"/>
    <col min="15603" max="15603" width="40.1796875" style="1" customWidth="1"/>
    <col min="15604" max="15604" width="15.54296875" style="1" customWidth="1"/>
    <col min="15605" max="15605" width="12.453125" style="1" customWidth="1"/>
    <col min="15606" max="15606" width="13.453125" style="1" customWidth="1"/>
    <col min="15607" max="15858" width="9.1796875" style="1"/>
    <col min="15859" max="15859" width="40.1796875" style="1" customWidth="1"/>
    <col min="15860" max="15860" width="15.54296875" style="1" customWidth="1"/>
    <col min="15861" max="15861" width="12.453125" style="1" customWidth="1"/>
    <col min="15862" max="15862" width="13.453125" style="1" customWidth="1"/>
    <col min="15863" max="16114" width="9.1796875" style="1"/>
    <col min="16115" max="16115" width="40.1796875" style="1" customWidth="1"/>
    <col min="16116" max="16116" width="15.54296875" style="1" customWidth="1"/>
    <col min="16117" max="16117" width="12.453125" style="1" customWidth="1"/>
    <col min="16118" max="16118" width="13.453125" style="1" customWidth="1"/>
    <col min="16119" max="16376" width="9.1796875" style="1"/>
    <col min="16377" max="16384" width="9.1796875" style="1" customWidth="1"/>
  </cols>
  <sheetData>
    <row r="1" spans="1:7" ht="46.5" customHeight="1" x14ac:dyDescent="0.35">
      <c r="A1" s="593" t="s">
        <v>737</v>
      </c>
      <c r="B1" s="593"/>
      <c r="C1" s="593"/>
      <c r="D1" s="593"/>
      <c r="E1" s="593"/>
      <c r="F1" s="593"/>
      <c r="G1" s="19"/>
    </row>
    <row r="2" spans="1:7" ht="46.5" x14ac:dyDescent="0.35">
      <c r="A2" s="213" t="s">
        <v>156</v>
      </c>
      <c r="B2" s="213" t="s">
        <v>719</v>
      </c>
      <c r="C2" s="213" t="s">
        <v>765</v>
      </c>
      <c r="D2" s="213" t="s">
        <v>157</v>
      </c>
      <c r="E2" s="213" t="s">
        <v>791</v>
      </c>
      <c r="F2" s="213" t="s">
        <v>792</v>
      </c>
      <c r="G2" s="19"/>
    </row>
    <row r="3" spans="1:7" s="19" customFormat="1" ht="14.25" customHeight="1" x14ac:dyDescent="0.35">
      <c r="A3" s="581" t="s">
        <v>158</v>
      </c>
      <c r="B3" s="578">
        <v>3</v>
      </c>
      <c r="C3" s="214" t="s">
        <v>720</v>
      </c>
      <c r="D3" s="215">
        <v>61.9</v>
      </c>
      <c r="E3" s="575">
        <v>42.666666666666664</v>
      </c>
      <c r="F3" s="575">
        <f>E3*B3</f>
        <v>128</v>
      </c>
    </row>
    <row r="4" spans="1:7" s="19" customFormat="1" ht="4.5" customHeight="1" x14ac:dyDescent="0.35">
      <c r="A4" s="582"/>
      <c r="B4" s="579"/>
      <c r="C4" s="216" t="s">
        <v>722</v>
      </c>
      <c r="D4" s="217">
        <v>64.209999999999994</v>
      </c>
      <c r="E4" s="576"/>
      <c r="F4" s="576"/>
    </row>
    <row r="5" spans="1:7" ht="15" hidden="1" customHeight="1" x14ac:dyDescent="0.35">
      <c r="A5" s="583"/>
      <c r="B5" s="580"/>
      <c r="C5" s="218" t="s">
        <v>725</v>
      </c>
      <c r="D5" s="219">
        <v>28.8</v>
      </c>
      <c r="E5" s="577"/>
      <c r="F5" s="577"/>
      <c r="G5" s="19"/>
    </row>
    <row r="6" spans="1:7" s="19" customFormat="1" ht="14.25" customHeight="1" x14ac:dyDescent="0.35">
      <c r="A6" s="581" t="s">
        <v>953</v>
      </c>
      <c r="B6" s="578">
        <v>3</v>
      </c>
      <c r="C6" s="214" t="s">
        <v>720</v>
      </c>
      <c r="D6" s="215">
        <v>43.9</v>
      </c>
      <c r="E6" s="575">
        <v>38.666666666666664</v>
      </c>
      <c r="F6" s="575">
        <f>E6*B6</f>
        <v>116</v>
      </c>
    </row>
    <row r="7" spans="1:7" s="19" customFormat="1" ht="14.25" customHeight="1" x14ac:dyDescent="0.35">
      <c r="A7" s="582"/>
      <c r="B7" s="579"/>
      <c r="C7" s="216" t="s">
        <v>721</v>
      </c>
      <c r="D7" s="217">
        <v>48</v>
      </c>
      <c r="E7" s="576"/>
      <c r="F7" s="576"/>
    </row>
    <row r="8" spans="1:7" s="19" customFormat="1" ht="8.25" customHeight="1" x14ac:dyDescent="0.35">
      <c r="A8" s="582"/>
      <c r="B8" s="579"/>
      <c r="C8" s="216" t="s">
        <v>722</v>
      </c>
      <c r="D8" s="217">
        <v>48.3</v>
      </c>
      <c r="E8" s="576"/>
      <c r="F8" s="576"/>
    </row>
    <row r="9" spans="1:7" ht="14.25" hidden="1" customHeight="1" x14ac:dyDescent="0.35">
      <c r="A9" s="583"/>
      <c r="B9" s="580"/>
      <c r="C9" s="218" t="s">
        <v>725</v>
      </c>
      <c r="D9" s="219">
        <v>44.8</v>
      </c>
      <c r="E9" s="577"/>
      <c r="F9" s="577"/>
      <c r="G9" s="19"/>
    </row>
    <row r="10" spans="1:7" ht="14.25" customHeight="1" x14ac:dyDescent="0.35">
      <c r="A10" s="581" t="s">
        <v>159</v>
      </c>
      <c r="B10" s="578">
        <v>3</v>
      </c>
      <c r="C10" s="214" t="s">
        <v>720</v>
      </c>
      <c r="D10" s="215">
        <v>52</v>
      </c>
      <c r="E10" s="575">
        <v>44.993333333333339</v>
      </c>
      <c r="F10" s="575">
        <f>E10*B10</f>
        <v>134.98000000000002</v>
      </c>
      <c r="G10" s="19"/>
    </row>
    <row r="11" spans="1:7" ht="3.75" customHeight="1" x14ac:dyDescent="0.35">
      <c r="A11" s="582"/>
      <c r="B11" s="579"/>
      <c r="C11" s="221" t="s">
        <v>721</v>
      </c>
      <c r="D11" s="217">
        <v>45</v>
      </c>
      <c r="E11" s="576"/>
      <c r="F11" s="576"/>
      <c r="G11" s="19"/>
    </row>
    <row r="12" spans="1:7" ht="14.25" hidden="1" customHeight="1" x14ac:dyDescent="0.35">
      <c r="A12" s="582"/>
      <c r="B12" s="579"/>
      <c r="C12" s="221" t="s">
        <v>722</v>
      </c>
      <c r="D12" s="217">
        <v>54.91</v>
      </c>
      <c r="E12" s="576"/>
      <c r="F12" s="576"/>
      <c r="G12" s="19"/>
    </row>
    <row r="13" spans="1:7" ht="14.25" hidden="1" customHeight="1" x14ac:dyDescent="0.35">
      <c r="A13" s="583"/>
      <c r="B13" s="580"/>
      <c r="C13" s="222" t="s">
        <v>725</v>
      </c>
      <c r="D13" s="219">
        <v>32</v>
      </c>
      <c r="E13" s="577"/>
      <c r="F13" s="577"/>
      <c r="G13" s="19"/>
    </row>
    <row r="14" spans="1:7" ht="14.25" hidden="1" customHeight="1" x14ac:dyDescent="0.35">
      <c r="A14" s="223"/>
      <c r="B14" s="222"/>
      <c r="C14" s="222" t="s">
        <v>725</v>
      </c>
      <c r="D14" s="219">
        <v>29.99</v>
      </c>
      <c r="E14" s="224"/>
      <c r="F14" s="224"/>
      <c r="G14" s="19"/>
    </row>
    <row r="15" spans="1:7" s="19" customFormat="1" ht="14.25" customHeight="1" x14ac:dyDescent="0.35">
      <c r="A15" s="581" t="s">
        <v>160</v>
      </c>
      <c r="B15" s="578">
        <f>2*2</f>
        <v>4</v>
      </c>
      <c r="C15" s="214" t="s">
        <v>720</v>
      </c>
      <c r="D15" s="215">
        <v>6</v>
      </c>
      <c r="E15" s="575">
        <v>15.993333333333332</v>
      </c>
      <c r="F15" s="575">
        <f>E15*B15</f>
        <v>63.973333333333329</v>
      </c>
    </row>
    <row r="16" spans="1:7" s="19" customFormat="1" ht="2.25" customHeight="1" x14ac:dyDescent="0.35">
      <c r="A16" s="582"/>
      <c r="B16" s="579"/>
      <c r="C16" s="221" t="s">
        <v>722</v>
      </c>
      <c r="D16" s="217">
        <v>6</v>
      </c>
      <c r="E16" s="576"/>
      <c r="F16" s="576"/>
    </row>
    <row r="17" spans="1:6" ht="14.25" hidden="1" customHeight="1" x14ac:dyDescent="0.35">
      <c r="A17" s="583"/>
      <c r="B17" s="580"/>
      <c r="C17" s="222" t="s">
        <v>725</v>
      </c>
      <c r="D17" s="219">
        <v>7.98</v>
      </c>
      <c r="E17" s="577"/>
      <c r="F17" s="577"/>
    </row>
    <row r="18" spans="1:6" s="19" customFormat="1" ht="14.25" customHeight="1" x14ac:dyDescent="0.35">
      <c r="A18" s="581" t="s">
        <v>161</v>
      </c>
      <c r="B18" s="578">
        <f>1*2</f>
        <v>2</v>
      </c>
      <c r="C18" s="214" t="s">
        <v>720</v>
      </c>
      <c r="D18" s="215">
        <v>44.9</v>
      </c>
      <c r="E18" s="575">
        <v>43.13</v>
      </c>
      <c r="F18" s="575">
        <f>E18*B18</f>
        <v>86.26</v>
      </c>
    </row>
    <row r="19" spans="1:6" s="19" customFormat="1" ht="3" customHeight="1" x14ac:dyDescent="0.35">
      <c r="A19" s="582"/>
      <c r="B19" s="579"/>
      <c r="C19" s="221" t="s">
        <v>721</v>
      </c>
      <c r="D19" s="217">
        <v>80</v>
      </c>
      <c r="E19" s="576"/>
      <c r="F19" s="576"/>
    </row>
    <row r="20" spans="1:6" ht="14.25" hidden="1" customHeight="1" x14ac:dyDescent="0.35">
      <c r="A20" s="582"/>
      <c r="B20" s="579"/>
      <c r="C20" s="221" t="s">
        <v>722</v>
      </c>
      <c r="D20" s="217">
        <v>121.72</v>
      </c>
      <c r="E20" s="576"/>
      <c r="F20" s="576"/>
    </row>
    <row r="21" spans="1:6" ht="14.25" hidden="1" customHeight="1" x14ac:dyDescent="0.35">
      <c r="A21" s="583"/>
      <c r="B21" s="580"/>
      <c r="C21" s="222" t="s">
        <v>725</v>
      </c>
      <c r="D21" s="219">
        <v>29</v>
      </c>
      <c r="E21" s="577"/>
      <c r="F21" s="577"/>
    </row>
    <row r="22" spans="1:6" s="19" customFormat="1" ht="14.25" customHeight="1" x14ac:dyDescent="0.35">
      <c r="A22" s="234" t="s">
        <v>162</v>
      </c>
      <c r="B22" s="235">
        <f>0.5*3</f>
        <v>1.5</v>
      </c>
      <c r="C22" s="235" t="s">
        <v>725</v>
      </c>
      <c r="D22" s="236">
        <v>7.5</v>
      </c>
      <c r="E22" s="236">
        <v>7.8133333333333326</v>
      </c>
      <c r="F22" s="236">
        <f>E22*B22</f>
        <v>11.719999999999999</v>
      </c>
    </row>
    <row r="23" spans="1:6" s="19" customFormat="1" ht="15" customHeight="1" x14ac:dyDescent="0.35">
      <c r="A23" s="587" t="s">
        <v>718</v>
      </c>
      <c r="B23" s="584">
        <v>2</v>
      </c>
      <c r="C23" s="214" t="s">
        <v>720</v>
      </c>
      <c r="D23" s="237">
        <v>350</v>
      </c>
      <c r="E23" s="575">
        <v>221.92333333333332</v>
      </c>
      <c r="F23" s="575">
        <f>E23*B23</f>
        <v>443.84666666666664</v>
      </c>
    </row>
    <row r="24" spans="1:6" s="19" customFormat="1" x14ac:dyDescent="0.35">
      <c r="A24" s="588"/>
      <c r="B24" s="585"/>
      <c r="C24" s="216" t="s">
        <v>721</v>
      </c>
      <c r="D24" s="238">
        <v>320</v>
      </c>
      <c r="E24" s="576"/>
      <c r="F24" s="576"/>
    </row>
    <row r="25" spans="1:6" s="19" customFormat="1" ht="3" customHeight="1" x14ac:dyDescent="0.35">
      <c r="A25" s="589"/>
      <c r="B25" s="586"/>
      <c r="C25" s="218" t="s">
        <v>722</v>
      </c>
      <c r="D25" s="239">
        <v>260.98</v>
      </c>
      <c r="E25" s="577"/>
      <c r="F25" s="577"/>
    </row>
    <row r="26" spans="1:6" s="19" customFormat="1" ht="30" customHeight="1" x14ac:dyDescent="0.35">
      <c r="A26" s="594" t="s">
        <v>952</v>
      </c>
      <c r="B26" s="595"/>
      <c r="C26" s="595"/>
      <c r="D26" s="595"/>
      <c r="E26" s="596"/>
      <c r="F26" s="225">
        <f>SUM(F3:F24)</f>
        <v>984.78</v>
      </c>
    </row>
    <row r="27" spans="1:6" ht="22.5" customHeight="1" x14ac:dyDescent="0.35">
      <c r="A27" s="572" t="s">
        <v>163</v>
      </c>
      <c r="B27" s="573"/>
      <c r="C27" s="573"/>
      <c r="D27" s="573"/>
      <c r="E27" s="574"/>
      <c r="F27" s="226">
        <f>F26/6</f>
        <v>164.13</v>
      </c>
    </row>
    <row r="28" spans="1:6" ht="22.5" customHeight="1" x14ac:dyDescent="0.35">
      <c r="A28" s="597" t="s">
        <v>724</v>
      </c>
      <c r="B28" s="598"/>
      <c r="C28" s="598"/>
      <c r="D28" s="598"/>
      <c r="E28" s="599"/>
      <c r="F28" s="227">
        <f>F27/3</f>
        <v>54.71</v>
      </c>
    </row>
    <row r="29" spans="1:6" s="15" customFormat="1" ht="22.5" customHeight="1" x14ac:dyDescent="0.35">
      <c r="A29" s="228"/>
      <c r="B29" s="229" t="s">
        <v>164</v>
      </c>
      <c r="C29" s="229"/>
      <c r="D29" s="229"/>
      <c r="E29" s="230" t="s">
        <v>164</v>
      </c>
      <c r="F29" s="228"/>
    </row>
    <row r="30" spans="1:6" s="15" customFormat="1" ht="22.5" customHeight="1" x14ac:dyDescent="0.35">
      <c r="A30" s="231" t="s">
        <v>155</v>
      </c>
      <c r="B30" s="232"/>
      <c r="C30" s="232"/>
      <c r="D30" s="232"/>
      <c r="E30" s="232"/>
      <c r="F30" s="233"/>
    </row>
    <row r="31" spans="1:6" s="15" customFormat="1" ht="22.5" customHeight="1" x14ac:dyDescent="0.35">
      <c r="A31" s="590" t="s">
        <v>723</v>
      </c>
      <c r="B31" s="591"/>
      <c r="C31" s="591"/>
      <c r="D31" s="591"/>
      <c r="E31" s="591"/>
      <c r="F31" s="592"/>
    </row>
    <row r="32" spans="1:6" s="15" customFormat="1" ht="12.5" x14ac:dyDescent="0.35">
      <c r="A32" s="228"/>
      <c r="B32" s="228"/>
      <c r="C32" s="228"/>
      <c r="D32" s="228"/>
      <c r="E32" s="228"/>
      <c r="F32" s="228"/>
    </row>
    <row r="33" spans="1:5" s="15" customFormat="1" ht="13.5" customHeight="1" x14ac:dyDescent="0.3">
      <c r="A33" s="67"/>
    </row>
    <row r="34" spans="1:5" s="15" customFormat="1" ht="13" x14ac:dyDescent="0.3">
      <c r="A34" s="67"/>
    </row>
    <row r="35" spans="1:5" s="15" customFormat="1" ht="13" x14ac:dyDescent="0.3">
      <c r="A35" s="67"/>
    </row>
    <row r="36" spans="1:5" s="15" customFormat="1" ht="15.75" customHeight="1" x14ac:dyDescent="0.3">
      <c r="A36" s="67"/>
    </row>
    <row r="37" spans="1:5" s="15" customFormat="1" ht="12.5" x14ac:dyDescent="0.35">
      <c r="A37" s="547"/>
    </row>
    <row r="38" spans="1:5" s="15" customFormat="1" ht="12.5" x14ac:dyDescent="0.35">
      <c r="A38" s="547"/>
    </row>
    <row r="39" spans="1:5" s="15" customFormat="1" ht="12.5" x14ac:dyDescent="0.35">
      <c r="A39" s="66"/>
      <c r="E39" s="15" t="s">
        <v>164</v>
      </c>
    </row>
    <row r="40" spans="1:5" s="15" customFormat="1" ht="12.5" x14ac:dyDescent="0.35">
      <c r="E40" s="15" t="s">
        <v>164</v>
      </c>
    </row>
    <row r="41" spans="1:5" s="15" customFormat="1" ht="12.5" x14ac:dyDescent="0.35"/>
    <row r="42" spans="1:5" s="15" customFormat="1" ht="12.5" x14ac:dyDescent="0.35"/>
    <row r="43" spans="1:5" s="15" customFormat="1" ht="13.5" customHeight="1" x14ac:dyDescent="0.35">
      <c r="A43" s="15" t="s">
        <v>164</v>
      </c>
    </row>
    <row r="44" spans="1:5" s="15" customFormat="1" ht="12.5" x14ac:dyDescent="0.35"/>
    <row r="45" spans="1:5" s="15" customFormat="1" ht="12.5" x14ac:dyDescent="0.35"/>
    <row r="46" spans="1:5" s="15" customFormat="1" ht="25.5" customHeight="1" x14ac:dyDescent="0.35"/>
    <row r="47" spans="1:5" s="15" customFormat="1" ht="12.5" x14ac:dyDescent="0.35">
      <c r="A47" s="16" t="s">
        <v>164</v>
      </c>
      <c r="E47" s="15" t="s">
        <v>164</v>
      </c>
    </row>
    <row r="48" spans="1:5" s="15" customFormat="1" ht="12.5" x14ac:dyDescent="0.35">
      <c r="E48" s="15" t="s">
        <v>164</v>
      </c>
    </row>
  </sheetData>
  <mergeCells count="30">
    <mergeCell ref="A1:F1"/>
    <mergeCell ref="A26:E26"/>
    <mergeCell ref="A28:E28"/>
    <mergeCell ref="A3:A5"/>
    <mergeCell ref="B3:B5"/>
    <mergeCell ref="F3:F5"/>
    <mergeCell ref="E3:E5"/>
    <mergeCell ref="F6:F9"/>
    <mergeCell ref="E6:E9"/>
    <mergeCell ref="B6:B9"/>
    <mergeCell ref="A6:A9"/>
    <mergeCell ref="F15:F17"/>
    <mergeCell ref="F10:F13"/>
    <mergeCell ref="E10:E13"/>
    <mergeCell ref="B10:B13"/>
    <mergeCell ref="A10:A13"/>
    <mergeCell ref="A31:F31"/>
    <mergeCell ref="F23:F25"/>
    <mergeCell ref="F18:F21"/>
    <mergeCell ref="A18:A21"/>
    <mergeCell ref="A37:A38"/>
    <mergeCell ref="A27:E27"/>
    <mergeCell ref="E15:E17"/>
    <mergeCell ref="B15:B17"/>
    <mergeCell ref="A15:A17"/>
    <mergeCell ref="E23:E25"/>
    <mergeCell ref="B23:B25"/>
    <mergeCell ref="A23:A25"/>
    <mergeCell ref="E18:E21"/>
    <mergeCell ref="B18:B21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headerFooter>
    <oddHeader>&amp;C27</oddHeader>
    <oddFooter>&amp;C27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E29"/>
  <sheetViews>
    <sheetView topLeftCell="A16" workbookViewId="0">
      <selection activeCell="B30" sqref="B30"/>
    </sheetView>
  </sheetViews>
  <sheetFormatPr defaultRowHeight="14.5" x14ac:dyDescent="0.35"/>
  <cols>
    <col min="1" max="1" width="11.453125" style="19" customWidth="1"/>
    <col min="2" max="2" width="54.81640625" style="19" customWidth="1"/>
    <col min="3" max="3" width="20" style="19" customWidth="1"/>
    <col min="4" max="4" width="9.1796875" style="19"/>
    <col min="5" max="5" width="10.453125" style="19" customWidth="1"/>
    <col min="6" max="256" width="9.1796875" style="19"/>
    <col min="257" max="257" width="11.453125" style="19" customWidth="1"/>
    <col min="258" max="258" width="54.81640625" style="19" customWidth="1"/>
    <col min="259" max="259" width="20" style="19" customWidth="1"/>
    <col min="260" max="512" width="9.1796875" style="19"/>
    <col min="513" max="513" width="11.453125" style="19" customWidth="1"/>
    <col min="514" max="514" width="54.81640625" style="19" customWidth="1"/>
    <col min="515" max="515" width="20" style="19" customWidth="1"/>
    <col min="516" max="768" width="9.1796875" style="19"/>
    <col min="769" max="769" width="11.453125" style="19" customWidth="1"/>
    <col min="770" max="770" width="54.81640625" style="19" customWidth="1"/>
    <col min="771" max="771" width="20" style="19" customWidth="1"/>
    <col min="772" max="1024" width="9.1796875" style="19"/>
    <col min="1025" max="1025" width="11.453125" style="19" customWidth="1"/>
    <col min="1026" max="1026" width="54.81640625" style="19" customWidth="1"/>
    <col min="1027" max="1027" width="20" style="19" customWidth="1"/>
    <col min="1028" max="1280" width="9.1796875" style="19"/>
    <col min="1281" max="1281" width="11.453125" style="19" customWidth="1"/>
    <col min="1282" max="1282" width="54.81640625" style="19" customWidth="1"/>
    <col min="1283" max="1283" width="20" style="19" customWidth="1"/>
    <col min="1284" max="1536" width="9.1796875" style="19"/>
    <col min="1537" max="1537" width="11.453125" style="19" customWidth="1"/>
    <col min="1538" max="1538" width="54.81640625" style="19" customWidth="1"/>
    <col min="1539" max="1539" width="20" style="19" customWidth="1"/>
    <col min="1540" max="1792" width="9.1796875" style="19"/>
    <col min="1793" max="1793" width="11.453125" style="19" customWidth="1"/>
    <col min="1794" max="1794" width="54.81640625" style="19" customWidth="1"/>
    <col min="1795" max="1795" width="20" style="19" customWidth="1"/>
    <col min="1796" max="2048" width="9.1796875" style="19"/>
    <col min="2049" max="2049" width="11.453125" style="19" customWidth="1"/>
    <col min="2050" max="2050" width="54.81640625" style="19" customWidth="1"/>
    <col min="2051" max="2051" width="20" style="19" customWidth="1"/>
    <col min="2052" max="2304" width="9.1796875" style="19"/>
    <col min="2305" max="2305" width="11.453125" style="19" customWidth="1"/>
    <col min="2306" max="2306" width="54.81640625" style="19" customWidth="1"/>
    <col min="2307" max="2307" width="20" style="19" customWidth="1"/>
    <col min="2308" max="2560" width="9.1796875" style="19"/>
    <col min="2561" max="2561" width="11.453125" style="19" customWidth="1"/>
    <col min="2562" max="2562" width="54.81640625" style="19" customWidth="1"/>
    <col min="2563" max="2563" width="20" style="19" customWidth="1"/>
    <col min="2564" max="2816" width="9.1796875" style="19"/>
    <col min="2817" max="2817" width="11.453125" style="19" customWidth="1"/>
    <col min="2818" max="2818" width="54.81640625" style="19" customWidth="1"/>
    <col min="2819" max="2819" width="20" style="19" customWidth="1"/>
    <col min="2820" max="3072" width="9.1796875" style="19"/>
    <col min="3073" max="3073" width="11.453125" style="19" customWidth="1"/>
    <col min="3074" max="3074" width="54.81640625" style="19" customWidth="1"/>
    <col min="3075" max="3075" width="20" style="19" customWidth="1"/>
    <col min="3076" max="3328" width="9.1796875" style="19"/>
    <col min="3329" max="3329" width="11.453125" style="19" customWidth="1"/>
    <col min="3330" max="3330" width="54.81640625" style="19" customWidth="1"/>
    <col min="3331" max="3331" width="20" style="19" customWidth="1"/>
    <col min="3332" max="3584" width="9.1796875" style="19"/>
    <col min="3585" max="3585" width="11.453125" style="19" customWidth="1"/>
    <col min="3586" max="3586" width="54.81640625" style="19" customWidth="1"/>
    <col min="3587" max="3587" width="20" style="19" customWidth="1"/>
    <col min="3588" max="3840" width="9.1796875" style="19"/>
    <col min="3841" max="3841" width="11.453125" style="19" customWidth="1"/>
    <col min="3842" max="3842" width="54.81640625" style="19" customWidth="1"/>
    <col min="3843" max="3843" width="20" style="19" customWidth="1"/>
    <col min="3844" max="4096" width="9.1796875" style="19"/>
    <col min="4097" max="4097" width="11.453125" style="19" customWidth="1"/>
    <col min="4098" max="4098" width="54.81640625" style="19" customWidth="1"/>
    <col min="4099" max="4099" width="20" style="19" customWidth="1"/>
    <col min="4100" max="4352" width="9.1796875" style="19"/>
    <col min="4353" max="4353" width="11.453125" style="19" customWidth="1"/>
    <col min="4354" max="4354" width="54.81640625" style="19" customWidth="1"/>
    <col min="4355" max="4355" width="20" style="19" customWidth="1"/>
    <col min="4356" max="4608" width="9.1796875" style="19"/>
    <col min="4609" max="4609" width="11.453125" style="19" customWidth="1"/>
    <col min="4610" max="4610" width="54.81640625" style="19" customWidth="1"/>
    <col min="4611" max="4611" width="20" style="19" customWidth="1"/>
    <col min="4612" max="4864" width="9.1796875" style="19"/>
    <col min="4865" max="4865" width="11.453125" style="19" customWidth="1"/>
    <col min="4866" max="4866" width="54.81640625" style="19" customWidth="1"/>
    <col min="4867" max="4867" width="20" style="19" customWidth="1"/>
    <col min="4868" max="5120" width="9.1796875" style="19"/>
    <col min="5121" max="5121" width="11.453125" style="19" customWidth="1"/>
    <col min="5122" max="5122" width="54.81640625" style="19" customWidth="1"/>
    <col min="5123" max="5123" width="20" style="19" customWidth="1"/>
    <col min="5124" max="5376" width="9.1796875" style="19"/>
    <col min="5377" max="5377" width="11.453125" style="19" customWidth="1"/>
    <col min="5378" max="5378" width="54.81640625" style="19" customWidth="1"/>
    <col min="5379" max="5379" width="20" style="19" customWidth="1"/>
    <col min="5380" max="5632" width="9.1796875" style="19"/>
    <col min="5633" max="5633" width="11.453125" style="19" customWidth="1"/>
    <col min="5634" max="5634" width="54.81640625" style="19" customWidth="1"/>
    <col min="5635" max="5635" width="20" style="19" customWidth="1"/>
    <col min="5636" max="5888" width="9.1796875" style="19"/>
    <col min="5889" max="5889" width="11.453125" style="19" customWidth="1"/>
    <col min="5890" max="5890" width="54.81640625" style="19" customWidth="1"/>
    <col min="5891" max="5891" width="20" style="19" customWidth="1"/>
    <col min="5892" max="6144" width="9.1796875" style="19"/>
    <col min="6145" max="6145" width="11.453125" style="19" customWidth="1"/>
    <col min="6146" max="6146" width="54.81640625" style="19" customWidth="1"/>
    <col min="6147" max="6147" width="20" style="19" customWidth="1"/>
    <col min="6148" max="6400" width="9.1796875" style="19"/>
    <col min="6401" max="6401" width="11.453125" style="19" customWidth="1"/>
    <col min="6402" max="6402" width="54.81640625" style="19" customWidth="1"/>
    <col min="6403" max="6403" width="20" style="19" customWidth="1"/>
    <col min="6404" max="6656" width="9.1796875" style="19"/>
    <col min="6657" max="6657" width="11.453125" style="19" customWidth="1"/>
    <col min="6658" max="6658" width="54.81640625" style="19" customWidth="1"/>
    <col min="6659" max="6659" width="20" style="19" customWidth="1"/>
    <col min="6660" max="6912" width="9.1796875" style="19"/>
    <col min="6913" max="6913" width="11.453125" style="19" customWidth="1"/>
    <col min="6914" max="6914" width="54.81640625" style="19" customWidth="1"/>
    <col min="6915" max="6915" width="20" style="19" customWidth="1"/>
    <col min="6916" max="7168" width="9.1796875" style="19"/>
    <col min="7169" max="7169" width="11.453125" style="19" customWidth="1"/>
    <col min="7170" max="7170" width="54.81640625" style="19" customWidth="1"/>
    <col min="7171" max="7171" width="20" style="19" customWidth="1"/>
    <col min="7172" max="7424" width="9.1796875" style="19"/>
    <col min="7425" max="7425" width="11.453125" style="19" customWidth="1"/>
    <col min="7426" max="7426" width="54.81640625" style="19" customWidth="1"/>
    <col min="7427" max="7427" width="20" style="19" customWidth="1"/>
    <col min="7428" max="7680" width="9.1796875" style="19"/>
    <col min="7681" max="7681" width="11.453125" style="19" customWidth="1"/>
    <col min="7682" max="7682" width="54.81640625" style="19" customWidth="1"/>
    <col min="7683" max="7683" width="20" style="19" customWidth="1"/>
    <col min="7684" max="7936" width="9.1796875" style="19"/>
    <col min="7937" max="7937" width="11.453125" style="19" customWidth="1"/>
    <col min="7938" max="7938" width="54.81640625" style="19" customWidth="1"/>
    <col min="7939" max="7939" width="20" style="19" customWidth="1"/>
    <col min="7940" max="8192" width="9.1796875" style="19"/>
    <col min="8193" max="8193" width="11.453125" style="19" customWidth="1"/>
    <col min="8194" max="8194" width="54.81640625" style="19" customWidth="1"/>
    <col min="8195" max="8195" width="20" style="19" customWidth="1"/>
    <col min="8196" max="8448" width="9.1796875" style="19"/>
    <col min="8449" max="8449" width="11.453125" style="19" customWidth="1"/>
    <col min="8450" max="8450" width="54.81640625" style="19" customWidth="1"/>
    <col min="8451" max="8451" width="20" style="19" customWidth="1"/>
    <col min="8452" max="8704" width="9.1796875" style="19"/>
    <col min="8705" max="8705" width="11.453125" style="19" customWidth="1"/>
    <col min="8706" max="8706" width="54.81640625" style="19" customWidth="1"/>
    <col min="8707" max="8707" width="20" style="19" customWidth="1"/>
    <col min="8708" max="8960" width="9.1796875" style="19"/>
    <col min="8961" max="8961" width="11.453125" style="19" customWidth="1"/>
    <col min="8962" max="8962" width="54.81640625" style="19" customWidth="1"/>
    <col min="8963" max="8963" width="20" style="19" customWidth="1"/>
    <col min="8964" max="9216" width="9.1796875" style="19"/>
    <col min="9217" max="9217" width="11.453125" style="19" customWidth="1"/>
    <col min="9218" max="9218" width="54.81640625" style="19" customWidth="1"/>
    <col min="9219" max="9219" width="20" style="19" customWidth="1"/>
    <col min="9220" max="9472" width="9.1796875" style="19"/>
    <col min="9473" max="9473" width="11.453125" style="19" customWidth="1"/>
    <col min="9474" max="9474" width="54.81640625" style="19" customWidth="1"/>
    <col min="9475" max="9475" width="20" style="19" customWidth="1"/>
    <col min="9476" max="9728" width="9.1796875" style="19"/>
    <col min="9729" max="9729" width="11.453125" style="19" customWidth="1"/>
    <col min="9730" max="9730" width="54.81640625" style="19" customWidth="1"/>
    <col min="9731" max="9731" width="20" style="19" customWidth="1"/>
    <col min="9732" max="9984" width="9.1796875" style="19"/>
    <col min="9985" max="9985" width="11.453125" style="19" customWidth="1"/>
    <col min="9986" max="9986" width="54.81640625" style="19" customWidth="1"/>
    <col min="9987" max="9987" width="20" style="19" customWidth="1"/>
    <col min="9988" max="10240" width="9.1796875" style="19"/>
    <col min="10241" max="10241" width="11.453125" style="19" customWidth="1"/>
    <col min="10242" max="10242" width="54.81640625" style="19" customWidth="1"/>
    <col min="10243" max="10243" width="20" style="19" customWidth="1"/>
    <col min="10244" max="10496" width="9.1796875" style="19"/>
    <col min="10497" max="10497" width="11.453125" style="19" customWidth="1"/>
    <col min="10498" max="10498" width="54.81640625" style="19" customWidth="1"/>
    <col min="10499" max="10499" width="20" style="19" customWidth="1"/>
    <col min="10500" max="10752" width="9.1796875" style="19"/>
    <col min="10753" max="10753" width="11.453125" style="19" customWidth="1"/>
    <col min="10754" max="10754" width="54.81640625" style="19" customWidth="1"/>
    <col min="10755" max="10755" width="20" style="19" customWidth="1"/>
    <col min="10756" max="11008" width="9.1796875" style="19"/>
    <col min="11009" max="11009" width="11.453125" style="19" customWidth="1"/>
    <col min="11010" max="11010" width="54.81640625" style="19" customWidth="1"/>
    <col min="11011" max="11011" width="20" style="19" customWidth="1"/>
    <col min="11012" max="11264" width="9.1796875" style="19"/>
    <col min="11265" max="11265" width="11.453125" style="19" customWidth="1"/>
    <col min="11266" max="11266" width="54.81640625" style="19" customWidth="1"/>
    <col min="11267" max="11267" width="20" style="19" customWidth="1"/>
    <col min="11268" max="11520" width="9.1796875" style="19"/>
    <col min="11521" max="11521" width="11.453125" style="19" customWidth="1"/>
    <col min="11522" max="11522" width="54.81640625" style="19" customWidth="1"/>
    <col min="11523" max="11523" width="20" style="19" customWidth="1"/>
    <col min="11524" max="11776" width="9.1796875" style="19"/>
    <col min="11777" max="11777" width="11.453125" style="19" customWidth="1"/>
    <col min="11778" max="11778" width="54.81640625" style="19" customWidth="1"/>
    <col min="11779" max="11779" width="20" style="19" customWidth="1"/>
    <col min="11780" max="12032" width="9.1796875" style="19"/>
    <col min="12033" max="12033" width="11.453125" style="19" customWidth="1"/>
    <col min="12034" max="12034" width="54.81640625" style="19" customWidth="1"/>
    <col min="12035" max="12035" width="20" style="19" customWidth="1"/>
    <col min="12036" max="12288" width="9.1796875" style="19"/>
    <col min="12289" max="12289" width="11.453125" style="19" customWidth="1"/>
    <col min="12290" max="12290" width="54.81640625" style="19" customWidth="1"/>
    <col min="12291" max="12291" width="20" style="19" customWidth="1"/>
    <col min="12292" max="12544" width="9.1796875" style="19"/>
    <col min="12545" max="12545" width="11.453125" style="19" customWidth="1"/>
    <col min="12546" max="12546" width="54.81640625" style="19" customWidth="1"/>
    <col min="12547" max="12547" width="20" style="19" customWidth="1"/>
    <col min="12548" max="12800" width="9.1796875" style="19"/>
    <col min="12801" max="12801" width="11.453125" style="19" customWidth="1"/>
    <col min="12802" max="12802" width="54.81640625" style="19" customWidth="1"/>
    <col min="12803" max="12803" width="20" style="19" customWidth="1"/>
    <col min="12804" max="13056" width="9.1796875" style="19"/>
    <col min="13057" max="13057" width="11.453125" style="19" customWidth="1"/>
    <col min="13058" max="13058" width="54.81640625" style="19" customWidth="1"/>
    <col min="13059" max="13059" width="20" style="19" customWidth="1"/>
    <col min="13060" max="13312" width="9.1796875" style="19"/>
    <col min="13313" max="13313" width="11.453125" style="19" customWidth="1"/>
    <col min="13314" max="13314" width="54.81640625" style="19" customWidth="1"/>
    <col min="13315" max="13315" width="20" style="19" customWidth="1"/>
    <col min="13316" max="13568" width="9.1796875" style="19"/>
    <col min="13569" max="13569" width="11.453125" style="19" customWidth="1"/>
    <col min="13570" max="13570" width="54.81640625" style="19" customWidth="1"/>
    <col min="13571" max="13571" width="20" style="19" customWidth="1"/>
    <col min="13572" max="13824" width="9.1796875" style="19"/>
    <col min="13825" max="13825" width="11.453125" style="19" customWidth="1"/>
    <col min="13826" max="13826" width="54.81640625" style="19" customWidth="1"/>
    <col min="13827" max="13827" width="20" style="19" customWidth="1"/>
    <col min="13828" max="14080" width="9.1796875" style="19"/>
    <col min="14081" max="14081" width="11.453125" style="19" customWidth="1"/>
    <col min="14082" max="14082" width="54.81640625" style="19" customWidth="1"/>
    <col min="14083" max="14083" width="20" style="19" customWidth="1"/>
    <col min="14084" max="14336" width="9.1796875" style="19"/>
    <col min="14337" max="14337" width="11.453125" style="19" customWidth="1"/>
    <col min="14338" max="14338" width="54.81640625" style="19" customWidth="1"/>
    <col min="14339" max="14339" width="20" style="19" customWidth="1"/>
    <col min="14340" max="14592" width="9.1796875" style="19"/>
    <col min="14593" max="14593" width="11.453125" style="19" customWidth="1"/>
    <col min="14594" max="14594" width="54.81640625" style="19" customWidth="1"/>
    <col min="14595" max="14595" width="20" style="19" customWidth="1"/>
    <col min="14596" max="14848" width="9.1796875" style="19"/>
    <col min="14849" max="14849" width="11.453125" style="19" customWidth="1"/>
    <col min="14850" max="14850" width="54.81640625" style="19" customWidth="1"/>
    <col min="14851" max="14851" width="20" style="19" customWidth="1"/>
    <col min="14852" max="15104" width="9.1796875" style="19"/>
    <col min="15105" max="15105" width="11.453125" style="19" customWidth="1"/>
    <col min="15106" max="15106" width="54.81640625" style="19" customWidth="1"/>
    <col min="15107" max="15107" width="20" style="19" customWidth="1"/>
    <col min="15108" max="15360" width="9.1796875" style="19"/>
    <col min="15361" max="15361" width="11.453125" style="19" customWidth="1"/>
    <col min="15362" max="15362" width="54.81640625" style="19" customWidth="1"/>
    <col min="15363" max="15363" width="20" style="19" customWidth="1"/>
    <col min="15364" max="15616" width="9.1796875" style="19"/>
    <col min="15617" max="15617" width="11.453125" style="19" customWidth="1"/>
    <col min="15618" max="15618" width="54.81640625" style="19" customWidth="1"/>
    <col min="15619" max="15619" width="20" style="19" customWidth="1"/>
    <col min="15620" max="15872" width="9.1796875" style="19"/>
    <col min="15873" max="15873" width="11.453125" style="19" customWidth="1"/>
    <col min="15874" max="15874" width="54.81640625" style="19" customWidth="1"/>
    <col min="15875" max="15875" width="20" style="19" customWidth="1"/>
    <col min="15876" max="16128" width="9.1796875" style="19"/>
    <col min="16129" max="16129" width="11.453125" style="19" customWidth="1"/>
    <col min="16130" max="16130" width="54.81640625" style="19" customWidth="1"/>
    <col min="16131" max="16131" width="20" style="19" customWidth="1"/>
    <col min="16132" max="16384" width="9.1796875" style="19"/>
  </cols>
  <sheetData>
    <row r="1" spans="1:5" ht="39" customHeight="1" x14ac:dyDescent="0.35">
      <c r="A1" s="539" t="s">
        <v>739</v>
      </c>
      <c r="B1" s="539"/>
      <c r="C1" s="539"/>
    </row>
    <row r="2" spans="1:5" x14ac:dyDescent="0.35">
      <c r="A2" s="603" t="s">
        <v>740</v>
      </c>
      <c r="B2" s="604"/>
      <c r="C2" s="605"/>
    </row>
    <row r="3" spans="1:5" x14ac:dyDescent="0.35">
      <c r="A3" s="245" t="s">
        <v>684</v>
      </c>
      <c r="B3" s="246" t="s">
        <v>741</v>
      </c>
      <c r="C3" s="247" t="s">
        <v>185</v>
      </c>
    </row>
    <row r="4" spans="1:5" x14ac:dyDescent="0.35">
      <c r="A4" s="248" t="s">
        <v>686</v>
      </c>
      <c r="B4" s="249" t="s">
        <v>742</v>
      </c>
      <c r="C4" s="250">
        <v>0.04</v>
      </c>
    </row>
    <row r="5" spans="1:5" x14ac:dyDescent="0.35">
      <c r="A5" s="248" t="s">
        <v>688</v>
      </c>
      <c r="B5" s="249" t="s">
        <v>743</v>
      </c>
      <c r="C5" s="250">
        <v>8.0000000000000002E-3</v>
      </c>
    </row>
    <row r="6" spans="1:5" x14ac:dyDescent="0.35">
      <c r="A6" s="251" t="s">
        <v>744</v>
      </c>
      <c r="B6" s="252" t="s">
        <v>745</v>
      </c>
      <c r="C6" s="253">
        <v>1.2699999999999999E-2</v>
      </c>
    </row>
    <row r="7" spans="1:5" x14ac:dyDescent="0.35">
      <c r="A7" s="254"/>
      <c r="B7" s="255" t="s">
        <v>746</v>
      </c>
      <c r="C7" s="256">
        <f>SUM(C4:C6)</f>
        <v>6.0700000000000004E-2</v>
      </c>
    </row>
    <row r="8" spans="1:5" x14ac:dyDescent="0.35">
      <c r="A8" s="257"/>
      <c r="B8" s="258"/>
      <c r="C8" s="259"/>
    </row>
    <row r="9" spans="1:5" x14ac:dyDescent="0.35">
      <c r="A9" s="245" t="s">
        <v>690</v>
      </c>
      <c r="B9" s="246" t="s">
        <v>747</v>
      </c>
      <c r="C9" s="247" t="s">
        <v>185</v>
      </c>
      <c r="E9" s="260"/>
    </row>
    <row r="10" spans="1:5" x14ac:dyDescent="0.35">
      <c r="A10" s="261" t="s">
        <v>692</v>
      </c>
      <c r="B10" s="252" t="s">
        <v>748</v>
      </c>
      <c r="C10" s="253">
        <v>7.3999999999999996E-2</v>
      </c>
    </row>
    <row r="11" spans="1:5" x14ac:dyDescent="0.35">
      <c r="A11" s="262"/>
      <c r="B11" s="263" t="s">
        <v>749</v>
      </c>
      <c r="C11" s="256">
        <f>SUM(C10)</f>
        <v>7.3999999999999996E-2</v>
      </c>
    </row>
    <row r="12" spans="1:5" x14ac:dyDescent="0.35">
      <c r="A12" s="257"/>
      <c r="B12" s="258"/>
      <c r="C12" s="259"/>
    </row>
    <row r="13" spans="1:5" x14ac:dyDescent="0.35">
      <c r="A13" s="245" t="s">
        <v>705</v>
      </c>
      <c r="B13" s="246" t="s">
        <v>750</v>
      </c>
      <c r="C13" s="247" t="s">
        <v>185</v>
      </c>
    </row>
    <row r="14" spans="1:5" x14ac:dyDescent="0.35">
      <c r="A14" s="248" t="s">
        <v>751</v>
      </c>
      <c r="B14" s="264" t="s">
        <v>752</v>
      </c>
      <c r="C14" s="265">
        <v>6.4999999999999997E-3</v>
      </c>
    </row>
    <row r="15" spans="1:5" x14ac:dyDescent="0.35">
      <c r="A15" s="248" t="s">
        <v>753</v>
      </c>
      <c r="B15" s="264" t="s">
        <v>754</v>
      </c>
      <c r="C15" s="265">
        <v>0.03</v>
      </c>
    </row>
    <row r="16" spans="1:5" x14ac:dyDescent="0.35">
      <c r="A16" s="248" t="s">
        <v>755</v>
      </c>
      <c r="B16" s="266" t="s">
        <v>951</v>
      </c>
      <c r="C16" s="265">
        <v>0.05</v>
      </c>
    </row>
    <row r="17" spans="1:5" x14ac:dyDescent="0.35">
      <c r="A17" s="251" t="s">
        <v>756</v>
      </c>
      <c r="B17" s="267" t="s">
        <v>1073</v>
      </c>
      <c r="C17" s="268"/>
    </row>
    <row r="18" spans="1:5" x14ac:dyDescent="0.35">
      <c r="A18" s="269"/>
      <c r="B18" s="263" t="s">
        <v>757</v>
      </c>
      <c r="C18" s="256">
        <f>SUM(C14:C17)</f>
        <v>8.6499999999999994E-2</v>
      </c>
    </row>
    <row r="19" spans="1:5" x14ac:dyDescent="0.35">
      <c r="A19" s="270"/>
      <c r="B19" s="257"/>
      <c r="C19" s="271"/>
    </row>
    <row r="20" spans="1:5" x14ac:dyDescent="0.35">
      <c r="A20" s="245" t="s">
        <v>706</v>
      </c>
      <c r="B20" s="246" t="s">
        <v>758</v>
      </c>
      <c r="C20" s="247" t="s">
        <v>185</v>
      </c>
    </row>
    <row r="21" spans="1:5" x14ac:dyDescent="0.35">
      <c r="A21" s="261"/>
      <c r="B21" s="272" t="s">
        <v>759</v>
      </c>
      <c r="C21" s="273">
        <v>1.23E-2</v>
      </c>
    </row>
    <row r="22" spans="1:5" x14ac:dyDescent="0.35">
      <c r="A22" s="254"/>
      <c r="B22" s="263" t="s">
        <v>760</v>
      </c>
      <c r="C22" s="256">
        <f>C21</f>
        <v>1.23E-2</v>
      </c>
      <c r="E22" s="274" t="s">
        <v>164</v>
      </c>
    </row>
    <row r="23" spans="1:5" x14ac:dyDescent="0.35">
      <c r="A23" s="606" t="s">
        <v>211</v>
      </c>
      <c r="B23" s="607"/>
      <c r="C23" s="275">
        <f>((1+(C4+C5+C6))*(1+C22)*(1+C11))/(1-C18)-1</f>
        <v>0.26240159730706081</v>
      </c>
    </row>
    <row r="24" spans="1:5" x14ac:dyDescent="0.35">
      <c r="A24" s="276"/>
      <c r="B24" s="277"/>
      <c r="C24" s="278"/>
    </row>
    <row r="25" spans="1:5" x14ac:dyDescent="0.35">
      <c r="A25" s="608" t="s">
        <v>155</v>
      </c>
      <c r="B25" s="609"/>
      <c r="C25" s="610"/>
    </row>
    <row r="26" spans="1:5" ht="78" customHeight="1" x14ac:dyDescent="0.35">
      <c r="A26" s="600" t="s">
        <v>1077</v>
      </c>
      <c r="B26" s="601"/>
      <c r="C26" s="602"/>
    </row>
    <row r="27" spans="1:5" ht="42" customHeight="1" x14ac:dyDescent="0.35">
      <c r="A27" s="600" t="s">
        <v>1078</v>
      </c>
      <c r="B27" s="601"/>
      <c r="C27" s="602"/>
    </row>
    <row r="28" spans="1:5" ht="33.75" customHeight="1" x14ac:dyDescent="0.35">
      <c r="A28" s="600"/>
      <c r="B28" s="601"/>
      <c r="C28" s="602"/>
    </row>
    <row r="29" spans="1:5" ht="17" x14ac:dyDescent="0.4">
      <c r="C29" s="279"/>
    </row>
  </sheetData>
  <mergeCells count="7">
    <mergeCell ref="A26:C26"/>
    <mergeCell ref="A27:C27"/>
    <mergeCell ref="A28:C28"/>
    <mergeCell ref="A1:C1"/>
    <mergeCell ref="A2:C2"/>
    <mergeCell ref="A23:B23"/>
    <mergeCell ref="A25:C25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headerFooter>
    <oddHeader>&amp;C27</oddHeader>
    <oddFooter>&amp;C27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0"/>
  <sheetViews>
    <sheetView zoomScaleNormal="100" workbookViewId="0">
      <pane ySplit="2" topLeftCell="A276" activePane="bottomLeft" state="frozen"/>
      <selection pane="bottomLeft" activeCell="F3" sqref="F3"/>
    </sheetView>
  </sheetViews>
  <sheetFormatPr defaultColWidth="9.1796875" defaultRowHeight="14.5" x14ac:dyDescent="0.35"/>
  <cols>
    <col min="1" max="1" width="7" style="46" customWidth="1"/>
    <col min="2" max="2" width="33.54296875" style="19" customWidth="1"/>
    <col min="3" max="3" width="7" style="46" bestFit="1" customWidth="1"/>
    <col min="4" max="4" width="6.7265625" style="19" bestFit="1" customWidth="1"/>
    <col min="5" max="5" width="10.26953125" style="412" bestFit="1" customWidth="1"/>
    <col min="6" max="6" width="17.26953125" style="19" bestFit="1" customWidth="1"/>
    <col min="7" max="7" width="19.453125" style="19" bestFit="1" customWidth="1"/>
    <col min="8" max="9" width="9.1796875" style="19"/>
    <col min="10" max="10" width="12.1796875" style="19" bestFit="1" customWidth="1"/>
    <col min="11" max="16384" width="9.1796875" style="19"/>
  </cols>
  <sheetData>
    <row r="1" spans="1:8" ht="48" customHeight="1" x14ac:dyDescent="0.35">
      <c r="A1" s="210" t="s">
        <v>1082</v>
      </c>
      <c r="B1" s="210"/>
      <c r="C1" s="409"/>
      <c r="D1" s="210"/>
      <c r="E1" s="409"/>
    </row>
    <row r="2" spans="1:8" x14ac:dyDescent="0.35">
      <c r="A2" s="280" t="s">
        <v>809</v>
      </c>
      <c r="B2" s="280" t="s">
        <v>9</v>
      </c>
      <c r="C2" s="280" t="s">
        <v>225</v>
      </c>
      <c r="D2" s="280" t="s">
        <v>810</v>
      </c>
      <c r="E2" s="281" t="s">
        <v>811</v>
      </c>
      <c r="F2" s="406" t="s">
        <v>1151</v>
      </c>
      <c r="G2" s="283" t="s">
        <v>18</v>
      </c>
    </row>
    <row r="3" spans="1:8" x14ac:dyDescent="0.35">
      <c r="A3" s="283">
        <v>1</v>
      </c>
      <c r="B3" s="282" t="s">
        <v>812</v>
      </c>
      <c r="C3" s="283"/>
      <c r="D3" s="283"/>
      <c r="E3" s="284"/>
      <c r="F3" s="283"/>
      <c r="G3" s="283"/>
    </row>
    <row r="4" spans="1:8" x14ac:dyDescent="0.35">
      <c r="A4" s="295" t="s">
        <v>226</v>
      </c>
      <c r="B4" s="220" t="s">
        <v>227</v>
      </c>
      <c r="C4" s="432" t="s">
        <v>1</v>
      </c>
      <c r="D4" s="220"/>
      <c r="E4" s="410">
        <v>1</v>
      </c>
      <c r="F4" s="407">
        <v>23.596666666666668</v>
      </c>
      <c r="G4" s="414">
        <f>F4*E4</f>
        <v>23.596666666666668</v>
      </c>
      <c r="H4" s="415"/>
    </row>
    <row r="5" spans="1:8" x14ac:dyDescent="0.35">
      <c r="A5" s="295" t="s">
        <v>228</v>
      </c>
      <c r="B5" s="220" t="s">
        <v>230</v>
      </c>
      <c r="C5" s="432" t="s">
        <v>215</v>
      </c>
      <c r="D5" s="220" t="s">
        <v>813</v>
      </c>
      <c r="E5" s="410">
        <f>100/4</f>
        <v>25</v>
      </c>
      <c r="F5" s="407">
        <v>210.28</v>
      </c>
      <c r="G5" s="414">
        <f>F5*E5</f>
        <v>5257</v>
      </c>
    </row>
    <row r="6" spans="1:8" x14ac:dyDescent="0.35">
      <c r="A6" s="295" t="s">
        <v>229</v>
      </c>
      <c r="B6" s="220" t="s">
        <v>232</v>
      </c>
      <c r="C6" s="295" t="s">
        <v>1</v>
      </c>
      <c r="D6" s="220"/>
      <c r="E6" s="410">
        <v>2</v>
      </c>
      <c r="F6" s="407">
        <v>33.9</v>
      </c>
      <c r="G6" s="414">
        <f>F6*E6</f>
        <v>67.8</v>
      </c>
    </row>
    <row r="7" spans="1:8" x14ac:dyDescent="0.35">
      <c r="A7" s="295" t="s">
        <v>231</v>
      </c>
      <c r="B7" s="220" t="s">
        <v>237</v>
      </c>
      <c r="C7" s="295" t="s">
        <v>1</v>
      </c>
      <c r="D7" s="220"/>
      <c r="E7" s="410">
        <v>1</v>
      </c>
      <c r="F7" s="407">
        <v>40.860000000000007</v>
      </c>
      <c r="G7" s="414">
        <f>F7*E7</f>
        <v>40.860000000000007</v>
      </c>
    </row>
    <row r="8" spans="1:8" x14ac:dyDescent="0.35">
      <c r="A8" s="295" t="s">
        <v>233</v>
      </c>
      <c r="B8" s="220" t="s">
        <v>808</v>
      </c>
      <c r="C8" s="432" t="s">
        <v>0</v>
      </c>
      <c r="D8" s="220" t="s">
        <v>239</v>
      </c>
      <c r="E8" s="410">
        <v>10</v>
      </c>
      <c r="F8" s="407">
        <v>67.63333333333334</v>
      </c>
      <c r="G8" s="414">
        <f>F8*E8</f>
        <v>676.33333333333337</v>
      </c>
    </row>
    <row r="9" spans="1:8" x14ac:dyDescent="0.35">
      <c r="A9" s="295" t="s">
        <v>234</v>
      </c>
      <c r="B9" s="220" t="s">
        <v>893</v>
      </c>
      <c r="C9" s="432" t="s">
        <v>0</v>
      </c>
      <c r="D9" s="220"/>
      <c r="E9" s="410">
        <v>2</v>
      </c>
      <c r="F9" s="407">
        <v>18.52</v>
      </c>
      <c r="G9" s="414">
        <f>F9*E9</f>
        <v>37.04</v>
      </c>
    </row>
    <row r="10" spans="1:8" x14ac:dyDescent="0.35">
      <c r="A10" s="295" t="s">
        <v>235</v>
      </c>
      <c r="B10" s="220" t="s">
        <v>242</v>
      </c>
      <c r="C10" s="432" t="s">
        <v>225</v>
      </c>
      <c r="D10" s="220"/>
      <c r="E10" s="410">
        <v>2</v>
      </c>
      <c r="F10" s="407">
        <v>16.716666666666665</v>
      </c>
      <c r="G10" s="414">
        <f>F10*E10</f>
        <v>33.43333333333333</v>
      </c>
    </row>
    <row r="11" spans="1:8" x14ac:dyDescent="0.35">
      <c r="A11" s="295" t="s">
        <v>236</v>
      </c>
      <c r="B11" s="220" t="s">
        <v>954</v>
      </c>
      <c r="C11" s="432" t="s">
        <v>225</v>
      </c>
      <c r="D11" s="220"/>
      <c r="E11" s="410">
        <v>2</v>
      </c>
      <c r="F11" s="407">
        <v>10.486666666666666</v>
      </c>
      <c r="G11" s="414">
        <f>F11*E11</f>
        <v>20.973333333333333</v>
      </c>
    </row>
    <row r="12" spans="1:8" x14ac:dyDescent="0.35">
      <c r="A12" s="295" t="s">
        <v>238</v>
      </c>
      <c r="B12" s="220" t="s">
        <v>245</v>
      </c>
      <c r="C12" s="432" t="s">
        <v>225</v>
      </c>
      <c r="D12" s="220"/>
      <c r="E12" s="410">
        <v>2</v>
      </c>
      <c r="F12" s="407">
        <v>19</v>
      </c>
      <c r="G12" s="414">
        <f>F12*E12</f>
        <v>38</v>
      </c>
    </row>
    <row r="13" spans="1:8" x14ac:dyDescent="0.35">
      <c r="A13" s="283">
        <v>2</v>
      </c>
      <c r="B13" s="286" t="s">
        <v>247</v>
      </c>
      <c r="C13" s="413"/>
      <c r="D13" s="287"/>
      <c r="E13" s="411"/>
      <c r="F13" s="416"/>
      <c r="G13" s="417"/>
    </row>
    <row r="14" spans="1:8" x14ac:dyDescent="0.35">
      <c r="A14" s="295" t="s">
        <v>248</v>
      </c>
      <c r="B14" s="220" t="s">
        <v>249</v>
      </c>
      <c r="C14" s="432" t="s">
        <v>225</v>
      </c>
      <c r="D14" s="220" t="s">
        <v>226</v>
      </c>
      <c r="E14" s="410">
        <v>1</v>
      </c>
      <c r="F14" s="407">
        <v>0.05</v>
      </c>
      <c r="G14" s="414">
        <f>F14*E14</f>
        <v>0.05</v>
      </c>
    </row>
    <row r="15" spans="1:8" x14ac:dyDescent="0.35">
      <c r="A15" s="295" t="s">
        <v>250</v>
      </c>
      <c r="B15" s="220" t="s">
        <v>251</v>
      </c>
      <c r="C15" s="432" t="s">
        <v>225</v>
      </c>
      <c r="D15" s="220" t="s">
        <v>228</v>
      </c>
      <c r="E15" s="410">
        <v>1</v>
      </c>
      <c r="F15" s="407">
        <v>0.17</v>
      </c>
      <c r="G15" s="414">
        <f>F15*E15</f>
        <v>0.17</v>
      </c>
    </row>
    <row r="16" spans="1:8" x14ac:dyDescent="0.35">
      <c r="A16" s="295" t="s">
        <v>252</v>
      </c>
      <c r="B16" s="220" t="s">
        <v>253</v>
      </c>
      <c r="C16" s="432" t="s">
        <v>225</v>
      </c>
      <c r="D16" s="220"/>
      <c r="E16" s="410">
        <v>1</v>
      </c>
      <c r="F16" s="407">
        <v>0.84</v>
      </c>
      <c r="G16" s="414">
        <f>F16*E16</f>
        <v>0.84</v>
      </c>
    </row>
    <row r="17" spans="1:7" x14ac:dyDescent="0.35">
      <c r="A17" s="295" t="s">
        <v>254</v>
      </c>
      <c r="B17" s="220" t="s">
        <v>255</v>
      </c>
      <c r="C17" s="432" t="s">
        <v>225</v>
      </c>
      <c r="D17" s="220"/>
      <c r="E17" s="410">
        <v>1</v>
      </c>
      <c r="F17" s="407">
        <v>1.43</v>
      </c>
      <c r="G17" s="414">
        <f>F17*E17</f>
        <v>1.43</v>
      </c>
    </row>
    <row r="18" spans="1:7" x14ac:dyDescent="0.35">
      <c r="A18" s="295" t="s">
        <v>256</v>
      </c>
      <c r="B18" s="220" t="s">
        <v>257</v>
      </c>
      <c r="C18" s="432" t="s">
        <v>1</v>
      </c>
      <c r="D18" s="220"/>
      <c r="E18" s="410">
        <v>1</v>
      </c>
      <c r="F18" s="407">
        <v>1.8</v>
      </c>
      <c r="G18" s="414">
        <f>F18*E18</f>
        <v>1.8</v>
      </c>
    </row>
    <row r="19" spans="1:7" x14ac:dyDescent="0.35">
      <c r="A19" s="295" t="s">
        <v>258</v>
      </c>
      <c r="B19" s="220" t="s">
        <v>259</v>
      </c>
      <c r="C19" s="432" t="s">
        <v>225</v>
      </c>
      <c r="D19" s="220"/>
      <c r="E19" s="410">
        <v>1</v>
      </c>
      <c r="F19" s="407">
        <v>1.34</v>
      </c>
      <c r="G19" s="414">
        <f>F19*E19</f>
        <v>1.34</v>
      </c>
    </row>
    <row r="20" spans="1:7" x14ac:dyDescent="0.35">
      <c r="A20" s="295" t="s">
        <v>260</v>
      </c>
      <c r="B20" s="220" t="s">
        <v>261</v>
      </c>
      <c r="C20" s="432" t="s">
        <v>225</v>
      </c>
      <c r="D20" s="220"/>
      <c r="E20" s="410">
        <v>5</v>
      </c>
      <c r="F20" s="407">
        <v>1.3</v>
      </c>
      <c r="G20" s="414">
        <f>F20*E20</f>
        <v>6.5</v>
      </c>
    </row>
    <row r="21" spans="1:7" x14ac:dyDescent="0.35">
      <c r="A21" s="295" t="s">
        <v>1083</v>
      </c>
      <c r="B21" s="220" t="s">
        <v>265</v>
      </c>
      <c r="C21" s="432" t="s">
        <v>225</v>
      </c>
      <c r="D21" s="220" t="s">
        <v>231</v>
      </c>
      <c r="E21" s="410">
        <f>3/2</f>
        <v>1.5</v>
      </c>
      <c r="F21" s="407">
        <v>5.4</v>
      </c>
      <c r="G21" s="414">
        <f>F21*E21</f>
        <v>8.1000000000000014</v>
      </c>
    </row>
    <row r="22" spans="1:7" x14ac:dyDescent="0.35">
      <c r="A22" s="295" t="s">
        <v>262</v>
      </c>
      <c r="B22" s="220" t="s">
        <v>267</v>
      </c>
      <c r="C22" s="432" t="s">
        <v>225</v>
      </c>
      <c r="D22" s="220"/>
      <c r="E22" s="410">
        <v>5</v>
      </c>
      <c r="F22" s="407">
        <v>6.19</v>
      </c>
      <c r="G22" s="414">
        <f>F22*E22</f>
        <v>30.950000000000003</v>
      </c>
    </row>
    <row r="23" spans="1:7" x14ac:dyDescent="0.35">
      <c r="A23" s="295" t="s">
        <v>263</v>
      </c>
      <c r="B23" s="220" t="s">
        <v>269</v>
      </c>
      <c r="C23" s="432" t="s">
        <v>20</v>
      </c>
      <c r="D23" s="220" t="s">
        <v>814</v>
      </c>
      <c r="E23" s="410">
        <v>1</v>
      </c>
      <c r="F23" s="407">
        <v>21.28</v>
      </c>
      <c r="G23" s="414">
        <f>F23*E23</f>
        <v>21.28</v>
      </c>
    </row>
    <row r="24" spans="1:7" x14ac:dyDescent="0.35">
      <c r="A24" s="295" t="s">
        <v>264</v>
      </c>
      <c r="B24" s="220" t="s">
        <v>271</v>
      </c>
      <c r="C24" s="432" t="s">
        <v>225</v>
      </c>
      <c r="D24" s="220" t="s">
        <v>815</v>
      </c>
      <c r="E24" s="410">
        <v>2</v>
      </c>
      <c r="F24" s="407">
        <v>6.1</v>
      </c>
      <c r="G24" s="414">
        <f>F24*E24</f>
        <v>12.2</v>
      </c>
    </row>
    <row r="25" spans="1:7" x14ac:dyDescent="0.35">
      <c r="A25" s="295" t="s">
        <v>266</v>
      </c>
      <c r="B25" s="220" t="s">
        <v>273</v>
      </c>
      <c r="C25" s="432" t="s">
        <v>7</v>
      </c>
      <c r="D25" s="220"/>
      <c r="E25" s="410">
        <f>0.15/2</f>
        <v>7.4999999999999997E-2</v>
      </c>
      <c r="F25" s="407">
        <v>87.5</v>
      </c>
      <c r="G25" s="414">
        <f>F25*E25</f>
        <v>6.5625</v>
      </c>
    </row>
    <row r="26" spans="1:7" x14ac:dyDescent="0.35">
      <c r="A26" s="295" t="s">
        <v>268</v>
      </c>
      <c r="B26" s="220" t="s">
        <v>275</v>
      </c>
      <c r="C26" s="432" t="s">
        <v>109</v>
      </c>
      <c r="D26" s="220" t="s">
        <v>816</v>
      </c>
      <c r="E26" s="410">
        <f>2.5/2</f>
        <v>1.25</v>
      </c>
      <c r="F26" s="407">
        <v>0.7</v>
      </c>
      <c r="G26" s="414">
        <f>F26*E26</f>
        <v>0.875</v>
      </c>
    </row>
    <row r="27" spans="1:7" x14ac:dyDescent="0.35">
      <c r="A27" s="295" t="s">
        <v>270</v>
      </c>
      <c r="B27" s="220" t="s">
        <v>277</v>
      </c>
      <c r="C27" s="432" t="s">
        <v>108</v>
      </c>
      <c r="D27" s="220" t="s">
        <v>817</v>
      </c>
      <c r="E27" s="410">
        <v>20</v>
      </c>
      <c r="F27" s="407">
        <v>69.61666666666666</v>
      </c>
      <c r="G27" s="414">
        <f>F27*E27</f>
        <v>1392.3333333333333</v>
      </c>
    </row>
    <row r="28" spans="1:7" x14ac:dyDescent="0.35">
      <c r="A28" s="295" t="s">
        <v>272</v>
      </c>
      <c r="B28" s="220" t="s">
        <v>895</v>
      </c>
      <c r="C28" s="432" t="s">
        <v>225</v>
      </c>
      <c r="D28" s="220"/>
      <c r="E28" s="410">
        <v>2</v>
      </c>
      <c r="F28" s="407">
        <v>24.540000000000003</v>
      </c>
      <c r="G28" s="414">
        <f>F28*E28</f>
        <v>49.080000000000005</v>
      </c>
    </row>
    <row r="29" spans="1:7" x14ac:dyDescent="0.35">
      <c r="A29" s="295" t="s">
        <v>274</v>
      </c>
      <c r="B29" s="220" t="s">
        <v>279</v>
      </c>
      <c r="C29" s="432" t="s">
        <v>225</v>
      </c>
      <c r="D29" s="220"/>
      <c r="E29" s="410">
        <v>3</v>
      </c>
      <c r="F29" s="407">
        <v>0.63</v>
      </c>
      <c r="G29" s="414">
        <f>F29*E29</f>
        <v>1.8900000000000001</v>
      </c>
    </row>
    <row r="30" spans="1:7" x14ac:dyDescent="0.35">
      <c r="A30" s="295" t="s">
        <v>276</v>
      </c>
      <c r="B30" s="220" t="s">
        <v>281</v>
      </c>
      <c r="C30" s="432" t="s">
        <v>1</v>
      </c>
      <c r="D30" s="220"/>
      <c r="E30" s="410">
        <v>3</v>
      </c>
      <c r="F30" s="407">
        <v>550</v>
      </c>
      <c r="G30" s="414">
        <f>F30*E30</f>
        <v>1650</v>
      </c>
    </row>
    <row r="31" spans="1:7" x14ac:dyDescent="0.35">
      <c r="A31" s="295" t="s">
        <v>278</v>
      </c>
      <c r="B31" s="220" t="s">
        <v>283</v>
      </c>
      <c r="C31" s="432" t="s">
        <v>1</v>
      </c>
      <c r="D31" s="220"/>
      <c r="E31" s="410">
        <v>2</v>
      </c>
      <c r="F31" s="407">
        <v>2.98</v>
      </c>
      <c r="G31" s="414">
        <f>F31*E31</f>
        <v>5.96</v>
      </c>
    </row>
    <row r="32" spans="1:7" x14ac:dyDescent="0.35">
      <c r="A32" s="295" t="s">
        <v>280</v>
      </c>
      <c r="B32" s="220" t="s">
        <v>285</v>
      </c>
      <c r="C32" s="432" t="s">
        <v>1</v>
      </c>
      <c r="D32" s="220"/>
      <c r="E32" s="410">
        <v>2</v>
      </c>
      <c r="F32" s="407">
        <v>0.62</v>
      </c>
      <c r="G32" s="414">
        <f>F32*E32</f>
        <v>1.24</v>
      </c>
    </row>
    <row r="33" spans="1:7" x14ac:dyDescent="0.35">
      <c r="A33" s="295" t="s">
        <v>282</v>
      </c>
      <c r="B33" s="220" t="s">
        <v>287</v>
      </c>
      <c r="C33" s="432" t="s">
        <v>1</v>
      </c>
      <c r="D33" s="220"/>
      <c r="E33" s="410">
        <v>2</v>
      </c>
      <c r="F33" s="407">
        <v>1.68</v>
      </c>
      <c r="G33" s="414">
        <f>F33*E33</f>
        <v>3.36</v>
      </c>
    </row>
    <row r="34" spans="1:7" x14ac:dyDescent="0.35">
      <c r="A34" s="295" t="s">
        <v>284</v>
      </c>
      <c r="B34" s="220" t="s">
        <v>289</v>
      </c>
      <c r="C34" s="432" t="s">
        <v>1</v>
      </c>
      <c r="D34" s="220"/>
      <c r="E34" s="410">
        <v>2</v>
      </c>
      <c r="F34" s="407">
        <v>0.17</v>
      </c>
      <c r="G34" s="414">
        <f>F34*E34</f>
        <v>0.34</v>
      </c>
    </row>
    <row r="35" spans="1:7" x14ac:dyDescent="0.35">
      <c r="A35" s="295" t="s">
        <v>286</v>
      </c>
      <c r="B35" s="220" t="s">
        <v>291</v>
      </c>
      <c r="C35" s="432" t="s">
        <v>225</v>
      </c>
      <c r="D35" s="220"/>
      <c r="E35" s="410">
        <v>2</v>
      </c>
      <c r="F35" s="407">
        <v>0.35</v>
      </c>
      <c r="G35" s="414">
        <f>F35*E35</f>
        <v>0.7</v>
      </c>
    </row>
    <row r="36" spans="1:7" x14ac:dyDescent="0.35">
      <c r="A36" s="295" t="s">
        <v>288</v>
      </c>
      <c r="B36" s="220" t="s">
        <v>293</v>
      </c>
      <c r="C36" s="432" t="s">
        <v>225</v>
      </c>
      <c r="D36" s="220" t="s">
        <v>818</v>
      </c>
      <c r="E36" s="410">
        <v>2</v>
      </c>
      <c r="F36" s="407">
        <v>0.33</v>
      </c>
      <c r="G36" s="414">
        <f>F36*E36</f>
        <v>0.66</v>
      </c>
    </row>
    <row r="37" spans="1:7" x14ac:dyDescent="0.35">
      <c r="A37" s="295" t="s">
        <v>290</v>
      </c>
      <c r="B37" s="220" t="s">
        <v>295</v>
      </c>
      <c r="C37" s="432" t="s">
        <v>225</v>
      </c>
      <c r="D37" s="220" t="s">
        <v>819</v>
      </c>
      <c r="E37" s="410">
        <v>2</v>
      </c>
      <c r="F37" s="407">
        <v>0.71</v>
      </c>
      <c r="G37" s="414">
        <f>F37*E37</f>
        <v>1.42</v>
      </c>
    </row>
    <row r="38" spans="1:7" x14ac:dyDescent="0.35">
      <c r="A38" s="295" t="s">
        <v>292</v>
      </c>
      <c r="B38" s="220" t="s">
        <v>297</v>
      </c>
      <c r="C38" s="432" t="s">
        <v>225</v>
      </c>
      <c r="D38" s="220" t="s">
        <v>250</v>
      </c>
      <c r="E38" s="410">
        <v>1</v>
      </c>
      <c r="F38" s="407">
        <v>15.99</v>
      </c>
      <c r="G38" s="414">
        <f>F38*E38</f>
        <v>15.99</v>
      </c>
    </row>
    <row r="39" spans="1:7" s="20" customFormat="1" ht="43.5" x14ac:dyDescent="0.35">
      <c r="A39" s="295" t="s">
        <v>294</v>
      </c>
      <c r="B39" s="288" t="s">
        <v>299</v>
      </c>
      <c r="C39" s="420" t="s">
        <v>225</v>
      </c>
      <c r="D39" s="422"/>
      <c r="E39" s="423">
        <v>1</v>
      </c>
      <c r="F39" s="424">
        <v>23.8</v>
      </c>
      <c r="G39" s="425">
        <f>F39*E39</f>
        <v>23.8</v>
      </c>
    </row>
    <row r="40" spans="1:7" x14ac:dyDescent="0.35">
      <c r="A40" s="295" t="s">
        <v>296</v>
      </c>
      <c r="B40" s="220" t="s">
        <v>301</v>
      </c>
      <c r="C40" s="432" t="s">
        <v>109</v>
      </c>
      <c r="D40" s="220" t="s">
        <v>820</v>
      </c>
      <c r="E40" s="410">
        <f>1/2</f>
        <v>0.5</v>
      </c>
      <c r="F40" s="407">
        <v>0.75</v>
      </c>
      <c r="G40" s="414">
        <f>F40*E40</f>
        <v>0.375</v>
      </c>
    </row>
    <row r="41" spans="1:7" ht="29" x14ac:dyDescent="0.35">
      <c r="A41" s="295" t="s">
        <v>298</v>
      </c>
      <c r="B41" s="288" t="s">
        <v>303</v>
      </c>
      <c r="C41" s="432" t="s">
        <v>225</v>
      </c>
      <c r="D41" s="220"/>
      <c r="E41" s="410">
        <v>1</v>
      </c>
      <c r="F41" s="407">
        <v>173.08333333333334</v>
      </c>
      <c r="G41" s="414">
        <f>F41*E41</f>
        <v>173.08333333333334</v>
      </c>
    </row>
    <row r="42" spans="1:7" x14ac:dyDescent="0.35">
      <c r="A42" s="295" t="s">
        <v>300</v>
      </c>
      <c r="B42" s="220" t="s">
        <v>305</v>
      </c>
      <c r="C42" s="432" t="s">
        <v>306</v>
      </c>
      <c r="D42" s="220" t="s">
        <v>821</v>
      </c>
      <c r="E42" s="410">
        <v>10</v>
      </c>
      <c r="F42" s="407">
        <v>2.11</v>
      </c>
      <c r="G42" s="414">
        <f>F42*E42</f>
        <v>21.099999999999998</v>
      </c>
    </row>
    <row r="43" spans="1:7" x14ac:dyDescent="0.35">
      <c r="A43" s="295" t="s">
        <v>1084</v>
      </c>
      <c r="B43" s="220" t="s">
        <v>309</v>
      </c>
      <c r="C43" s="432" t="s">
        <v>225</v>
      </c>
      <c r="D43" s="220" t="s">
        <v>822</v>
      </c>
      <c r="E43" s="410">
        <v>1</v>
      </c>
      <c r="F43" s="407">
        <v>44.163333333333334</v>
      </c>
      <c r="G43" s="414">
        <f>F43*E43</f>
        <v>44.163333333333334</v>
      </c>
    </row>
    <row r="44" spans="1:7" s="20" customFormat="1" ht="43.5" x14ac:dyDescent="0.35">
      <c r="A44" s="295" t="s">
        <v>302</v>
      </c>
      <c r="B44" s="288" t="s">
        <v>311</v>
      </c>
      <c r="C44" s="421" t="s">
        <v>5</v>
      </c>
      <c r="D44" s="422"/>
      <c r="E44" s="423">
        <v>2</v>
      </c>
      <c r="F44" s="424">
        <v>21.19</v>
      </c>
      <c r="G44" s="425">
        <f>F44*E44</f>
        <v>42.38</v>
      </c>
    </row>
    <row r="45" spans="1:7" x14ac:dyDescent="0.35">
      <c r="A45" s="295" t="s">
        <v>304</v>
      </c>
      <c r="B45" s="220" t="s">
        <v>314</v>
      </c>
      <c r="C45" s="432" t="s">
        <v>109</v>
      </c>
      <c r="D45" s="220" t="s">
        <v>823</v>
      </c>
      <c r="E45" s="410">
        <v>10</v>
      </c>
      <c r="F45" s="407">
        <v>0.64</v>
      </c>
      <c r="G45" s="414">
        <f>F45*E45</f>
        <v>6.4</v>
      </c>
    </row>
    <row r="46" spans="1:7" x14ac:dyDescent="0.35">
      <c r="A46" s="295" t="s">
        <v>307</v>
      </c>
      <c r="B46" s="220" t="s">
        <v>317</v>
      </c>
      <c r="C46" s="432" t="s">
        <v>1</v>
      </c>
      <c r="D46" s="220"/>
      <c r="E46" s="410">
        <v>2</v>
      </c>
      <c r="F46" s="407">
        <v>28.53</v>
      </c>
      <c r="G46" s="414">
        <f>F46*E46</f>
        <v>57.06</v>
      </c>
    </row>
    <row r="47" spans="1:7" x14ac:dyDescent="0.35">
      <c r="A47" s="295" t="s">
        <v>308</v>
      </c>
      <c r="B47" s="220" t="s">
        <v>319</v>
      </c>
      <c r="C47" s="432" t="s">
        <v>109</v>
      </c>
      <c r="D47" s="220" t="s">
        <v>824</v>
      </c>
      <c r="E47" s="410">
        <f>0.6/2</f>
        <v>0.3</v>
      </c>
      <c r="F47" s="407">
        <v>26.16</v>
      </c>
      <c r="G47" s="414">
        <f>F47*E47</f>
        <v>7.8479999999999999</v>
      </c>
    </row>
    <row r="48" spans="1:7" x14ac:dyDescent="0.35">
      <c r="A48" s="295" t="s">
        <v>310</v>
      </c>
      <c r="B48" s="220" t="s">
        <v>894</v>
      </c>
      <c r="C48" s="432" t="s">
        <v>108</v>
      </c>
      <c r="D48" s="220" t="s">
        <v>825</v>
      </c>
      <c r="E48" s="410">
        <v>10</v>
      </c>
      <c r="F48" s="407">
        <v>26.966666666666669</v>
      </c>
      <c r="G48" s="414">
        <f>F48*E48</f>
        <v>269.66666666666669</v>
      </c>
    </row>
    <row r="49" spans="1:7" x14ac:dyDescent="0.35">
      <c r="A49" s="295" t="s">
        <v>1085</v>
      </c>
      <c r="B49" s="220" t="s">
        <v>322</v>
      </c>
      <c r="C49" s="432" t="s">
        <v>225</v>
      </c>
      <c r="D49" s="220" t="s">
        <v>826</v>
      </c>
      <c r="E49" s="410">
        <f>2/2</f>
        <v>1</v>
      </c>
      <c r="F49" s="407">
        <v>5.42</v>
      </c>
      <c r="G49" s="414">
        <f>F49*E49</f>
        <v>5.42</v>
      </c>
    </row>
    <row r="50" spans="1:7" x14ac:dyDescent="0.35">
      <c r="A50" s="295" t="s">
        <v>312</v>
      </c>
      <c r="B50" s="288" t="s">
        <v>187</v>
      </c>
      <c r="C50" s="432" t="s">
        <v>5</v>
      </c>
      <c r="D50" s="220"/>
      <c r="E50" s="410">
        <v>1</v>
      </c>
      <c r="F50" s="407">
        <v>336.73</v>
      </c>
      <c r="G50" s="414">
        <f>F50*E50</f>
        <v>336.73</v>
      </c>
    </row>
    <row r="51" spans="1:7" x14ac:dyDescent="0.35">
      <c r="A51" s="295" t="s">
        <v>313</v>
      </c>
      <c r="B51" s="220" t="s">
        <v>325</v>
      </c>
      <c r="C51" s="432" t="s">
        <v>225</v>
      </c>
      <c r="D51" s="220" t="s">
        <v>262</v>
      </c>
      <c r="E51" s="410">
        <v>2</v>
      </c>
      <c r="F51" s="407">
        <v>24.120000000000005</v>
      </c>
      <c r="G51" s="414">
        <f>F51*E51</f>
        <v>48.240000000000009</v>
      </c>
    </row>
    <row r="52" spans="1:7" x14ac:dyDescent="0.35">
      <c r="A52" s="295" t="s">
        <v>315</v>
      </c>
      <c r="B52" s="220" t="s">
        <v>327</v>
      </c>
      <c r="C52" s="295" t="s">
        <v>1</v>
      </c>
      <c r="D52" s="220"/>
      <c r="E52" s="410">
        <v>2</v>
      </c>
      <c r="F52" s="407">
        <v>36.19</v>
      </c>
      <c r="G52" s="414">
        <f>F52*E52</f>
        <v>72.38</v>
      </c>
    </row>
    <row r="53" spans="1:7" s="20" customFormat="1" ht="87" x14ac:dyDescent="0.35">
      <c r="A53" s="295" t="s">
        <v>1086</v>
      </c>
      <c r="B53" s="288" t="s">
        <v>329</v>
      </c>
      <c r="C53" s="420" t="s">
        <v>225</v>
      </c>
      <c r="D53" s="422"/>
      <c r="E53" s="423">
        <v>2</v>
      </c>
      <c r="F53" s="424">
        <v>48.9</v>
      </c>
      <c r="G53" s="425">
        <f>F53*E53</f>
        <v>97.8</v>
      </c>
    </row>
    <row r="54" spans="1:7" x14ac:dyDescent="0.35">
      <c r="A54" s="295" t="s">
        <v>316</v>
      </c>
      <c r="B54" s="220" t="s">
        <v>331</v>
      </c>
      <c r="C54" s="432" t="s">
        <v>225</v>
      </c>
      <c r="D54" s="220"/>
      <c r="E54" s="410">
        <v>2</v>
      </c>
      <c r="F54" s="407">
        <v>43.64</v>
      </c>
      <c r="G54" s="414">
        <f>F54*E54</f>
        <v>87.28</v>
      </c>
    </row>
    <row r="55" spans="1:7" x14ac:dyDescent="0.35">
      <c r="A55" s="295" t="s">
        <v>318</v>
      </c>
      <c r="B55" s="220" t="s">
        <v>333</v>
      </c>
      <c r="C55" s="432" t="s">
        <v>1</v>
      </c>
      <c r="D55" s="220"/>
      <c r="E55" s="410">
        <v>2</v>
      </c>
      <c r="F55" s="407">
        <v>9.65</v>
      </c>
      <c r="G55" s="414">
        <f>F55*E55</f>
        <v>19.3</v>
      </c>
    </row>
    <row r="56" spans="1:7" x14ac:dyDescent="0.35">
      <c r="A56" s="295" t="s">
        <v>1087</v>
      </c>
      <c r="B56" s="220" t="s">
        <v>336</v>
      </c>
      <c r="C56" s="432" t="s">
        <v>225</v>
      </c>
      <c r="D56" s="220" t="s">
        <v>276</v>
      </c>
      <c r="E56" s="410">
        <v>1</v>
      </c>
      <c r="F56" s="407">
        <v>28.206666666666667</v>
      </c>
      <c r="G56" s="414">
        <f>F56*E56</f>
        <v>28.206666666666667</v>
      </c>
    </row>
    <row r="57" spans="1:7" x14ac:dyDescent="0.35">
      <c r="A57" s="295" t="s">
        <v>320</v>
      </c>
      <c r="B57" s="220" t="s">
        <v>338</v>
      </c>
      <c r="C57" s="432" t="s">
        <v>109</v>
      </c>
      <c r="D57" s="220" t="s">
        <v>827</v>
      </c>
      <c r="E57" s="410">
        <v>10</v>
      </c>
      <c r="F57" s="407">
        <v>0.35</v>
      </c>
      <c r="G57" s="414">
        <f>F57*E57</f>
        <v>3.5</v>
      </c>
    </row>
    <row r="58" spans="1:7" x14ac:dyDescent="0.35">
      <c r="A58" s="295" t="s">
        <v>321</v>
      </c>
      <c r="B58" s="220" t="s">
        <v>340</v>
      </c>
      <c r="C58" s="432" t="s">
        <v>109</v>
      </c>
      <c r="D58" s="220" t="s">
        <v>828</v>
      </c>
      <c r="E58" s="410">
        <v>1</v>
      </c>
      <c r="F58" s="407">
        <v>26.54</v>
      </c>
      <c r="G58" s="414">
        <f>F58*E58</f>
        <v>26.54</v>
      </c>
    </row>
    <row r="59" spans="1:7" x14ac:dyDescent="0.35">
      <c r="A59" s="295" t="s">
        <v>1088</v>
      </c>
      <c r="B59" s="220" t="s">
        <v>343</v>
      </c>
      <c r="C59" s="432" t="s">
        <v>108</v>
      </c>
      <c r="D59" s="220"/>
      <c r="E59" s="410">
        <v>1</v>
      </c>
      <c r="F59" s="407">
        <v>24.6</v>
      </c>
      <c r="G59" s="414">
        <f>F59*E59</f>
        <v>24.6</v>
      </c>
    </row>
    <row r="60" spans="1:7" x14ac:dyDescent="0.35">
      <c r="A60" s="295" t="s">
        <v>1089</v>
      </c>
      <c r="B60" s="220" t="s">
        <v>345</v>
      </c>
      <c r="C60" s="432" t="s">
        <v>225</v>
      </c>
      <c r="D60" s="220" t="s">
        <v>829</v>
      </c>
      <c r="E60" s="410">
        <v>5</v>
      </c>
      <c r="F60" s="407">
        <v>0.48</v>
      </c>
      <c r="G60" s="414">
        <f>F60*E60</f>
        <v>2.4</v>
      </c>
    </row>
    <row r="61" spans="1:7" x14ac:dyDescent="0.35">
      <c r="A61" s="295" t="s">
        <v>323</v>
      </c>
      <c r="B61" s="220" t="s">
        <v>347</v>
      </c>
      <c r="C61" s="432" t="s">
        <v>348</v>
      </c>
      <c r="D61" s="220" t="s">
        <v>830</v>
      </c>
      <c r="E61" s="410">
        <v>5</v>
      </c>
      <c r="F61" s="407">
        <v>1.26</v>
      </c>
      <c r="G61" s="414">
        <f>F61*E61</f>
        <v>6.3</v>
      </c>
    </row>
    <row r="62" spans="1:7" x14ac:dyDescent="0.35">
      <c r="A62" s="295" t="s">
        <v>324</v>
      </c>
      <c r="B62" s="220" t="s">
        <v>349</v>
      </c>
      <c r="C62" s="432" t="s">
        <v>225</v>
      </c>
      <c r="D62" s="220" t="s">
        <v>831</v>
      </c>
      <c r="E62" s="410">
        <v>1</v>
      </c>
      <c r="F62" s="407">
        <v>36.590000000000003</v>
      </c>
      <c r="G62" s="414">
        <f>F62*E62</f>
        <v>36.590000000000003</v>
      </c>
    </row>
    <row r="63" spans="1:7" ht="29" x14ac:dyDescent="0.35">
      <c r="A63" s="295" t="s">
        <v>1090</v>
      </c>
      <c r="B63" s="289" t="s">
        <v>352</v>
      </c>
      <c r="C63" s="432" t="s">
        <v>215</v>
      </c>
      <c r="D63" s="220"/>
      <c r="E63" s="410">
        <v>5</v>
      </c>
      <c r="F63" s="407">
        <v>3</v>
      </c>
      <c r="G63" s="414">
        <f>F63*E63</f>
        <v>15</v>
      </c>
    </row>
    <row r="64" spans="1:7" ht="29" x14ac:dyDescent="0.35">
      <c r="A64" s="295" t="s">
        <v>326</v>
      </c>
      <c r="B64" s="289" t="s">
        <v>354</v>
      </c>
      <c r="C64" s="432" t="s">
        <v>0</v>
      </c>
      <c r="D64" s="220"/>
      <c r="E64" s="410">
        <v>5</v>
      </c>
      <c r="F64" s="407">
        <v>0.78</v>
      </c>
      <c r="G64" s="414">
        <f>F64*E64</f>
        <v>3.9000000000000004</v>
      </c>
    </row>
    <row r="65" spans="1:7" ht="29" x14ac:dyDescent="0.35">
      <c r="A65" s="295" t="s">
        <v>328</v>
      </c>
      <c r="B65" s="289" t="s">
        <v>356</v>
      </c>
      <c r="C65" s="432" t="s">
        <v>215</v>
      </c>
      <c r="D65" s="220"/>
      <c r="E65" s="410">
        <v>5</v>
      </c>
      <c r="F65" s="407">
        <v>4.21</v>
      </c>
      <c r="G65" s="414">
        <f>F65*E65</f>
        <v>21.05</v>
      </c>
    </row>
    <row r="66" spans="1:7" x14ac:dyDescent="0.35">
      <c r="A66" s="295" t="s">
        <v>330</v>
      </c>
      <c r="B66" s="220" t="s">
        <v>357</v>
      </c>
      <c r="C66" s="432" t="s">
        <v>225</v>
      </c>
      <c r="D66" s="220" t="s">
        <v>832</v>
      </c>
      <c r="E66" s="410">
        <v>1</v>
      </c>
      <c r="F66" s="407">
        <v>531.73</v>
      </c>
      <c r="G66" s="414">
        <f>F66*E66</f>
        <v>531.73</v>
      </c>
    </row>
    <row r="67" spans="1:7" x14ac:dyDescent="0.35">
      <c r="A67" s="295" t="s">
        <v>332</v>
      </c>
      <c r="B67" s="220" t="s">
        <v>199</v>
      </c>
      <c r="C67" s="432" t="s">
        <v>108</v>
      </c>
      <c r="D67" s="220" t="s">
        <v>833</v>
      </c>
      <c r="E67" s="410">
        <v>10</v>
      </c>
      <c r="F67" s="407">
        <v>3</v>
      </c>
      <c r="G67" s="414">
        <f>F67*E67</f>
        <v>30</v>
      </c>
    </row>
    <row r="68" spans="1:7" x14ac:dyDescent="0.35">
      <c r="A68" s="295" t="s">
        <v>1091</v>
      </c>
      <c r="B68" s="220" t="s">
        <v>360</v>
      </c>
      <c r="C68" s="432" t="s">
        <v>20</v>
      </c>
      <c r="D68" s="220"/>
      <c r="E68" s="410">
        <v>2</v>
      </c>
      <c r="F68" s="407">
        <v>37.03</v>
      </c>
      <c r="G68" s="414">
        <f>F68*E68</f>
        <v>74.06</v>
      </c>
    </row>
    <row r="69" spans="1:7" x14ac:dyDescent="0.35">
      <c r="A69" s="295" t="s">
        <v>1092</v>
      </c>
      <c r="B69" s="220" t="s">
        <v>361</v>
      </c>
      <c r="C69" s="432" t="s">
        <v>1</v>
      </c>
      <c r="D69" s="220"/>
      <c r="E69" s="410">
        <v>2</v>
      </c>
      <c r="F69" s="407">
        <v>142.91</v>
      </c>
      <c r="G69" s="414">
        <f>F69*E69</f>
        <v>285.82</v>
      </c>
    </row>
    <row r="70" spans="1:7" x14ac:dyDescent="0.35">
      <c r="A70" s="295" t="s">
        <v>1093</v>
      </c>
      <c r="B70" s="220" t="s">
        <v>362</v>
      </c>
      <c r="C70" s="432" t="s">
        <v>225</v>
      </c>
      <c r="D70" s="220"/>
      <c r="E70" s="410">
        <v>5</v>
      </c>
      <c r="F70" s="407">
        <v>1.66</v>
      </c>
      <c r="G70" s="414">
        <f>F70*E70</f>
        <v>8.2999999999999989</v>
      </c>
    </row>
    <row r="71" spans="1:7" x14ac:dyDescent="0.35">
      <c r="A71" s="295" t="s">
        <v>1094</v>
      </c>
      <c r="B71" s="220" t="s">
        <v>363</v>
      </c>
      <c r="C71" s="432" t="s">
        <v>1</v>
      </c>
      <c r="D71" s="220"/>
      <c r="E71" s="410">
        <v>2</v>
      </c>
      <c r="F71" s="407">
        <v>1.01</v>
      </c>
      <c r="G71" s="414">
        <f>F71*E71</f>
        <v>2.02</v>
      </c>
    </row>
    <row r="72" spans="1:7" x14ac:dyDescent="0.35">
      <c r="A72" s="295" t="s">
        <v>335</v>
      </c>
      <c r="B72" s="220" t="s">
        <v>364</v>
      </c>
      <c r="C72" s="432" t="s">
        <v>225</v>
      </c>
      <c r="D72" s="220" t="s">
        <v>834</v>
      </c>
      <c r="E72" s="410">
        <v>10</v>
      </c>
      <c r="F72" s="407">
        <v>72.63</v>
      </c>
      <c r="G72" s="414">
        <f>F72*E72</f>
        <v>726.3</v>
      </c>
    </row>
    <row r="73" spans="1:7" x14ac:dyDescent="0.35">
      <c r="A73" s="295" t="s">
        <v>943</v>
      </c>
      <c r="B73" s="220" t="s">
        <v>365</v>
      </c>
      <c r="C73" s="432" t="s">
        <v>108</v>
      </c>
      <c r="D73" s="220" t="s">
        <v>835</v>
      </c>
      <c r="E73" s="410">
        <v>0.5</v>
      </c>
      <c r="F73" s="407">
        <v>18.25</v>
      </c>
      <c r="G73" s="414">
        <f>F73*E73</f>
        <v>9.125</v>
      </c>
    </row>
    <row r="74" spans="1:7" x14ac:dyDescent="0.35">
      <c r="A74" s="295" t="s">
        <v>1095</v>
      </c>
      <c r="B74" s="220" t="s">
        <v>366</v>
      </c>
      <c r="C74" s="295" t="s">
        <v>20</v>
      </c>
      <c r="D74" s="220"/>
      <c r="E74" s="410">
        <v>2</v>
      </c>
      <c r="F74" s="407">
        <v>4.1100000000000003</v>
      </c>
      <c r="G74" s="414">
        <f>F74*E74</f>
        <v>8.2200000000000006</v>
      </c>
    </row>
    <row r="75" spans="1:7" x14ac:dyDescent="0.35">
      <c r="A75" s="295" t="s">
        <v>339</v>
      </c>
      <c r="B75" s="220" t="s">
        <v>367</v>
      </c>
      <c r="C75" s="432" t="s">
        <v>368</v>
      </c>
      <c r="D75" s="220" t="s">
        <v>300</v>
      </c>
      <c r="E75" s="410">
        <v>2</v>
      </c>
      <c r="F75" s="407">
        <v>36.51</v>
      </c>
      <c r="G75" s="414">
        <f>F75*E75</f>
        <v>73.02</v>
      </c>
    </row>
    <row r="76" spans="1:7" x14ac:dyDescent="0.35">
      <c r="A76" s="295" t="s">
        <v>1096</v>
      </c>
      <c r="B76" s="220" t="s">
        <v>369</v>
      </c>
      <c r="C76" s="295" t="s">
        <v>5</v>
      </c>
      <c r="D76" s="220"/>
      <c r="E76" s="410">
        <v>1</v>
      </c>
      <c r="F76" s="407">
        <v>43.98</v>
      </c>
      <c r="G76" s="414">
        <f>F76*E76</f>
        <v>43.98</v>
      </c>
    </row>
    <row r="77" spans="1:7" x14ac:dyDescent="0.35">
      <c r="A77" s="295" t="s">
        <v>341</v>
      </c>
      <c r="B77" s="220" t="s">
        <v>896</v>
      </c>
      <c r="C77" s="432" t="s">
        <v>225</v>
      </c>
      <c r="D77" s="220" t="s">
        <v>836</v>
      </c>
      <c r="E77" s="410">
        <v>10</v>
      </c>
      <c r="F77" s="407">
        <v>13.3</v>
      </c>
      <c r="G77" s="414">
        <f>F77*E77</f>
        <v>133</v>
      </c>
    </row>
    <row r="78" spans="1:7" x14ac:dyDescent="0.35">
      <c r="A78" s="295" t="s">
        <v>342</v>
      </c>
      <c r="B78" s="220" t="s">
        <v>370</v>
      </c>
      <c r="C78" s="432" t="s">
        <v>225</v>
      </c>
      <c r="D78" s="220" t="s">
        <v>304</v>
      </c>
      <c r="E78" s="410">
        <v>3</v>
      </c>
      <c r="F78" s="407">
        <v>13.17</v>
      </c>
      <c r="G78" s="414">
        <f>F78*E78</f>
        <v>39.51</v>
      </c>
    </row>
    <row r="79" spans="1:7" x14ac:dyDescent="0.35">
      <c r="A79" s="295" t="s">
        <v>344</v>
      </c>
      <c r="B79" s="220" t="s">
        <v>371</v>
      </c>
      <c r="C79" s="432" t="s">
        <v>109</v>
      </c>
      <c r="D79" s="220" t="s">
        <v>837</v>
      </c>
      <c r="E79" s="410">
        <f>2.2/2</f>
        <v>1.1000000000000001</v>
      </c>
      <c r="F79" s="407">
        <v>10.11</v>
      </c>
      <c r="G79" s="414">
        <f>F79*E79</f>
        <v>11.121</v>
      </c>
    </row>
    <row r="80" spans="1:7" x14ac:dyDescent="0.35">
      <c r="A80" s="295" t="s">
        <v>346</v>
      </c>
      <c r="B80" s="220" t="s">
        <v>897</v>
      </c>
      <c r="C80" s="432" t="s">
        <v>225</v>
      </c>
      <c r="D80" s="220" t="s">
        <v>372</v>
      </c>
      <c r="E80" s="410">
        <v>1</v>
      </c>
      <c r="F80" s="407">
        <v>109.98</v>
      </c>
      <c r="G80" s="414">
        <f>F80*E80</f>
        <v>109.98</v>
      </c>
    </row>
    <row r="81" spans="1:7" x14ac:dyDescent="0.35">
      <c r="A81" s="295" t="s">
        <v>1097</v>
      </c>
      <c r="B81" s="220" t="s">
        <v>373</v>
      </c>
      <c r="C81" s="432" t="s">
        <v>225</v>
      </c>
      <c r="D81" s="220" t="s">
        <v>374</v>
      </c>
      <c r="E81" s="410">
        <v>2.6</v>
      </c>
      <c r="F81" s="407">
        <v>47.85</v>
      </c>
      <c r="G81" s="414">
        <f>F81*E81</f>
        <v>124.41000000000001</v>
      </c>
    </row>
    <row r="82" spans="1:7" x14ac:dyDescent="0.35">
      <c r="A82" s="295" t="s">
        <v>1098</v>
      </c>
      <c r="B82" s="220" t="s">
        <v>92</v>
      </c>
      <c r="C82" s="432" t="s">
        <v>108</v>
      </c>
      <c r="D82" s="220" t="s">
        <v>838</v>
      </c>
      <c r="E82" s="410">
        <v>5</v>
      </c>
      <c r="F82" s="407">
        <v>13.58</v>
      </c>
      <c r="G82" s="414">
        <f>F82*E82</f>
        <v>67.900000000000006</v>
      </c>
    </row>
    <row r="83" spans="1:7" x14ac:dyDescent="0.35">
      <c r="A83" s="295" t="s">
        <v>1099</v>
      </c>
      <c r="B83" s="220" t="s">
        <v>375</v>
      </c>
      <c r="C83" s="432" t="s">
        <v>225</v>
      </c>
      <c r="D83" s="220" t="s">
        <v>839</v>
      </c>
      <c r="E83" s="410">
        <v>2</v>
      </c>
      <c r="F83" s="407">
        <v>13.263333333333334</v>
      </c>
      <c r="G83" s="414">
        <f>F83*E83</f>
        <v>26.526666666666667</v>
      </c>
    </row>
    <row r="84" spans="1:7" x14ac:dyDescent="0.35">
      <c r="A84" s="295" t="s">
        <v>350</v>
      </c>
      <c r="B84" s="220" t="s">
        <v>376</v>
      </c>
      <c r="C84" s="432" t="s">
        <v>1</v>
      </c>
      <c r="D84" s="220" t="s">
        <v>840</v>
      </c>
      <c r="E84" s="410">
        <v>2</v>
      </c>
      <c r="F84" s="407">
        <v>16.933333333333334</v>
      </c>
      <c r="G84" s="414">
        <f>F84*E84</f>
        <v>33.866666666666667</v>
      </c>
    </row>
    <row r="85" spans="1:7" x14ac:dyDescent="0.35">
      <c r="A85" s="295" t="s">
        <v>351</v>
      </c>
      <c r="B85" s="220" t="s">
        <v>377</v>
      </c>
      <c r="C85" s="295" t="s">
        <v>1</v>
      </c>
      <c r="D85" s="220"/>
      <c r="E85" s="410">
        <v>10</v>
      </c>
      <c r="F85" s="407">
        <v>9.5</v>
      </c>
      <c r="G85" s="414">
        <f>F85*E85</f>
        <v>95</v>
      </c>
    </row>
    <row r="86" spans="1:7" x14ac:dyDescent="0.35">
      <c r="A86" s="295" t="s">
        <v>353</v>
      </c>
      <c r="B86" s="220" t="s">
        <v>378</v>
      </c>
      <c r="C86" s="432" t="s">
        <v>1</v>
      </c>
      <c r="D86" s="220"/>
      <c r="E86" s="410">
        <v>20</v>
      </c>
      <c r="F86" s="407">
        <v>1.31</v>
      </c>
      <c r="G86" s="414">
        <f>F86*E86</f>
        <v>26.200000000000003</v>
      </c>
    </row>
    <row r="87" spans="1:7" x14ac:dyDescent="0.35">
      <c r="A87" s="295" t="s">
        <v>355</v>
      </c>
      <c r="B87" s="220" t="s">
        <v>379</v>
      </c>
      <c r="C87" s="432" t="s">
        <v>1</v>
      </c>
      <c r="D87" s="220"/>
      <c r="E87" s="410">
        <v>20</v>
      </c>
      <c r="F87" s="407">
        <v>0.47</v>
      </c>
      <c r="G87" s="414">
        <f>F87*E87</f>
        <v>9.3999999999999986</v>
      </c>
    </row>
    <row r="88" spans="1:7" x14ac:dyDescent="0.35">
      <c r="A88" s="295" t="s">
        <v>1100</v>
      </c>
      <c r="B88" s="220" t="s">
        <v>930</v>
      </c>
      <c r="C88" s="432" t="s">
        <v>108</v>
      </c>
      <c r="D88" s="220" t="s">
        <v>841</v>
      </c>
      <c r="E88" s="410">
        <v>15</v>
      </c>
      <c r="F88" s="407">
        <v>19.690000000000001</v>
      </c>
      <c r="G88" s="414">
        <f>F88*E88</f>
        <v>295.35000000000002</v>
      </c>
    </row>
    <row r="89" spans="1:7" x14ac:dyDescent="0.35">
      <c r="A89" s="295" t="s">
        <v>944</v>
      </c>
      <c r="B89" s="220" t="s">
        <v>380</v>
      </c>
      <c r="C89" s="432" t="s">
        <v>337</v>
      </c>
      <c r="D89" s="220" t="s">
        <v>310</v>
      </c>
      <c r="E89" s="410">
        <v>1</v>
      </c>
      <c r="F89" s="407">
        <v>25.04</v>
      </c>
      <c r="G89" s="414">
        <f>F89*E89</f>
        <v>25.04</v>
      </c>
    </row>
    <row r="90" spans="1:7" s="20" customFormat="1" ht="29" x14ac:dyDescent="0.35">
      <c r="A90" s="295" t="s">
        <v>358</v>
      </c>
      <c r="B90" s="288" t="s">
        <v>186</v>
      </c>
      <c r="C90" s="421" t="s">
        <v>348</v>
      </c>
      <c r="D90" s="422"/>
      <c r="E90" s="423">
        <v>2</v>
      </c>
      <c r="F90" s="424">
        <v>207.95</v>
      </c>
      <c r="G90" s="425">
        <f>F90*E90</f>
        <v>415.9</v>
      </c>
    </row>
    <row r="91" spans="1:7" s="20" customFormat="1" ht="29" x14ac:dyDescent="0.35">
      <c r="A91" s="295" t="s">
        <v>359</v>
      </c>
      <c r="B91" s="288" t="s">
        <v>381</v>
      </c>
      <c r="C91" s="421" t="s">
        <v>348</v>
      </c>
      <c r="D91" s="422"/>
      <c r="E91" s="423">
        <v>2</v>
      </c>
      <c r="F91" s="424">
        <v>259.7</v>
      </c>
      <c r="G91" s="425">
        <f>F91*E91</f>
        <v>519.4</v>
      </c>
    </row>
    <row r="92" spans="1:7" x14ac:dyDescent="0.35">
      <c r="A92" s="283">
        <v>3</v>
      </c>
      <c r="B92" s="290" t="s">
        <v>842</v>
      </c>
      <c r="C92" s="413"/>
      <c r="D92" s="287"/>
      <c r="E92" s="411"/>
      <c r="F92" s="416"/>
      <c r="G92" s="417"/>
    </row>
    <row r="93" spans="1:7" x14ac:dyDescent="0.35">
      <c r="A93" s="295" t="s">
        <v>382</v>
      </c>
      <c r="B93" s="220" t="s">
        <v>383</v>
      </c>
      <c r="C93" s="432" t="s">
        <v>225</v>
      </c>
      <c r="D93" s="220" t="s">
        <v>248</v>
      </c>
      <c r="E93" s="410">
        <v>1</v>
      </c>
      <c r="F93" s="407">
        <v>21.905000000000001</v>
      </c>
      <c r="G93" s="414">
        <f>F93*E93</f>
        <v>21.905000000000001</v>
      </c>
    </row>
    <row r="94" spans="1:7" s="20" customFormat="1" ht="72.5" x14ac:dyDescent="0.35">
      <c r="A94" s="421" t="s">
        <v>384</v>
      </c>
      <c r="B94" s="289" t="s">
        <v>898</v>
      </c>
      <c r="C94" s="420" t="s">
        <v>1</v>
      </c>
      <c r="D94" s="422"/>
      <c r="E94" s="423">
        <v>1</v>
      </c>
      <c r="F94" s="424">
        <v>47.36</v>
      </c>
      <c r="G94" s="425">
        <f>F94*E94</f>
        <v>47.36</v>
      </c>
    </row>
    <row r="95" spans="1:7" s="20" customFormat="1" ht="72.5" x14ac:dyDescent="0.35">
      <c r="A95" s="421" t="s">
        <v>385</v>
      </c>
      <c r="B95" s="289" t="s">
        <v>899</v>
      </c>
      <c r="C95" s="420" t="s">
        <v>1</v>
      </c>
      <c r="D95" s="422"/>
      <c r="E95" s="423">
        <v>1</v>
      </c>
      <c r="F95" s="424">
        <v>42.01</v>
      </c>
      <c r="G95" s="425">
        <f>F95*E95</f>
        <v>42.01</v>
      </c>
    </row>
    <row r="96" spans="1:7" x14ac:dyDescent="0.35">
      <c r="A96" s="295" t="s">
        <v>386</v>
      </c>
      <c r="B96" s="220" t="s">
        <v>387</v>
      </c>
      <c r="C96" s="432" t="s">
        <v>225</v>
      </c>
      <c r="D96" s="220" t="s">
        <v>843</v>
      </c>
      <c r="E96" s="410">
        <v>1</v>
      </c>
      <c r="F96" s="407">
        <v>91.469999999999985</v>
      </c>
      <c r="G96" s="414">
        <f>F96*E96</f>
        <v>91.469999999999985</v>
      </c>
    </row>
    <row r="97" spans="1:7" x14ac:dyDescent="0.35">
      <c r="A97" s="421" t="s">
        <v>388</v>
      </c>
      <c r="B97" s="220" t="s">
        <v>390</v>
      </c>
      <c r="C97" s="295" t="s">
        <v>225</v>
      </c>
      <c r="D97" s="220"/>
      <c r="E97" s="410">
        <v>1</v>
      </c>
      <c r="F97" s="407">
        <v>326.89999999999998</v>
      </c>
      <c r="G97" s="414">
        <f>F97*E97</f>
        <v>326.89999999999998</v>
      </c>
    </row>
    <row r="98" spans="1:7" ht="14.25" customHeight="1" x14ac:dyDescent="0.35">
      <c r="A98" s="421" t="s">
        <v>389</v>
      </c>
      <c r="B98" s="220" t="s">
        <v>392</v>
      </c>
      <c r="C98" s="432" t="s">
        <v>215</v>
      </c>
      <c r="D98" s="220"/>
      <c r="E98" s="410">
        <v>5</v>
      </c>
      <c r="F98" s="407">
        <v>13.29</v>
      </c>
      <c r="G98" s="414">
        <f>F98*E98</f>
        <v>66.449999999999989</v>
      </c>
    </row>
    <row r="99" spans="1:7" x14ac:dyDescent="0.35">
      <c r="A99" s="295" t="s">
        <v>391</v>
      </c>
      <c r="B99" s="220" t="s">
        <v>217</v>
      </c>
      <c r="C99" s="432" t="s">
        <v>215</v>
      </c>
      <c r="D99" s="220"/>
      <c r="E99" s="410">
        <v>50</v>
      </c>
      <c r="F99" s="407">
        <v>2.6890491803278689</v>
      </c>
      <c r="G99" s="414">
        <f>F99*E99</f>
        <v>134.45245901639345</v>
      </c>
    </row>
    <row r="100" spans="1:7" x14ac:dyDescent="0.35">
      <c r="A100" s="421" t="s">
        <v>239</v>
      </c>
      <c r="B100" s="220" t="s">
        <v>395</v>
      </c>
      <c r="C100" s="432" t="s">
        <v>215</v>
      </c>
      <c r="D100" s="220" t="s">
        <v>844</v>
      </c>
      <c r="E100" s="410">
        <v>5</v>
      </c>
      <c r="F100" s="407">
        <v>4.26</v>
      </c>
      <c r="G100" s="414">
        <f>F100*E100</f>
        <v>21.299999999999997</v>
      </c>
    </row>
    <row r="101" spans="1:7" s="20" customFormat="1" ht="43.5" x14ac:dyDescent="0.35">
      <c r="A101" s="421" t="s">
        <v>393</v>
      </c>
      <c r="B101" s="288" t="s">
        <v>397</v>
      </c>
      <c r="C101" s="420" t="s">
        <v>0</v>
      </c>
      <c r="D101" s="422"/>
      <c r="E101" s="423">
        <v>1</v>
      </c>
      <c r="F101" s="424">
        <v>30.89</v>
      </c>
      <c r="G101" s="425">
        <f>F101*E101</f>
        <v>30.89</v>
      </c>
    </row>
    <row r="102" spans="1:7" x14ac:dyDescent="0.35">
      <c r="A102" s="295" t="s">
        <v>394</v>
      </c>
      <c r="B102" s="220" t="s">
        <v>399</v>
      </c>
      <c r="C102" s="432" t="s">
        <v>215</v>
      </c>
      <c r="D102" s="220"/>
      <c r="E102" s="410">
        <v>3</v>
      </c>
      <c r="F102" s="407">
        <v>4.84</v>
      </c>
      <c r="G102" s="414">
        <f>F102*E102</f>
        <v>14.52</v>
      </c>
    </row>
    <row r="103" spans="1:7" x14ac:dyDescent="0.35">
      <c r="A103" s="421" t="s">
        <v>396</v>
      </c>
      <c r="B103" s="220" t="s">
        <v>406</v>
      </c>
      <c r="C103" s="432" t="s">
        <v>225</v>
      </c>
      <c r="D103" s="220"/>
      <c r="E103" s="410">
        <v>1</v>
      </c>
      <c r="F103" s="407">
        <v>199.42</v>
      </c>
      <c r="G103" s="414">
        <f>F103*E103</f>
        <v>199.42</v>
      </c>
    </row>
    <row r="104" spans="1:7" x14ac:dyDescent="0.35">
      <c r="A104" s="421" t="s">
        <v>398</v>
      </c>
      <c r="B104" s="220" t="s">
        <v>409</v>
      </c>
      <c r="C104" s="432" t="s">
        <v>225</v>
      </c>
      <c r="D104" s="220" t="s">
        <v>845</v>
      </c>
      <c r="E104" s="410">
        <v>2</v>
      </c>
      <c r="F104" s="407">
        <v>4.9733333333333336</v>
      </c>
      <c r="G104" s="414">
        <f>F104*E104</f>
        <v>9.9466666666666672</v>
      </c>
    </row>
    <row r="105" spans="1:7" x14ac:dyDescent="0.35">
      <c r="A105" s="295" t="s">
        <v>400</v>
      </c>
      <c r="B105" s="220" t="s">
        <v>411</v>
      </c>
      <c r="C105" s="432" t="s">
        <v>1</v>
      </c>
      <c r="D105" s="220"/>
      <c r="E105" s="410">
        <v>1</v>
      </c>
      <c r="F105" s="407">
        <v>36.26</v>
      </c>
      <c r="G105" s="414">
        <f>F105*E105</f>
        <v>36.26</v>
      </c>
    </row>
    <row r="106" spans="1:7" x14ac:dyDescent="0.35">
      <c r="A106" s="421" t="s">
        <v>401</v>
      </c>
      <c r="B106" s="220" t="s">
        <v>900</v>
      </c>
      <c r="C106" s="432" t="s">
        <v>225</v>
      </c>
      <c r="D106" s="220" t="s">
        <v>846</v>
      </c>
      <c r="E106" s="410">
        <v>2</v>
      </c>
      <c r="F106" s="407">
        <v>2.6766666666666672</v>
      </c>
      <c r="G106" s="414">
        <f>F106*E106</f>
        <v>5.3533333333333344</v>
      </c>
    </row>
    <row r="107" spans="1:7" x14ac:dyDescent="0.35">
      <c r="A107" s="421" t="s">
        <v>402</v>
      </c>
      <c r="B107" s="220" t="s">
        <v>417</v>
      </c>
      <c r="C107" s="432" t="s">
        <v>225</v>
      </c>
      <c r="D107" s="220" t="s">
        <v>847</v>
      </c>
      <c r="E107" s="410">
        <v>0.5</v>
      </c>
      <c r="F107" s="407">
        <v>497.71</v>
      </c>
      <c r="G107" s="414">
        <f>F107*E107</f>
        <v>248.85499999999999</v>
      </c>
    </row>
    <row r="108" spans="1:7" x14ac:dyDescent="0.35">
      <c r="A108" s="295" t="s">
        <v>403</v>
      </c>
      <c r="B108" s="220" t="s">
        <v>419</v>
      </c>
      <c r="C108" s="432" t="s">
        <v>225</v>
      </c>
      <c r="D108" s="220" t="s">
        <v>848</v>
      </c>
      <c r="E108" s="410">
        <f>3/2</f>
        <v>1.5</v>
      </c>
      <c r="F108" s="407">
        <v>8.08</v>
      </c>
      <c r="G108" s="414">
        <f>F108*E108</f>
        <v>12.120000000000001</v>
      </c>
    </row>
    <row r="109" spans="1:7" x14ac:dyDescent="0.35">
      <c r="A109" s="421" t="s">
        <v>404</v>
      </c>
      <c r="B109" s="220" t="s">
        <v>422</v>
      </c>
      <c r="C109" s="432" t="s">
        <v>225</v>
      </c>
      <c r="D109" s="220" t="s">
        <v>849</v>
      </c>
      <c r="E109" s="410">
        <f>4/2</f>
        <v>2</v>
      </c>
      <c r="F109" s="407">
        <v>6.54</v>
      </c>
      <c r="G109" s="414">
        <f>F109*E109</f>
        <v>13.08</v>
      </c>
    </row>
    <row r="110" spans="1:7" s="20" customFormat="1" ht="43.5" x14ac:dyDescent="0.35">
      <c r="A110" s="421" t="s">
        <v>405</v>
      </c>
      <c r="B110" s="288" t="s">
        <v>425</v>
      </c>
      <c r="C110" s="420" t="s">
        <v>225</v>
      </c>
      <c r="D110" s="422"/>
      <c r="E110" s="423">
        <v>2</v>
      </c>
      <c r="F110" s="424">
        <v>6.76</v>
      </c>
      <c r="G110" s="425">
        <f>F110*E110</f>
        <v>13.52</v>
      </c>
    </row>
    <row r="111" spans="1:7" s="20" customFormat="1" ht="43.5" x14ac:dyDescent="0.35">
      <c r="A111" s="295" t="s">
        <v>407</v>
      </c>
      <c r="B111" s="288" t="s">
        <v>427</v>
      </c>
      <c r="C111" s="420" t="s">
        <v>225</v>
      </c>
      <c r="D111" s="422"/>
      <c r="E111" s="423">
        <v>2</v>
      </c>
      <c r="F111" s="424">
        <v>7.8</v>
      </c>
      <c r="G111" s="425">
        <f>F111*E111</f>
        <v>15.6</v>
      </c>
    </row>
    <row r="112" spans="1:7" x14ac:dyDescent="0.35">
      <c r="A112" s="421" t="s">
        <v>408</v>
      </c>
      <c r="B112" s="220" t="s">
        <v>434</v>
      </c>
      <c r="C112" s="432" t="s">
        <v>225</v>
      </c>
      <c r="D112" s="220" t="s">
        <v>850</v>
      </c>
      <c r="E112" s="410">
        <v>3</v>
      </c>
      <c r="F112" s="407">
        <v>37.816666666666663</v>
      </c>
      <c r="G112" s="414">
        <f>F112*E112</f>
        <v>113.44999999999999</v>
      </c>
    </row>
    <row r="113" spans="1:7" x14ac:dyDescent="0.35">
      <c r="A113" s="421" t="s">
        <v>410</v>
      </c>
      <c r="B113" s="220" t="s">
        <v>931</v>
      </c>
      <c r="C113" s="432" t="s">
        <v>225</v>
      </c>
      <c r="D113" s="220" t="s">
        <v>851</v>
      </c>
      <c r="E113" s="410">
        <v>1</v>
      </c>
      <c r="F113" s="407">
        <v>245.92</v>
      </c>
      <c r="G113" s="414">
        <f>F113*E113</f>
        <v>245.92</v>
      </c>
    </row>
    <row r="114" spans="1:7" x14ac:dyDescent="0.35">
      <c r="A114" s="295" t="s">
        <v>412</v>
      </c>
      <c r="B114" s="220" t="s">
        <v>442</v>
      </c>
      <c r="C114" s="432" t="s">
        <v>1</v>
      </c>
      <c r="D114" s="220"/>
      <c r="E114" s="410">
        <v>2</v>
      </c>
      <c r="F114" s="407">
        <v>3.35</v>
      </c>
      <c r="G114" s="414">
        <f>F114*E114</f>
        <v>6.7</v>
      </c>
    </row>
    <row r="115" spans="1:7" ht="29" x14ac:dyDescent="0.35">
      <c r="A115" s="421" t="s">
        <v>413</v>
      </c>
      <c r="B115" s="288" t="s">
        <v>932</v>
      </c>
      <c r="C115" s="432" t="s">
        <v>225</v>
      </c>
      <c r="D115" s="220"/>
      <c r="E115" s="410">
        <v>2</v>
      </c>
      <c r="F115" s="407">
        <v>8.8000000000000007</v>
      </c>
      <c r="G115" s="414">
        <f>F115*E115</f>
        <v>17.600000000000001</v>
      </c>
    </row>
    <row r="116" spans="1:7" ht="43.5" x14ac:dyDescent="0.35">
      <c r="A116" s="421" t="s">
        <v>414</v>
      </c>
      <c r="B116" s="288" t="s">
        <v>933</v>
      </c>
      <c r="C116" s="432" t="s">
        <v>225</v>
      </c>
      <c r="D116" s="220"/>
      <c r="E116" s="410">
        <v>2</v>
      </c>
      <c r="F116" s="407">
        <v>11.4</v>
      </c>
      <c r="G116" s="414">
        <f>F116*E116</f>
        <v>22.8</v>
      </c>
    </row>
    <row r="117" spans="1:7" ht="43.5" x14ac:dyDescent="0.35">
      <c r="A117" s="295" t="s">
        <v>415</v>
      </c>
      <c r="B117" s="288" t="s">
        <v>934</v>
      </c>
      <c r="C117" s="432" t="s">
        <v>225</v>
      </c>
      <c r="D117" s="220"/>
      <c r="E117" s="410">
        <v>1</v>
      </c>
      <c r="F117" s="407">
        <v>19.12</v>
      </c>
      <c r="G117" s="414">
        <f>F117*E117</f>
        <v>19.12</v>
      </c>
    </row>
    <row r="118" spans="1:7" ht="29" x14ac:dyDescent="0.35">
      <c r="A118" s="421" t="s">
        <v>416</v>
      </c>
      <c r="B118" s="288" t="s">
        <v>455</v>
      </c>
      <c r="C118" s="432" t="s">
        <v>225</v>
      </c>
      <c r="D118" s="220"/>
      <c r="E118" s="410">
        <v>1</v>
      </c>
      <c r="F118" s="407">
        <v>50.45</v>
      </c>
      <c r="G118" s="414">
        <f>F118*E118</f>
        <v>50.45</v>
      </c>
    </row>
    <row r="119" spans="1:7" ht="29" x14ac:dyDescent="0.35">
      <c r="A119" s="421" t="s">
        <v>418</v>
      </c>
      <c r="B119" s="288" t="s">
        <v>457</v>
      </c>
      <c r="C119" s="432" t="s">
        <v>225</v>
      </c>
      <c r="D119" s="220"/>
      <c r="E119" s="410">
        <v>1</v>
      </c>
      <c r="F119" s="407">
        <v>73.83</v>
      </c>
      <c r="G119" s="414">
        <f>F119*E119</f>
        <v>73.83</v>
      </c>
    </row>
    <row r="120" spans="1:7" x14ac:dyDescent="0.35">
      <c r="A120" s="295" t="s">
        <v>420</v>
      </c>
      <c r="B120" s="220" t="s">
        <v>193</v>
      </c>
      <c r="C120" s="432" t="s">
        <v>225</v>
      </c>
      <c r="D120" s="220"/>
      <c r="E120" s="410">
        <v>1</v>
      </c>
      <c r="F120" s="407">
        <v>61.81</v>
      </c>
      <c r="G120" s="414">
        <f>F120*E120</f>
        <v>61.81</v>
      </c>
    </row>
    <row r="121" spans="1:7" ht="29" x14ac:dyDescent="0.35">
      <c r="A121" s="421" t="s">
        <v>421</v>
      </c>
      <c r="B121" s="288" t="s">
        <v>460</v>
      </c>
      <c r="C121" s="432" t="s">
        <v>225</v>
      </c>
      <c r="D121" s="220"/>
      <c r="E121" s="410">
        <v>1</v>
      </c>
      <c r="F121" s="407">
        <v>61.35</v>
      </c>
      <c r="G121" s="414">
        <f>F121*E121</f>
        <v>61.35</v>
      </c>
    </row>
    <row r="122" spans="1:7" x14ac:dyDescent="0.35">
      <c r="A122" s="421" t="s">
        <v>423</v>
      </c>
      <c r="B122" s="220" t="s">
        <v>461</v>
      </c>
      <c r="C122" s="432" t="s">
        <v>225</v>
      </c>
      <c r="D122" s="220"/>
      <c r="E122" s="410">
        <v>1</v>
      </c>
      <c r="F122" s="407">
        <v>76.52</v>
      </c>
      <c r="G122" s="414">
        <f>F122*E122</f>
        <v>76.52</v>
      </c>
    </row>
    <row r="123" spans="1:7" x14ac:dyDescent="0.35">
      <c r="A123" s="295" t="s">
        <v>424</v>
      </c>
      <c r="B123" s="220" t="s">
        <v>192</v>
      </c>
      <c r="C123" s="432" t="s">
        <v>225</v>
      </c>
      <c r="D123" s="220"/>
      <c r="E123" s="410">
        <v>1</v>
      </c>
      <c r="F123" s="407">
        <v>107.82</v>
      </c>
      <c r="G123" s="414">
        <f>F123*E123</f>
        <v>107.82</v>
      </c>
    </row>
    <row r="124" spans="1:7" s="20" customFormat="1" ht="40.5" x14ac:dyDescent="0.35">
      <c r="A124" s="421" t="s">
        <v>426</v>
      </c>
      <c r="B124" s="291" t="s">
        <v>464</v>
      </c>
      <c r="C124" s="421" t="s">
        <v>1</v>
      </c>
      <c r="D124" s="422"/>
      <c r="E124" s="423">
        <v>1</v>
      </c>
      <c r="F124" s="424">
        <v>44.9</v>
      </c>
      <c r="G124" s="425">
        <f>F124*E124</f>
        <v>44.9</v>
      </c>
    </row>
    <row r="125" spans="1:7" s="20" customFormat="1" ht="29" x14ac:dyDescent="0.35">
      <c r="A125" s="421" t="s">
        <v>428</v>
      </c>
      <c r="B125" s="288" t="s">
        <v>465</v>
      </c>
      <c r="C125" s="420" t="s">
        <v>215</v>
      </c>
      <c r="D125" s="422"/>
      <c r="E125" s="423">
        <v>0.5</v>
      </c>
      <c r="F125" s="424">
        <v>93.309999999999988</v>
      </c>
      <c r="G125" s="425">
        <f>F125*E125</f>
        <v>46.654999999999994</v>
      </c>
    </row>
    <row r="126" spans="1:7" x14ac:dyDescent="0.35">
      <c r="A126" s="295" t="s">
        <v>429</v>
      </c>
      <c r="B126" s="220" t="s">
        <v>468</v>
      </c>
      <c r="C126" s="432" t="s">
        <v>215</v>
      </c>
      <c r="D126" s="220"/>
      <c r="E126" s="410">
        <v>1</v>
      </c>
      <c r="F126" s="407">
        <v>5.78</v>
      </c>
      <c r="G126" s="414">
        <f>F126*E126</f>
        <v>5.78</v>
      </c>
    </row>
    <row r="127" spans="1:7" ht="29" x14ac:dyDescent="0.35">
      <c r="A127" s="421" t="s">
        <v>430</v>
      </c>
      <c r="B127" s="288" t="s">
        <v>470</v>
      </c>
      <c r="C127" s="432" t="s">
        <v>215</v>
      </c>
      <c r="D127" s="220"/>
      <c r="E127" s="410">
        <v>2</v>
      </c>
      <c r="F127" s="407">
        <v>2.97</v>
      </c>
      <c r="G127" s="414">
        <f>F127*E127</f>
        <v>5.94</v>
      </c>
    </row>
    <row r="128" spans="1:7" x14ac:dyDescent="0.35">
      <c r="A128" s="421" t="s">
        <v>431</v>
      </c>
      <c r="B128" s="220" t="s">
        <v>472</v>
      </c>
      <c r="C128" s="432" t="s">
        <v>215</v>
      </c>
      <c r="D128" s="220" t="s">
        <v>852</v>
      </c>
      <c r="E128" s="410">
        <v>2</v>
      </c>
      <c r="F128" s="407">
        <v>5.8</v>
      </c>
      <c r="G128" s="414">
        <f>F128*E128</f>
        <v>11.6</v>
      </c>
    </row>
    <row r="129" spans="1:7" x14ac:dyDescent="0.35">
      <c r="A129" s="295" t="s">
        <v>432</v>
      </c>
      <c r="B129" s="220" t="s">
        <v>474</v>
      </c>
      <c r="C129" s="432" t="s">
        <v>215</v>
      </c>
      <c r="D129" s="220"/>
      <c r="E129" s="410">
        <v>1</v>
      </c>
      <c r="F129" s="407">
        <v>1.51</v>
      </c>
      <c r="G129" s="414">
        <f>F129*E129</f>
        <v>1.51</v>
      </c>
    </row>
    <row r="130" spans="1:7" x14ac:dyDescent="0.35">
      <c r="A130" s="421" t="s">
        <v>433</v>
      </c>
      <c r="B130" s="220" t="s">
        <v>475</v>
      </c>
      <c r="C130" s="432" t="s">
        <v>215</v>
      </c>
      <c r="D130" s="220"/>
      <c r="E130" s="410">
        <v>5</v>
      </c>
      <c r="F130" s="407">
        <v>1.79</v>
      </c>
      <c r="G130" s="414">
        <f>F130*E130</f>
        <v>8.9499999999999993</v>
      </c>
    </row>
    <row r="131" spans="1:7" x14ac:dyDescent="0.35">
      <c r="A131" s="421" t="s">
        <v>435</v>
      </c>
      <c r="B131" s="220" t="s">
        <v>476</v>
      </c>
      <c r="C131" s="432" t="s">
        <v>215</v>
      </c>
      <c r="D131" s="220" t="s">
        <v>853</v>
      </c>
      <c r="E131" s="410">
        <v>1</v>
      </c>
      <c r="F131" s="407">
        <v>1.94</v>
      </c>
      <c r="G131" s="414">
        <f>F131*E131</f>
        <v>1.94</v>
      </c>
    </row>
    <row r="132" spans="1:7" x14ac:dyDescent="0.35">
      <c r="A132" s="295" t="s">
        <v>436</v>
      </c>
      <c r="B132" s="220" t="s">
        <v>901</v>
      </c>
      <c r="C132" s="432" t="s">
        <v>225</v>
      </c>
      <c r="D132" s="220"/>
      <c r="E132" s="410">
        <v>0.5</v>
      </c>
      <c r="F132" s="407">
        <v>4.97</v>
      </c>
      <c r="G132" s="414">
        <f>F132*E132</f>
        <v>2.4849999999999999</v>
      </c>
    </row>
    <row r="133" spans="1:7" x14ac:dyDescent="0.35">
      <c r="A133" s="421" t="s">
        <v>437</v>
      </c>
      <c r="B133" s="220" t="s">
        <v>902</v>
      </c>
      <c r="C133" s="432" t="s">
        <v>225</v>
      </c>
      <c r="D133" s="220"/>
      <c r="E133" s="410">
        <v>1</v>
      </c>
      <c r="F133" s="407">
        <v>5.34</v>
      </c>
      <c r="G133" s="414">
        <f>F133*E133</f>
        <v>5.34</v>
      </c>
    </row>
    <row r="134" spans="1:7" x14ac:dyDescent="0.35">
      <c r="A134" s="421" t="s">
        <v>438</v>
      </c>
      <c r="B134" s="220" t="s">
        <v>903</v>
      </c>
      <c r="C134" s="432" t="s">
        <v>225</v>
      </c>
      <c r="D134" s="220"/>
      <c r="E134" s="410">
        <v>1</v>
      </c>
      <c r="F134" s="407">
        <v>2.35</v>
      </c>
      <c r="G134" s="414">
        <f>F134*E134</f>
        <v>2.35</v>
      </c>
    </row>
    <row r="135" spans="1:7" x14ac:dyDescent="0.35">
      <c r="A135" s="295" t="s">
        <v>439</v>
      </c>
      <c r="B135" s="220" t="s">
        <v>904</v>
      </c>
      <c r="C135" s="432" t="s">
        <v>225</v>
      </c>
      <c r="D135" s="220"/>
      <c r="E135" s="410">
        <v>1</v>
      </c>
      <c r="F135" s="407">
        <v>2.2200000000000002</v>
      </c>
      <c r="G135" s="414">
        <f>F135*E135</f>
        <v>2.2200000000000002</v>
      </c>
    </row>
    <row r="136" spans="1:7" x14ac:dyDescent="0.35">
      <c r="A136" s="421" t="s">
        <v>440</v>
      </c>
      <c r="B136" s="220" t="s">
        <v>479</v>
      </c>
      <c r="C136" s="432" t="s">
        <v>334</v>
      </c>
      <c r="D136" s="220" t="s">
        <v>286</v>
      </c>
      <c r="E136" s="410">
        <v>1</v>
      </c>
      <c r="F136" s="407">
        <v>10.5</v>
      </c>
      <c r="G136" s="414">
        <f>F136*E136</f>
        <v>10.5</v>
      </c>
    </row>
    <row r="137" spans="1:7" x14ac:dyDescent="0.35">
      <c r="A137" s="421" t="s">
        <v>441</v>
      </c>
      <c r="B137" s="220" t="s">
        <v>480</v>
      </c>
      <c r="C137" s="432" t="s">
        <v>225</v>
      </c>
      <c r="D137" s="220" t="s">
        <v>854</v>
      </c>
      <c r="E137" s="410">
        <f>2/2</f>
        <v>1</v>
      </c>
      <c r="F137" s="407">
        <v>85.470000000000013</v>
      </c>
      <c r="G137" s="414">
        <f>F137*E137</f>
        <v>85.470000000000013</v>
      </c>
    </row>
    <row r="138" spans="1:7" x14ac:dyDescent="0.35">
      <c r="A138" s="295" t="s">
        <v>443</v>
      </c>
      <c r="B138" s="220" t="s">
        <v>481</v>
      </c>
      <c r="C138" s="432" t="s">
        <v>225</v>
      </c>
      <c r="D138" s="220" t="s">
        <v>855</v>
      </c>
      <c r="E138" s="410">
        <v>1</v>
      </c>
      <c r="F138" s="407">
        <v>4.51</v>
      </c>
      <c r="G138" s="414">
        <f>F138*E138</f>
        <v>4.51</v>
      </c>
    </row>
    <row r="139" spans="1:7" x14ac:dyDescent="0.35">
      <c r="A139" s="421" t="s">
        <v>444</v>
      </c>
      <c r="B139" s="220" t="s">
        <v>935</v>
      </c>
      <c r="C139" s="432" t="s">
        <v>225</v>
      </c>
      <c r="D139" s="220" t="s">
        <v>856</v>
      </c>
      <c r="E139" s="410">
        <v>1</v>
      </c>
      <c r="F139" s="407">
        <v>60.93</v>
      </c>
      <c r="G139" s="414">
        <f>F139*E139</f>
        <v>60.93</v>
      </c>
    </row>
    <row r="140" spans="1:7" x14ac:dyDescent="0.35">
      <c r="A140" s="421" t="s">
        <v>945</v>
      </c>
      <c r="B140" s="220" t="s">
        <v>482</v>
      </c>
      <c r="C140" s="295" t="s">
        <v>225</v>
      </c>
      <c r="D140" s="220"/>
      <c r="E140" s="410">
        <v>1</v>
      </c>
      <c r="F140" s="407">
        <v>30.290000000000003</v>
      </c>
      <c r="G140" s="414">
        <f>F140*E140</f>
        <v>30.290000000000003</v>
      </c>
    </row>
    <row r="141" spans="1:7" s="20" customFormat="1" x14ac:dyDescent="0.35">
      <c r="A141" s="295" t="s">
        <v>445</v>
      </c>
      <c r="B141" s="422" t="s">
        <v>936</v>
      </c>
      <c r="C141" s="420" t="s">
        <v>225</v>
      </c>
      <c r="D141" s="422" t="s">
        <v>857</v>
      </c>
      <c r="E141" s="423">
        <f>3/2</f>
        <v>1.5</v>
      </c>
      <c r="F141" s="424">
        <v>6.83</v>
      </c>
      <c r="G141" s="425">
        <f>F141*E141</f>
        <v>10.245000000000001</v>
      </c>
    </row>
    <row r="142" spans="1:7" s="20" customFormat="1" x14ac:dyDescent="0.35">
      <c r="A142" s="421" t="s">
        <v>446</v>
      </c>
      <c r="B142" s="422" t="s">
        <v>937</v>
      </c>
      <c r="C142" s="420" t="s">
        <v>1</v>
      </c>
      <c r="D142" s="422"/>
      <c r="E142" s="423">
        <v>1</v>
      </c>
      <c r="F142" s="424">
        <v>9.1300000000000008</v>
      </c>
      <c r="G142" s="425">
        <f>F142*E142</f>
        <v>9.1300000000000008</v>
      </c>
    </row>
    <row r="143" spans="1:7" s="20" customFormat="1" ht="29" x14ac:dyDescent="0.35">
      <c r="A143" s="421" t="s">
        <v>946</v>
      </c>
      <c r="B143" s="289" t="s">
        <v>905</v>
      </c>
      <c r="C143" s="421" t="s">
        <v>1</v>
      </c>
      <c r="D143" s="422"/>
      <c r="E143" s="423">
        <v>4</v>
      </c>
      <c r="F143" s="424">
        <v>13.4</v>
      </c>
      <c r="G143" s="425">
        <f>F143*E143</f>
        <v>53.6</v>
      </c>
    </row>
    <row r="144" spans="1:7" s="20" customFormat="1" ht="43.5" x14ac:dyDescent="0.35">
      <c r="A144" s="295" t="s">
        <v>947</v>
      </c>
      <c r="B144" s="288" t="s">
        <v>483</v>
      </c>
      <c r="C144" s="420" t="s">
        <v>225</v>
      </c>
      <c r="D144" s="422"/>
      <c r="E144" s="423">
        <v>8</v>
      </c>
      <c r="F144" s="424">
        <v>12.21</v>
      </c>
      <c r="G144" s="425">
        <f>F144*E144</f>
        <v>97.68</v>
      </c>
    </row>
    <row r="145" spans="1:7" s="20" customFormat="1" x14ac:dyDescent="0.35">
      <c r="A145" s="421" t="s">
        <v>447</v>
      </c>
      <c r="B145" s="422" t="s">
        <v>906</v>
      </c>
      <c r="C145" s="420" t="s">
        <v>225</v>
      </c>
      <c r="D145" s="422" t="s">
        <v>858</v>
      </c>
      <c r="E145" s="423">
        <v>3</v>
      </c>
      <c r="F145" s="424">
        <v>9.98</v>
      </c>
      <c r="G145" s="425">
        <f>F145*E145</f>
        <v>29.94</v>
      </c>
    </row>
    <row r="146" spans="1:7" s="20" customFormat="1" x14ac:dyDescent="0.35">
      <c r="A146" s="421" t="s">
        <v>448</v>
      </c>
      <c r="B146" s="422" t="s">
        <v>484</v>
      </c>
      <c r="C146" s="420" t="s">
        <v>225</v>
      </c>
      <c r="D146" s="422" t="s">
        <v>859</v>
      </c>
      <c r="E146" s="423">
        <v>8</v>
      </c>
      <c r="F146" s="424">
        <v>12.21</v>
      </c>
      <c r="G146" s="425">
        <f>F146*E146</f>
        <v>97.68</v>
      </c>
    </row>
    <row r="147" spans="1:7" s="20" customFormat="1" x14ac:dyDescent="0.35">
      <c r="A147" s="295" t="s">
        <v>1101</v>
      </c>
      <c r="B147" s="422" t="s">
        <v>920</v>
      </c>
      <c r="C147" s="420" t="s">
        <v>225</v>
      </c>
      <c r="D147" s="422" t="s">
        <v>860</v>
      </c>
      <c r="E147" s="423">
        <v>10</v>
      </c>
      <c r="F147" s="424">
        <v>6.76</v>
      </c>
      <c r="G147" s="425">
        <f>F147*E147</f>
        <v>67.599999999999994</v>
      </c>
    </row>
    <row r="148" spans="1:7" s="20" customFormat="1" ht="29" x14ac:dyDescent="0.35">
      <c r="A148" s="421" t="s">
        <v>1102</v>
      </c>
      <c r="B148" s="289" t="s">
        <v>907</v>
      </c>
      <c r="C148" s="420" t="s">
        <v>225</v>
      </c>
      <c r="D148" s="422"/>
      <c r="E148" s="423">
        <v>5</v>
      </c>
      <c r="F148" s="424">
        <v>9.4700000000000006</v>
      </c>
      <c r="G148" s="425">
        <f>F148*E148</f>
        <v>47.35</v>
      </c>
    </row>
    <row r="149" spans="1:7" s="20" customFormat="1" ht="29" x14ac:dyDescent="0.35">
      <c r="A149" s="421" t="s">
        <v>1103</v>
      </c>
      <c r="B149" s="289" t="s">
        <v>908</v>
      </c>
      <c r="C149" s="420" t="s">
        <v>225</v>
      </c>
      <c r="D149" s="422"/>
      <c r="E149" s="423">
        <v>6</v>
      </c>
      <c r="F149" s="424">
        <v>20.9</v>
      </c>
      <c r="G149" s="425">
        <f>F149*E149</f>
        <v>125.39999999999999</v>
      </c>
    </row>
    <row r="150" spans="1:7" s="20" customFormat="1" ht="58" x14ac:dyDescent="0.35">
      <c r="A150" s="295" t="s">
        <v>449</v>
      </c>
      <c r="B150" s="234" t="s">
        <v>485</v>
      </c>
      <c r="C150" s="420" t="s">
        <v>225</v>
      </c>
      <c r="D150" s="422" t="s">
        <v>861</v>
      </c>
      <c r="E150" s="423">
        <v>1</v>
      </c>
      <c r="F150" s="424">
        <v>17.489999999999998</v>
      </c>
      <c r="G150" s="425">
        <f>F150*E150</f>
        <v>17.489999999999998</v>
      </c>
    </row>
    <row r="151" spans="1:7" s="203" customFormat="1" ht="87" x14ac:dyDescent="0.35">
      <c r="A151" s="421" t="s">
        <v>450</v>
      </c>
      <c r="B151" s="427" t="s">
        <v>486</v>
      </c>
      <c r="C151" s="420" t="s">
        <v>225</v>
      </c>
      <c r="D151" s="420"/>
      <c r="E151" s="423">
        <v>2</v>
      </c>
      <c r="F151" s="408">
        <v>154.86000000000001</v>
      </c>
      <c r="G151" s="434">
        <f>F151*E151</f>
        <v>309.72000000000003</v>
      </c>
    </row>
    <row r="152" spans="1:7" s="20" customFormat="1" ht="87" x14ac:dyDescent="0.35">
      <c r="A152" s="421" t="s">
        <v>451</v>
      </c>
      <c r="B152" s="288" t="s">
        <v>909</v>
      </c>
      <c r="C152" s="420" t="s">
        <v>1</v>
      </c>
      <c r="D152" s="422"/>
      <c r="E152" s="423">
        <v>2</v>
      </c>
      <c r="F152" s="424">
        <v>23.99</v>
      </c>
      <c r="G152" s="425">
        <f>F152*E152</f>
        <v>47.98</v>
      </c>
    </row>
    <row r="153" spans="1:7" x14ac:dyDescent="0.35">
      <c r="A153" s="295" t="s">
        <v>452</v>
      </c>
      <c r="B153" s="220" t="s">
        <v>487</v>
      </c>
      <c r="C153" s="295" t="s">
        <v>1</v>
      </c>
      <c r="D153" s="220"/>
      <c r="E153" s="410">
        <v>1</v>
      </c>
      <c r="F153" s="407">
        <v>123.12</v>
      </c>
      <c r="G153" s="414">
        <f>F153*E153</f>
        <v>123.12</v>
      </c>
    </row>
    <row r="154" spans="1:7" x14ac:dyDescent="0.35">
      <c r="A154" s="421" t="s">
        <v>948</v>
      </c>
      <c r="B154" s="220" t="s">
        <v>488</v>
      </c>
      <c r="C154" s="295" t="s">
        <v>225</v>
      </c>
      <c r="D154" s="220"/>
      <c r="E154" s="410">
        <v>2</v>
      </c>
      <c r="F154" s="407">
        <v>6.65</v>
      </c>
      <c r="G154" s="414">
        <f>F154*E154</f>
        <v>13.3</v>
      </c>
    </row>
    <row r="155" spans="1:7" x14ac:dyDescent="0.35">
      <c r="A155" s="421" t="s">
        <v>1104</v>
      </c>
      <c r="B155" s="220" t="s">
        <v>489</v>
      </c>
      <c r="C155" s="432" t="s">
        <v>225</v>
      </c>
      <c r="D155" s="220" t="s">
        <v>862</v>
      </c>
      <c r="E155" s="410">
        <v>3</v>
      </c>
      <c r="F155" s="407">
        <v>7.57</v>
      </c>
      <c r="G155" s="414">
        <f>F155*E155</f>
        <v>22.71</v>
      </c>
    </row>
    <row r="156" spans="1:7" x14ac:dyDescent="0.35">
      <c r="A156" s="295" t="s">
        <v>453</v>
      </c>
      <c r="B156" s="220" t="s">
        <v>490</v>
      </c>
      <c r="C156" s="432" t="s">
        <v>225</v>
      </c>
      <c r="D156" s="220"/>
      <c r="E156" s="410">
        <v>2</v>
      </c>
      <c r="F156" s="407">
        <v>9.69</v>
      </c>
      <c r="G156" s="414">
        <f>F156*E156</f>
        <v>19.38</v>
      </c>
    </row>
    <row r="157" spans="1:7" x14ac:dyDescent="0.35">
      <c r="A157" s="421" t="s">
        <v>454</v>
      </c>
      <c r="B157" s="220" t="s">
        <v>491</v>
      </c>
      <c r="C157" s="432" t="s">
        <v>225</v>
      </c>
      <c r="D157" s="220"/>
      <c r="E157" s="410">
        <v>2</v>
      </c>
      <c r="F157" s="407">
        <v>53.51</v>
      </c>
      <c r="G157" s="414">
        <f>F157*E157</f>
        <v>107.02</v>
      </c>
    </row>
    <row r="158" spans="1:7" x14ac:dyDescent="0.35">
      <c r="A158" s="421" t="s">
        <v>456</v>
      </c>
      <c r="B158" s="220" t="s">
        <v>492</v>
      </c>
      <c r="C158" s="295" t="s">
        <v>225</v>
      </c>
      <c r="D158" s="220"/>
      <c r="E158" s="410">
        <v>0.5</v>
      </c>
      <c r="F158" s="407">
        <v>755.03666666666675</v>
      </c>
      <c r="G158" s="414">
        <f>F158*E158</f>
        <v>377.51833333333337</v>
      </c>
    </row>
    <row r="159" spans="1:7" x14ac:dyDescent="0.35">
      <c r="A159" s="295" t="s">
        <v>458</v>
      </c>
      <c r="B159" s="220" t="s">
        <v>910</v>
      </c>
      <c r="C159" s="432" t="s">
        <v>225</v>
      </c>
      <c r="D159" s="220" t="s">
        <v>863</v>
      </c>
      <c r="E159" s="410">
        <v>1</v>
      </c>
      <c r="F159" s="407">
        <v>16.82</v>
      </c>
      <c r="G159" s="414">
        <f>F159*E159</f>
        <v>16.82</v>
      </c>
    </row>
    <row r="160" spans="1:7" x14ac:dyDescent="0.35">
      <c r="A160" s="421" t="s">
        <v>459</v>
      </c>
      <c r="B160" s="220" t="s">
        <v>911</v>
      </c>
      <c r="C160" s="432" t="s">
        <v>225</v>
      </c>
      <c r="D160" s="220" t="s">
        <v>864</v>
      </c>
      <c r="E160" s="410">
        <v>1</v>
      </c>
      <c r="F160" s="407">
        <v>21.1</v>
      </c>
      <c r="G160" s="414">
        <f>F160*E160</f>
        <v>21.1</v>
      </c>
    </row>
    <row r="161" spans="1:7" x14ac:dyDescent="0.35">
      <c r="A161" s="421" t="s">
        <v>949</v>
      </c>
      <c r="B161" s="220" t="s">
        <v>912</v>
      </c>
      <c r="C161" s="432" t="s">
        <v>225</v>
      </c>
      <c r="D161" s="220" t="s">
        <v>865</v>
      </c>
      <c r="E161" s="410">
        <v>2</v>
      </c>
      <c r="F161" s="407">
        <v>22.83</v>
      </c>
      <c r="G161" s="414">
        <f>F161*E161</f>
        <v>45.66</v>
      </c>
    </row>
    <row r="162" spans="1:7" x14ac:dyDescent="0.35">
      <c r="A162" s="295" t="s">
        <v>462</v>
      </c>
      <c r="B162" s="220" t="s">
        <v>955</v>
      </c>
      <c r="C162" s="432" t="s">
        <v>225</v>
      </c>
      <c r="D162" s="220" t="s">
        <v>866</v>
      </c>
      <c r="E162" s="410">
        <v>2</v>
      </c>
      <c r="F162" s="407">
        <v>76.27</v>
      </c>
      <c r="G162" s="414">
        <f>F162*E162</f>
        <v>152.54</v>
      </c>
    </row>
    <row r="163" spans="1:7" x14ac:dyDescent="0.35">
      <c r="A163" s="421" t="s">
        <v>463</v>
      </c>
      <c r="B163" s="220" t="s">
        <v>493</v>
      </c>
      <c r="C163" s="432" t="s">
        <v>225</v>
      </c>
      <c r="D163" s="220"/>
      <c r="E163" s="410">
        <v>1</v>
      </c>
      <c r="F163" s="407">
        <v>71.599999999999994</v>
      </c>
      <c r="G163" s="414">
        <f>F163*E163</f>
        <v>71.599999999999994</v>
      </c>
    </row>
    <row r="164" spans="1:7" s="20" customFormat="1" ht="43.5" x14ac:dyDescent="0.35">
      <c r="A164" s="421" t="s">
        <v>1105</v>
      </c>
      <c r="B164" s="288" t="s">
        <v>494</v>
      </c>
      <c r="C164" s="420" t="s">
        <v>225</v>
      </c>
      <c r="D164" s="422"/>
      <c r="E164" s="423">
        <v>1</v>
      </c>
      <c r="F164" s="424">
        <v>106.75666666666667</v>
      </c>
      <c r="G164" s="425">
        <f>F164*E164</f>
        <v>106.75666666666667</v>
      </c>
    </row>
    <row r="165" spans="1:7" x14ac:dyDescent="0.35">
      <c r="A165" s="295" t="s">
        <v>1106</v>
      </c>
      <c r="B165" s="220" t="s">
        <v>495</v>
      </c>
      <c r="C165" s="432" t="s">
        <v>225</v>
      </c>
      <c r="D165" s="220" t="s">
        <v>867</v>
      </c>
      <c r="E165" s="410">
        <v>1</v>
      </c>
      <c r="F165" s="407">
        <v>117.58</v>
      </c>
      <c r="G165" s="414">
        <f>F165*E165</f>
        <v>117.58</v>
      </c>
    </row>
    <row r="166" spans="1:7" x14ac:dyDescent="0.35">
      <c r="A166" s="421" t="s">
        <v>466</v>
      </c>
      <c r="B166" s="220" t="s">
        <v>913</v>
      </c>
      <c r="C166" s="295" t="s">
        <v>225</v>
      </c>
      <c r="D166" s="220"/>
      <c r="E166" s="410">
        <v>1</v>
      </c>
      <c r="F166" s="407">
        <v>40.71</v>
      </c>
      <c r="G166" s="414">
        <f>F166*E166</f>
        <v>40.71</v>
      </c>
    </row>
    <row r="167" spans="1:7" x14ac:dyDescent="0.35">
      <c r="A167" s="421" t="s">
        <v>467</v>
      </c>
      <c r="B167" s="220" t="s">
        <v>914</v>
      </c>
      <c r="C167" s="295" t="s">
        <v>225</v>
      </c>
      <c r="D167" s="220"/>
      <c r="E167" s="410">
        <v>2</v>
      </c>
      <c r="F167" s="407">
        <v>45.92</v>
      </c>
      <c r="G167" s="414">
        <f>F167*E167</f>
        <v>91.84</v>
      </c>
    </row>
    <row r="168" spans="1:7" x14ac:dyDescent="0.35">
      <c r="A168" s="295" t="s">
        <v>469</v>
      </c>
      <c r="B168" s="220" t="s">
        <v>915</v>
      </c>
      <c r="C168" s="295" t="s">
        <v>225</v>
      </c>
      <c r="D168" s="220"/>
      <c r="E168" s="410">
        <v>1</v>
      </c>
      <c r="F168" s="407">
        <v>28.4</v>
      </c>
      <c r="G168" s="414">
        <f>F168*E168</f>
        <v>28.4</v>
      </c>
    </row>
    <row r="169" spans="1:7" x14ac:dyDescent="0.35">
      <c r="A169" s="421" t="s">
        <v>1107</v>
      </c>
      <c r="B169" s="220" t="s">
        <v>496</v>
      </c>
      <c r="C169" s="432" t="s">
        <v>225</v>
      </c>
      <c r="D169" s="220" t="s">
        <v>868</v>
      </c>
      <c r="E169" s="410">
        <v>2</v>
      </c>
      <c r="F169" s="407">
        <v>3.87</v>
      </c>
      <c r="G169" s="414">
        <f>F169*E169</f>
        <v>7.74</v>
      </c>
    </row>
    <row r="170" spans="1:7" x14ac:dyDescent="0.35">
      <c r="A170" s="421" t="s">
        <v>471</v>
      </c>
      <c r="B170" s="220" t="s">
        <v>497</v>
      </c>
      <c r="C170" s="432" t="s">
        <v>225</v>
      </c>
      <c r="D170" s="220"/>
      <c r="E170" s="410">
        <v>1</v>
      </c>
      <c r="F170" s="407">
        <v>3.9</v>
      </c>
      <c r="G170" s="414">
        <f>F170*E170</f>
        <v>3.9</v>
      </c>
    </row>
    <row r="171" spans="1:7" s="203" customFormat="1" ht="43.5" x14ac:dyDescent="0.35">
      <c r="A171" s="421" t="s">
        <v>1108</v>
      </c>
      <c r="B171" s="435" t="s">
        <v>916</v>
      </c>
      <c r="C171" s="420" t="s">
        <v>225</v>
      </c>
      <c r="D171" s="420"/>
      <c r="E171" s="423">
        <v>1</v>
      </c>
      <c r="F171" s="408">
        <v>15.93</v>
      </c>
      <c r="G171" s="434">
        <f>F171*E171</f>
        <v>15.93</v>
      </c>
    </row>
    <row r="172" spans="1:7" ht="29" x14ac:dyDescent="0.35">
      <c r="A172" s="421" t="s">
        <v>1109</v>
      </c>
      <c r="B172" s="288" t="s">
        <v>498</v>
      </c>
      <c r="C172" s="432" t="s">
        <v>1</v>
      </c>
      <c r="D172" s="220"/>
      <c r="E172" s="410">
        <v>1</v>
      </c>
      <c r="F172" s="407">
        <v>5.22</v>
      </c>
      <c r="G172" s="414">
        <f>F172*E172</f>
        <v>5.22</v>
      </c>
    </row>
    <row r="173" spans="1:7" ht="29" x14ac:dyDescent="0.35">
      <c r="A173" s="421" t="s">
        <v>950</v>
      </c>
      <c r="B173" s="288" t="s">
        <v>918</v>
      </c>
      <c r="C173" s="432" t="s">
        <v>225</v>
      </c>
      <c r="D173" s="220"/>
      <c r="E173" s="410">
        <v>1</v>
      </c>
      <c r="F173" s="407">
        <v>3.22</v>
      </c>
      <c r="G173" s="414">
        <f>F173*E173</f>
        <v>3.22</v>
      </c>
    </row>
    <row r="174" spans="1:7" x14ac:dyDescent="0.35">
      <c r="A174" s="295" t="s">
        <v>473</v>
      </c>
      <c r="B174" s="220" t="s">
        <v>917</v>
      </c>
      <c r="C174" s="295" t="s">
        <v>1</v>
      </c>
      <c r="D174" s="220"/>
      <c r="E174" s="410">
        <v>2</v>
      </c>
      <c r="F174" s="407">
        <v>3.47</v>
      </c>
      <c r="G174" s="414">
        <f>F174*E174</f>
        <v>6.94</v>
      </c>
    </row>
    <row r="175" spans="1:7" x14ac:dyDescent="0.35">
      <c r="A175" s="421" t="s">
        <v>1110</v>
      </c>
      <c r="B175" s="220" t="s">
        <v>499</v>
      </c>
      <c r="C175" s="432" t="s">
        <v>225</v>
      </c>
      <c r="D175" s="220" t="s">
        <v>869</v>
      </c>
      <c r="E175" s="410">
        <v>2</v>
      </c>
      <c r="F175" s="407">
        <v>9.1999999999999993</v>
      </c>
      <c r="G175" s="414">
        <f>F175*E175</f>
        <v>18.399999999999999</v>
      </c>
    </row>
    <row r="176" spans="1:7" x14ac:dyDescent="0.35">
      <c r="A176" s="421" t="s">
        <v>1111</v>
      </c>
      <c r="B176" s="285" t="s">
        <v>939</v>
      </c>
      <c r="C176" s="295" t="s">
        <v>1</v>
      </c>
      <c r="D176" s="220"/>
      <c r="E176" s="410">
        <v>2</v>
      </c>
      <c r="F176" s="407">
        <v>8.9</v>
      </c>
      <c r="G176" s="414">
        <f>F176*E176</f>
        <v>17.8</v>
      </c>
    </row>
    <row r="177" spans="1:7" x14ac:dyDescent="0.35">
      <c r="A177" s="295" t="s">
        <v>477</v>
      </c>
      <c r="B177" s="285" t="s">
        <v>940</v>
      </c>
      <c r="C177" s="295" t="s">
        <v>225</v>
      </c>
      <c r="D177" s="220"/>
      <c r="E177" s="410">
        <v>1</v>
      </c>
      <c r="F177" s="407">
        <v>15.41</v>
      </c>
      <c r="G177" s="414">
        <f>F177*E177</f>
        <v>15.41</v>
      </c>
    </row>
    <row r="178" spans="1:7" x14ac:dyDescent="0.35">
      <c r="A178" s="421" t="s">
        <v>478</v>
      </c>
      <c r="B178" s="220" t="s">
        <v>500</v>
      </c>
      <c r="C178" s="432" t="s">
        <v>225</v>
      </c>
      <c r="D178" s="220" t="s">
        <v>870</v>
      </c>
      <c r="E178" s="410">
        <v>1</v>
      </c>
      <c r="F178" s="407">
        <v>100.54666666666667</v>
      </c>
      <c r="G178" s="414">
        <f>F178*E178</f>
        <v>100.54666666666667</v>
      </c>
    </row>
    <row r="179" spans="1:7" x14ac:dyDescent="0.35">
      <c r="A179" s="421" t="s">
        <v>1112</v>
      </c>
      <c r="B179" s="220" t="s">
        <v>938</v>
      </c>
      <c r="C179" s="432" t="s">
        <v>225</v>
      </c>
      <c r="D179" s="220" t="s">
        <v>871</v>
      </c>
      <c r="E179" s="410">
        <v>1</v>
      </c>
      <c r="F179" s="407">
        <v>13.57</v>
      </c>
      <c r="G179" s="414">
        <f>F179*E179</f>
        <v>13.57</v>
      </c>
    </row>
    <row r="180" spans="1:7" x14ac:dyDescent="0.35">
      <c r="A180" s="283">
        <v>4</v>
      </c>
      <c r="B180" s="290" t="s">
        <v>872</v>
      </c>
      <c r="C180" s="413"/>
      <c r="D180" s="287"/>
      <c r="E180" s="411"/>
      <c r="F180" s="416"/>
      <c r="G180" s="417"/>
    </row>
    <row r="181" spans="1:7" x14ac:dyDescent="0.35">
      <c r="A181" s="295" t="s">
        <v>501</v>
      </c>
      <c r="B181" s="220" t="s">
        <v>502</v>
      </c>
      <c r="C181" s="432" t="s">
        <v>225</v>
      </c>
      <c r="D181" s="220"/>
      <c r="E181" s="410">
        <v>1</v>
      </c>
      <c r="F181" s="407">
        <v>22.12</v>
      </c>
      <c r="G181" s="414">
        <f>F181*E181</f>
        <v>22.12</v>
      </c>
    </row>
    <row r="182" spans="1:7" x14ac:dyDescent="0.35">
      <c r="A182" s="295" t="s">
        <v>503</v>
      </c>
      <c r="B182" s="220" t="s">
        <v>506</v>
      </c>
      <c r="C182" s="432" t="s">
        <v>225</v>
      </c>
      <c r="D182" s="220" t="s">
        <v>507</v>
      </c>
      <c r="E182" s="410">
        <v>2</v>
      </c>
      <c r="F182" s="407">
        <v>28.5</v>
      </c>
      <c r="G182" s="414">
        <f>F182*E182</f>
        <v>57</v>
      </c>
    </row>
    <row r="183" spans="1:7" x14ac:dyDescent="0.35">
      <c r="A183" s="295" t="s">
        <v>505</v>
      </c>
      <c r="B183" s="220" t="s">
        <v>509</v>
      </c>
      <c r="C183" s="295" t="s">
        <v>225</v>
      </c>
      <c r="D183" s="220"/>
      <c r="E183" s="410">
        <v>1</v>
      </c>
      <c r="F183" s="407">
        <v>38.5</v>
      </c>
      <c r="G183" s="414">
        <f>F183*E183</f>
        <v>38.5</v>
      </c>
    </row>
    <row r="184" spans="1:7" x14ac:dyDescent="0.35">
      <c r="A184" s="295" t="s">
        <v>508</v>
      </c>
      <c r="B184" s="220" t="s">
        <v>512</v>
      </c>
      <c r="C184" s="295" t="s">
        <v>225</v>
      </c>
      <c r="D184" s="220"/>
      <c r="E184" s="410">
        <v>0.5</v>
      </c>
      <c r="F184" s="407">
        <v>299.95999999999998</v>
      </c>
      <c r="G184" s="414">
        <f>F184*E184</f>
        <v>149.97999999999999</v>
      </c>
    </row>
    <row r="185" spans="1:7" x14ac:dyDescent="0.35">
      <c r="A185" s="295" t="s">
        <v>510</v>
      </c>
      <c r="B185" s="220" t="s">
        <v>514</v>
      </c>
      <c r="C185" s="295" t="s">
        <v>1</v>
      </c>
      <c r="D185" s="220"/>
      <c r="E185" s="410">
        <v>0.5</v>
      </c>
      <c r="F185" s="407">
        <v>112.5</v>
      </c>
      <c r="G185" s="414">
        <f>F185*E185</f>
        <v>56.25</v>
      </c>
    </row>
    <row r="186" spans="1:7" x14ac:dyDescent="0.35">
      <c r="A186" s="295" t="s">
        <v>511</v>
      </c>
      <c r="B186" s="220" t="s">
        <v>516</v>
      </c>
      <c r="C186" s="432" t="s">
        <v>225</v>
      </c>
      <c r="D186" s="220" t="s">
        <v>873</v>
      </c>
      <c r="E186" s="410">
        <v>0.5</v>
      </c>
      <c r="F186" s="407">
        <v>949.89</v>
      </c>
      <c r="G186" s="414">
        <f>F186*E186</f>
        <v>474.94499999999999</v>
      </c>
    </row>
    <row r="187" spans="1:7" s="20" customFormat="1" ht="43.5" x14ac:dyDescent="0.35">
      <c r="A187" s="295" t="s">
        <v>513</v>
      </c>
      <c r="B187" s="288" t="s">
        <v>517</v>
      </c>
      <c r="C187" s="420" t="s">
        <v>225</v>
      </c>
      <c r="D187" s="422"/>
      <c r="E187" s="423">
        <v>0.5</v>
      </c>
      <c r="F187" s="424">
        <v>67.099999999999994</v>
      </c>
      <c r="G187" s="425">
        <f>F187*E187</f>
        <v>33.549999999999997</v>
      </c>
    </row>
    <row r="188" spans="1:7" x14ac:dyDescent="0.35">
      <c r="A188" s="295" t="s">
        <v>515</v>
      </c>
      <c r="B188" s="288" t="s">
        <v>520</v>
      </c>
      <c r="C188" s="432" t="s">
        <v>225</v>
      </c>
      <c r="D188" s="220"/>
      <c r="E188" s="410">
        <v>1</v>
      </c>
      <c r="F188" s="407">
        <v>16.59</v>
      </c>
      <c r="G188" s="414">
        <f>F188*E188</f>
        <v>16.59</v>
      </c>
    </row>
    <row r="189" spans="1:7" ht="43.5" x14ac:dyDescent="0.35">
      <c r="A189" s="295" t="s">
        <v>1113</v>
      </c>
      <c r="B189" s="288" t="s">
        <v>523</v>
      </c>
      <c r="C189" s="432" t="s">
        <v>225</v>
      </c>
      <c r="D189" s="220"/>
      <c r="E189" s="410">
        <v>2</v>
      </c>
      <c r="F189" s="407">
        <v>1.57</v>
      </c>
      <c r="G189" s="414">
        <f>F189*E189</f>
        <v>3.14</v>
      </c>
    </row>
    <row r="190" spans="1:7" ht="43.5" x14ac:dyDescent="0.35">
      <c r="A190" s="295" t="s">
        <v>518</v>
      </c>
      <c r="B190" s="288" t="s">
        <v>525</v>
      </c>
      <c r="C190" s="432" t="s">
        <v>225</v>
      </c>
      <c r="D190" s="220"/>
      <c r="E190" s="410">
        <v>1</v>
      </c>
      <c r="F190" s="407">
        <v>2.0699999999999998</v>
      </c>
      <c r="G190" s="414">
        <f>F190*E190</f>
        <v>2.0699999999999998</v>
      </c>
    </row>
    <row r="191" spans="1:7" ht="43.5" x14ac:dyDescent="0.35">
      <c r="A191" s="295" t="s">
        <v>519</v>
      </c>
      <c r="B191" s="288" t="s">
        <v>527</v>
      </c>
      <c r="C191" s="432" t="s">
        <v>225</v>
      </c>
      <c r="D191" s="220"/>
      <c r="E191" s="410">
        <v>1</v>
      </c>
      <c r="F191" s="407">
        <v>10.78</v>
      </c>
      <c r="G191" s="414">
        <f>F191*E191</f>
        <v>10.78</v>
      </c>
    </row>
    <row r="192" spans="1:7" x14ac:dyDescent="0.35">
      <c r="A192" s="295" t="s">
        <v>521</v>
      </c>
      <c r="B192" s="220" t="s">
        <v>529</v>
      </c>
      <c r="C192" s="432" t="s">
        <v>225</v>
      </c>
      <c r="D192" s="220"/>
      <c r="E192" s="410">
        <v>0.5</v>
      </c>
      <c r="F192" s="407">
        <v>2.08</v>
      </c>
      <c r="G192" s="414">
        <f>F192*E192</f>
        <v>1.04</v>
      </c>
    </row>
    <row r="193" spans="1:7" x14ac:dyDescent="0.35">
      <c r="A193" s="295" t="s">
        <v>522</v>
      </c>
      <c r="B193" s="220" t="s">
        <v>531</v>
      </c>
      <c r="C193" s="432" t="s">
        <v>225</v>
      </c>
      <c r="D193" s="220"/>
      <c r="E193" s="410">
        <v>0.5</v>
      </c>
      <c r="F193" s="407">
        <v>2.69</v>
      </c>
      <c r="G193" s="414">
        <f>F193*E193</f>
        <v>1.345</v>
      </c>
    </row>
    <row r="194" spans="1:7" ht="43.5" x14ac:dyDescent="0.35">
      <c r="A194" s="295" t="s">
        <v>524</v>
      </c>
      <c r="B194" s="288" t="s">
        <v>533</v>
      </c>
      <c r="C194" s="432" t="s">
        <v>225</v>
      </c>
      <c r="D194" s="220"/>
      <c r="E194" s="410">
        <v>0.5</v>
      </c>
      <c r="F194" s="407">
        <v>13.24</v>
      </c>
      <c r="G194" s="414">
        <f>F194*E194</f>
        <v>6.62</v>
      </c>
    </row>
    <row r="195" spans="1:7" ht="29" x14ac:dyDescent="0.35">
      <c r="A195" s="295" t="s">
        <v>526</v>
      </c>
      <c r="B195" s="288" t="s">
        <v>535</v>
      </c>
      <c r="C195" s="432" t="s">
        <v>225</v>
      </c>
      <c r="D195" s="220"/>
      <c r="E195" s="410">
        <v>1</v>
      </c>
      <c r="F195" s="407">
        <v>7.25</v>
      </c>
      <c r="G195" s="414">
        <f>F195*E195</f>
        <v>7.25</v>
      </c>
    </row>
    <row r="196" spans="1:7" ht="29" x14ac:dyDescent="0.35">
      <c r="A196" s="295" t="s">
        <v>528</v>
      </c>
      <c r="B196" s="288" t="s">
        <v>537</v>
      </c>
      <c r="C196" s="432" t="s">
        <v>225</v>
      </c>
      <c r="D196" s="220"/>
      <c r="E196" s="410">
        <v>1</v>
      </c>
      <c r="F196" s="407">
        <v>3.66</v>
      </c>
      <c r="G196" s="414">
        <f>F196*E196</f>
        <v>3.66</v>
      </c>
    </row>
    <row r="197" spans="1:7" ht="29" x14ac:dyDescent="0.35">
      <c r="A197" s="295" t="s">
        <v>530</v>
      </c>
      <c r="B197" s="288" t="s">
        <v>539</v>
      </c>
      <c r="C197" s="432" t="s">
        <v>225</v>
      </c>
      <c r="D197" s="220"/>
      <c r="E197" s="410">
        <v>1</v>
      </c>
      <c r="F197" s="407">
        <v>33.28</v>
      </c>
      <c r="G197" s="414">
        <f>F197*E197</f>
        <v>33.28</v>
      </c>
    </row>
    <row r="198" spans="1:7" ht="29" x14ac:dyDescent="0.35">
      <c r="A198" s="295" t="s">
        <v>532</v>
      </c>
      <c r="B198" s="288" t="s">
        <v>541</v>
      </c>
      <c r="C198" s="432" t="s">
        <v>225</v>
      </c>
      <c r="D198" s="220"/>
      <c r="E198" s="410">
        <v>1</v>
      </c>
      <c r="F198" s="407">
        <v>4.63</v>
      </c>
      <c r="G198" s="414">
        <f>F198*E198</f>
        <v>4.63</v>
      </c>
    </row>
    <row r="199" spans="1:7" x14ac:dyDescent="0.35">
      <c r="A199" s="295" t="s">
        <v>534</v>
      </c>
      <c r="B199" s="220" t="s">
        <v>543</v>
      </c>
      <c r="C199" s="432" t="s">
        <v>225</v>
      </c>
      <c r="D199" s="220" t="s">
        <v>544</v>
      </c>
      <c r="E199" s="410">
        <v>1</v>
      </c>
      <c r="F199" s="407">
        <v>34.68</v>
      </c>
      <c r="G199" s="414">
        <f>F199*E199</f>
        <v>34.68</v>
      </c>
    </row>
    <row r="200" spans="1:7" x14ac:dyDescent="0.35">
      <c r="A200" s="295" t="s">
        <v>536</v>
      </c>
      <c r="B200" s="220" t="s">
        <v>546</v>
      </c>
      <c r="C200" s="432" t="s">
        <v>334</v>
      </c>
      <c r="D200" s="220" t="s">
        <v>288</v>
      </c>
      <c r="E200" s="410">
        <v>2</v>
      </c>
      <c r="F200" s="407">
        <v>14.01</v>
      </c>
      <c r="G200" s="414">
        <f>F200*E200</f>
        <v>28.02</v>
      </c>
    </row>
    <row r="201" spans="1:7" x14ac:dyDescent="0.35">
      <c r="A201" s="295" t="s">
        <v>538</v>
      </c>
      <c r="B201" s="220" t="s">
        <v>547</v>
      </c>
      <c r="C201" s="432" t="s">
        <v>225</v>
      </c>
      <c r="D201" s="220" t="s">
        <v>874</v>
      </c>
      <c r="E201" s="410">
        <v>1</v>
      </c>
      <c r="F201" s="407">
        <v>6.65</v>
      </c>
      <c r="G201" s="414">
        <f>F201*E201</f>
        <v>6.65</v>
      </c>
    </row>
    <row r="202" spans="1:7" x14ac:dyDescent="0.35">
      <c r="A202" s="295" t="s">
        <v>540</v>
      </c>
      <c r="B202" s="220" t="s">
        <v>549</v>
      </c>
      <c r="C202" s="432" t="s">
        <v>225</v>
      </c>
      <c r="D202" s="220" t="s">
        <v>875</v>
      </c>
      <c r="E202" s="410">
        <v>1</v>
      </c>
      <c r="F202" s="407">
        <v>8.76</v>
      </c>
      <c r="G202" s="414">
        <f>F202*E202</f>
        <v>8.76</v>
      </c>
    </row>
    <row r="203" spans="1:7" x14ac:dyDescent="0.35">
      <c r="A203" s="295" t="s">
        <v>542</v>
      </c>
      <c r="B203" s="220" t="s">
        <v>551</v>
      </c>
      <c r="C203" s="432" t="s">
        <v>225</v>
      </c>
      <c r="D203" s="220" t="s">
        <v>876</v>
      </c>
      <c r="E203" s="410">
        <f>4/2</f>
        <v>2</v>
      </c>
      <c r="F203" s="407">
        <v>4.62</v>
      </c>
      <c r="G203" s="414">
        <f>F203*E203</f>
        <v>9.24</v>
      </c>
    </row>
    <row r="204" spans="1:7" ht="29" x14ac:dyDescent="0.35">
      <c r="A204" s="295" t="s">
        <v>545</v>
      </c>
      <c r="B204" s="288" t="s">
        <v>552</v>
      </c>
      <c r="C204" s="295" t="s">
        <v>225</v>
      </c>
      <c r="D204" s="220"/>
      <c r="E204" s="410">
        <v>1</v>
      </c>
      <c r="F204" s="407">
        <v>16.420000000000002</v>
      </c>
      <c r="G204" s="414">
        <f>F204*E204</f>
        <v>16.420000000000002</v>
      </c>
    </row>
    <row r="205" spans="1:7" ht="29" x14ac:dyDescent="0.35">
      <c r="A205" s="295" t="s">
        <v>372</v>
      </c>
      <c r="B205" s="288" t="s">
        <v>555</v>
      </c>
      <c r="C205" s="295" t="s">
        <v>225</v>
      </c>
      <c r="D205" s="220"/>
      <c r="E205" s="410">
        <v>1</v>
      </c>
      <c r="F205" s="407">
        <v>10.77</v>
      </c>
      <c r="G205" s="414">
        <f>F205*E205</f>
        <v>10.77</v>
      </c>
    </row>
    <row r="206" spans="1:7" ht="29" x14ac:dyDescent="0.35">
      <c r="A206" s="295" t="s">
        <v>548</v>
      </c>
      <c r="B206" s="288" t="s">
        <v>557</v>
      </c>
      <c r="C206" s="295" t="s">
        <v>225</v>
      </c>
      <c r="D206" s="220"/>
      <c r="E206" s="410">
        <v>1</v>
      </c>
      <c r="F206" s="407">
        <v>4.26</v>
      </c>
      <c r="G206" s="414">
        <f>F206*E206</f>
        <v>4.26</v>
      </c>
    </row>
    <row r="207" spans="1:7" x14ac:dyDescent="0.35">
      <c r="A207" s="295" t="s">
        <v>550</v>
      </c>
      <c r="B207" s="220" t="s">
        <v>559</v>
      </c>
      <c r="C207" s="432" t="s">
        <v>225</v>
      </c>
      <c r="D207" s="220" t="s">
        <v>560</v>
      </c>
      <c r="E207" s="410">
        <v>1</v>
      </c>
      <c r="F207" s="407">
        <v>5.31</v>
      </c>
      <c r="G207" s="414">
        <f>F207*E207</f>
        <v>5.31</v>
      </c>
    </row>
    <row r="208" spans="1:7" x14ac:dyDescent="0.35">
      <c r="A208" s="295" t="s">
        <v>1114</v>
      </c>
      <c r="B208" s="220" t="s">
        <v>562</v>
      </c>
      <c r="C208" s="432" t="s">
        <v>225</v>
      </c>
      <c r="D208" s="220" t="s">
        <v>563</v>
      </c>
      <c r="E208" s="410">
        <v>2</v>
      </c>
      <c r="F208" s="407">
        <v>4.42</v>
      </c>
      <c r="G208" s="414">
        <f>F208*E208</f>
        <v>8.84</v>
      </c>
    </row>
    <row r="209" spans="1:7" x14ac:dyDescent="0.35">
      <c r="A209" s="295" t="s">
        <v>1115</v>
      </c>
      <c r="B209" s="220" t="s">
        <v>564</v>
      </c>
      <c r="C209" s="432" t="s">
        <v>225</v>
      </c>
      <c r="D209" s="220" t="s">
        <v>565</v>
      </c>
      <c r="E209" s="410">
        <v>1</v>
      </c>
      <c r="F209" s="407">
        <v>6.34</v>
      </c>
      <c r="G209" s="414">
        <f>F209*E209</f>
        <v>6.34</v>
      </c>
    </row>
    <row r="210" spans="1:7" x14ac:dyDescent="0.35">
      <c r="A210" s="295" t="s">
        <v>553</v>
      </c>
      <c r="B210" s="220" t="s">
        <v>568</v>
      </c>
      <c r="C210" s="432" t="s">
        <v>225</v>
      </c>
      <c r="D210" s="220" t="s">
        <v>569</v>
      </c>
      <c r="E210" s="410">
        <v>1</v>
      </c>
      <c r="F210" s="407">
        <v>5.9</v>
      </c>
      <c r="G210" s="414">
        <f>F210*E210</f>
        <v>5.9</v>
      </c>
    </row>
    <row r="211" spans="1:7" x14ac:dyDescent="0.35">
      <c r="A211" s="295" t="s">
        <v>554</v>
      </c>
      <c r="B211" s="220" t="s">
        <v>571</v>
      </c>
      <c r="C211" s="432" t="s">
        <v>225</v>
      </c>
      <c r="D211" s="220" t="s">
        <v>572</v>
      </c>
      <c r="E211" s="410">
        <v>1</v>
      </c>
      <c r="F211" s="407">
        <v>2.16</v>
      </c>
      <c r="G211" s="414">
        <f>F211*E211</f>
        <v>2.16</v>
      </c>
    </row>
    <row r="212" spans="1:7" ht="29" x14ac:dyDescent="0.35">
      <c r="A212" s="295" t="s">
        <v>556</v>
      </c>
      <c r="B212" s="288" t="s">
        <v>574</v>
      </c>
      <c r="C212" s="295" t="s">
        <v>225</v>
      </c>
      <c r="D212" s="220"/>
      <c r="E212" s="410">
        <v>0.5</v>
      </c>
      <c r="F212" s="407">
        <v>275.44</v>
      </c>
      <c r="G212" s="414">
        <f>F212*E212</f>
        <v>137.72</v>
      </c>
    </row>
    <row r="213" spans="1:7" x14ac:dyDescent="0.35">
      <c r="A213" s="295" t="s">
        <v>558</v>
      </c>
      <c r="B213" s="220" t="s">
        <v>576</v>
      </c>
      <c r="C213" s="432" t="s">
        <v>225</v>
      </c>
      <c r="D213" s="220" t="s">
        <v>877</v>
      </c>
      <c r="E213" s="410">
        <v>1</v>
      </c>
      <c r="F213" s="407">
        <v>2.5499999999999998</v>
      </c>
      <c r="G213" s="414">
        <f>F213*E213</f>
        <v>2.5499999999999998</v>
      </c>
    </row>
    <row r="214" spans="1:7" x14ac:dyDescent="0.35">
      <c r="A214" s="295" t="s">
        <v>561</v>
      </c>
      <c r="B214" s="220" t="s">
        <v>578</v>
      </c>
      <c r="C214" s="432" t="s">
        <v>225</v>
      </c>
      <c r="D214" s="220" t="s">
        <v>878</v>
      </c>
      <c r="E214" s="410">
        <v>1</v>
      </c>
      <c r="F214" s="407">
        <v>1.27</v>
      </c>
      <c r="G214" s="414">
        <f>F214*E214</f>
        <v>1.27</v>
      </c>
    </row>
    <row r="215" spans="1:7" x14ac:dyDescent="0.35">
      <c r="A215" s="295" t="s">
        <v>1116</v>
      </c>
      <c r="B215" s="220" t="s">
        <v>580</v>
      </c>
      <c r="C215" s="432" t="s">
        <v>225</v>
      </c>
      <c r="D215" s="220" t="s">
        <v>879</v>
      </c>
      <c r="E215" s="410">
        <v>1</v>
      </c>
      <c r="F215" s="407">
        <v>14.4</v>
      </c>
      <c r="G215" s="414">
        <f>F215*E215</f>
        <v>14.4</v>
      </c>
    </row>
    <row r="216" spans="1:7" ht="43.5" x14ac:dyDescent="0.35">
      <c r="A216" s="295" t="s">
        <v>566</v>
      </c>
      <c r="B216" s="288" t="s">
        <v>582</v>
      </c>
      <c r="C216" s="295" t="s">
        <v>225</v>
      </c>
      <c r="D216" s="220"/>
      <c r="E216" s="410">
        <v>1</v>
      </c>
      <c r="F216" s="407">
        <v>29.76</v>
      </c>
      <c r="G216" s="414">
        <f>F216*E216</f>
        <v>29.76</v>
      </c>
    </row>
    <row r="217" spans="1:7" ht="43.5" x14ac:dyDescent="0.35">
      <c r="A217" s="295" t="s">
        <v>567</v>
      </c>
      <c r="B217" s="288" t="s">
        <v>584</v>
      </c>
      <c r="C217" s="432" t="s">
        <v>225</v>
      </c>
      <c r="D217" s="220"/>
      <c r="E217" s="410">
        <v>1</v>
      </c>
      <c r="F217" s="407">
        <v>15.22</v>
      </c>
      <c r="G217" s="414">
        <f>F217*E217</f>
        <v>15.22</v>
      </c>
    </row>
    <row r="218" spans="1:7" ht="43.5" x14ac:dyDescent="0.35">
      <c r="A218" s="295" t="s">
        <v>570</v>
      </c>
      <c r="B218" s="288" t="s">
        <v>586</v>
      </c>
      <c r="C218" s="295" t="s">
        <v>225</v>
      </c>
      <c r="D218" s="220"/>
      <c r="E218" s="410">
        <v>1</v>
      </c>
      <c r="F218" s="407">
        <v>63.85</v>
      </c>
      <c r="G218" s="414">
        <f>F218*E218</f>
        <v>63.85</v>
      </c>
    </row>
    <row r="219" spans="1:7" ht="43.5" x14ac:dyDescent="0.35">
      <c r="A219" s="295" t="s">
        <v>573</v>
      </c>
      <c r="B219" s="288" t="s">
        <v>588</v>
      </c>
      <c r="C219" s="295" t="s">
        <v>225</v>
      </c>
      <c r="D219" s="220"/>
      <c r="E219" s="410">
        <v>1</v>
      </c>
      <c r="F219" s="407">
        <v>18.239999999999998</v>
      </c>
      <c r="G219" s="414">
        <f>F219*E219</f>
        <v>18.239999999999998</v>
      </c>
    </row>
    <row r="220" spans="1:7" x14ac:dyDescent="0.35">
      <c r="A220" s="295" t="s">
        <v>575</v>
      </c>
      <c r="B220" s="220" t="s">
        <v>590</v>
      </c>
      <c r="C220" s="432" t="s">
        <v>225</v>
      </c>
      <c r="D220" s="220"/>
      <c r="E220" s="410">
        <v>1</v>
      </c>
      <c r="F220" s="407">
        <v>13.43</v>
      </c>
      <c r="G220" s="414">
        <f>F220*E220</f>
        <v>13.43</v>
      </c>
    </row>
    <row r="221" spans="1:7" x14ac:dyDescent="0.35">
      <c r="A221" s="295" t="s">
        <v>577</v>
      </c>
      <c r="B221" s="220" t="s">
        <v>592</v>
      </c>
      <c r="C221" s="432" t="s">
        <v>225</v>
      </c>
      <c r="D221" s="220"/>
      <c r="E221" s="410">
        <v>1</v>
      </c>
      <c r="F221" s="407">
        <v>50.66</v>
      </c>
      <c r="G221" s="414">
        <f>F221*E221</f>
        <v>50.66</v>
      </c>
    </row>
    <row r="222" spans="1:7" ht="58" x14ac:dyDescent="0.35">
      <c r="A222" s="295" t="s">
        <v>579</v>
      </c>
      <c r="B222" s="288" t="s">
        <v>594</v>
      </c>
      <c r="C222" s="432" t="s">
        <v>225</v>
      </c>
      <c r="D222" s="220"/>
      <c r="E222" s="410">
        <v>1</v>
      </c>
      <c r="F222" s="407">
        <v>57.15</v>
      </c>
      <c r="G222" s="414">
        <f>F222*E222</f>
        <v>57.15</v>
      </c>
    </row>
    <row r="223" spans="1:7" ht="29" x14ac:dyDescent="0.35">
      <c r="A223" s="295" t="s">
        <v>581</v>
      </c>
      <c r="B223" s="288" t="s">
        <v>596</v>
      </c>
      <c r="C223" s="295" t="s">
        <v>225</v>
      </c>
      <c r="D223" s="220"/>
      <c r="E223" s="410">
        <v>1</v>
      </c>
      <c r="F223" s="407">
        <v>18.79</v>
      </c>
      <c r="G223" s="414">
        <f>F223*E223</f>
        <v>18.79</v>
      </c>
    </row>
    <row r="224" spans="1:7" x14ac:dyDescent="0.35">
      <c r="A224" s="295" t="s">
        <v>583</v>
      </c>
      <c r="B224" s="220" t="s">
        <v>941</v>
      </c>
      <c r="C224" s="432" t="s">
        <v>225</v>
      </c>
      <c r="D224" s="220" t="s">
        <v>599</v>
      </c>
      <c r="E224" s="410">
        <v>1</v>
      </c>
      <c r="F224" s="407">
        <v>12.67</v>
      </c>
      <c r="G224" s="414">
        <f>F224*E224</f>
        <v>12.67</v>
      </c>
    </row>
    <row r="225" spans="1:7" ht="29" x14ac:dyDescent="0.35">
      <c r="A225" s="295" t="s">
        <v>585</v>
      </c>
      <c r="B225" s="288" t="s">
        <v>601</v>
      </c>
      <c r="C225" s="295" t="s">
        <v>225</v>
      </c>
      <c r="D225" s="220"/>
      <c r="E225" s="410">
        <v>1</v>
      </c>
      <c r="F225" s="407">
        <v>9.86</v>
      </c>
      <c r="G225" s="414">
        <f>F225*E225</f>
        <v>9.86</v>
      </c>
    </row>
    <row r="226" spans="1:7" x14ac:dyDescent="0.35">
      <c r="A226" s="295" t="s">
        <v>587</v>
      </c>
      <c r="B226" s="220" t="s">
        <v>112</v>
      </c>
      <c r="C226" s="432" t="s">
        <v>225</v>
      </c>
      <c r="D226" s="220" t="s">
        <v>603</v>
      </c>
      <c r="E226" s="410">
        <v>1</v>
      </c>
      <c r="F226" s="407">
        <v>0.83</v>
      </c>
      <c r="G226" s="414">
        <f>F226*E226</f>
        <v>0.83</v>
      </c>
    </row>
    <row r="227" spans="1:7" ht="29" x14ac:dyDescent="0.35">
      <c r="A227" s="295" t="s">
        <v>589</v>
      </c>
      <c r="B227" s="288" t="s">
        <v>605</v>
      </c>
      <c r="C227" s="295" t="s">
        <v>1</v>
      </c>
      <c r="D227" s="220"/>
      <c r="E227" s="410">
        <v>1</v>
      </c>
      <c r="F227" s="407">
        <v>2.69</v>
      </c>
      <c r="G227" s="414">
        <f>F227*E227</f>
        <v>2.69</v>
      </c>
    </row>
    <row r="228" spans="1:7" ht="29" x14ac:dyDescent="0.35">
      <c r="A228" s="295" t="s">
        <v>591</v>
      </c>
      <c r="B228" s="288" t="s">
        <v>607</v>
      </c>
      <c r="C228" s="295" t="s">
        <v>1</v>
      </c>
      <c r="D228" s="220"/>
      <c r="E228" s="410">
        <v>1</v>
      </c>
      <c r="F228" s="407">
        <v>47.34</v>
      </c>
      <c r="G228" s="414">
        <f>F228*E228</f>
        <v>47.34</v>
      </c>
    </row>
    <row r="229" spans="1:7" ht="29" x14ac:dyDescent="0.35">
      <c r="A229" s="295" t="s">
        <v>593</v>
      </c>
      <c r="B229" s="288" t="s">
        <v>609</v>
      </c>
      <c r="C229" s="295" t="s">
        <v>1</v>
      </c>
      <c r="D229" s="220"/>
      <c r="E229" s="410">
        <v>1</v>
      </c>
      <c r="F229" s="407">
        <v>3.47</v>
      </c>
      <c r="G229" s="414">
        <f>F229*E229</f>
        <v>3.47</v>
      </c>
    </row>
    <row r="230" spans="1:7" ht="29" x14ac:dyDescent="0.35">
      <c r="A230" s="295" t="s">
        <v>595</v>
      </c>
      <c r="B230" s="288" t="s">
        <v>611</v>
      </c>
      <c r="C230" s="295" t="s">
        <v>225</v>
      </c>
      <c r="D230" s="220"/>
      <c r="E230" s="410">
        <v>1</v>
      </c>
      <c r="F230" s="407">
        <v>0.83</v>
      </c>
      <c r="G230" s="414">
        <f>F230*E230</f>
        <v>0.83</v>
      </c>
    </row>
    <row r="231" spans="1:7" ht="29" x14ac:dyDescent="0.35">
      <c r="A231" s="295" t="s">
        <v>597</v>
      </c>
      <c r="B231" s="288" t="s">
        <v>613</v>
      </c>
      <c r="C231" s="295" t="s">
        <v>1</v>
      </c>
      <c r="D231" s="220"/>
      <c r="E231" s="410">
        <v>1</v>
      </c>
      <c r="F231" s="407">
        <v>1.08</v>
      </c>
      <c r="G231" s="414">
        <f>F231*E231</f>
        <v>1.08</v>
      </c>
    </row>
    <row r="232" spans="1:7" ht="29" x14ac:dyDescent="0.35">
      <c r="A232" s="295" t="s">
        <v>598</v>
      </c>
      <c r="B232" s="288" t="s">
        <v>615</v>
      </c>
      <c r="C232" s="295" t="s">
        <v>1</v>
      </c>
      <c r="D232" s="220"/>
      <c r="E232" s="410">
        <v>1</v>
      </c>
      <c r="F232" s="407">
        <v>3.61</v>
      </c>
      <c r="G232" s="414">
        <f>F232*E232</f>
        <v>3.61</v>
      </c>
    </row>
    <row r="233" spans="1:7" x14ac:dyDescent="0.35">
      <c r="A233" s="295" t="s">
        <v>600</v>
      </c>
      <c r="B233" s="220" t="s">
        <v>919</v>
      </c>
      <c r="C233" s="432" t="s">
        <v>1</v>
      </c>
      <c r="D233" s="220"/>
      <c r="E233" s="410">
        <v>1</v>
      </c>
      <c r="F233" s="407">
        <v>163.61000000000001</v>
      </c>
      <c r="G233" s="414">
        <f>F233*E233</f>
        <v>163.61000000000001</v>
      </c>
    </row>
    <row r="234" spans="1:7" ht="43.5" x14ac:dyDescent="0.35">
      <c r="A234" s="295" t="s">
        <v>602</v>
      </c>
      <c r="B234" s="288" t="s">
        <v>618</v>
      </c>
      <c r="C234" s="295" t="s">
        <v>225</v>
      </c>
      <c r="D234" s="220"/>
      <c r="E234" s="410">
        <v>1</v>
      </c>
      <c r="F234" s="407">
        <v>58.21</v>
      </c>
      <c r="G234" s="414">
        <f>F234*E234</f>
        <v>58.21</v>
      </c>
    </row>
    <row r="235" spans="1:7" x14ac:dyDescent="0.35">
      <c r="A235" s="295" t="s">
        <v>604</v>
      </c>
      <c r="B235" s="220" t="s">
        <v>620</v>
      </c>
      <c r="C235" s="432" t="s">
        <v>225</v>
      </c>
      <c r="D235" s="220"/>
      <c r="E235" s="410">
        <v>1</v>
      </c>
      <c r="F235" s="407">
        <v>16.260000000000002</v>
      </c>
      <c r="G235" s="414">
        <f>F235*E235</f>
        <v>16.260000000000002</v>
      </c>
    </row>
    <row r="236" spans="1:7" ht="43.5" x14ac:dyDescent="0.35">
      <c r="A236" s="295" t="s">
        <v>606</v>
      </c>
      <c r="B236" s="288" t="s">
        <v>622</v>
      </c>
      <c r="C236" s="432" t="s">
        <v>225</v>
      </c>
      <c r="D236" s="220"/>
      <c r="E236" s="410">
        <v>1</v>
      </c>
      <c r="F236" s="407">
        <v>98.8</v>
      </c>
      <c r="G236" s="414">
        <f>F236*E236</f>
        <v>98.8</v>
      </c>
    </row>
    <row r="237" spans="1:7" x14ac:dyDescent="0.35">
      <c r="A237" s="295" t="s">
        <v>608</v>
      </c>
      <c r="B237" s="220" t="s">
        <v>942</v>
      </c>
      <c r="C237" s="432" t="s">
        <v>225</v>
      </c>
      <c r="D237" s="220" t="s">
        <v>880</v>
      </c>
      <c r="E237" s="410">
        <v>1</v>
      </c>
      <c r="F237" s="407">
        <v>35.79</v>
      </c>
      <c r="G237" s="414">
        <f>F237*E237</f>
        <v>35.79</v>
      </c>
    </row>
    <row r="238" spans="1:7" ht="29" x14ac:dyDescent="0.35">
      <c r="A238" s="295" t="s">
        <v>610</v>
      </c>
      <c r="B238" s="288" t="s">
        <v>625</v>
      </c>
      <c r="C238" s="432" t="s">
        <v>1</v>
      </c>
      <c r="D238" s="220"/>
      <c r="E238" s="410">
        <v>1</v>
      </c>
      <c r="F238" s="407">
        <v>13.53</v>
      </c>
      <c r="G238" s="414">
        <f>F238*E238</f>
        <v>13.53</v>
      </c>
    </row>
    <row r="239" spans="1:7" x14ac:dyDescent="0.35">
      <c r="A239" s="295" t="s">
        <v>612</v>
      </c>
      <c r="B239" s="220" t="s">
        <v>627</v>
      </c>
      <c r="C239" s="432" t="s">
        <v>215</v>
      </c>
      <c r="D239" s="220" t="s">
        <v>628</v>
      </c>
      <c r="E239" s="410">
        <v>1</v>
      </c>
      <c r="F239" s="407">
        <v>8.76</v>
      </c>
      <c r="G239" s="414">
        <f>F239*E239</f>
        <v>8.76</v>
      </c>
    </row>
    <row r="240" spans="1:7" x14ac:dyDescent="0.35">
      <c r="A240" s="295" t="s">
        <v>614</v>
      </c>
      <c r="B240" s="220" t="s">
        <v>113</v>
      </c>
      <c r="C240" s="432" t="s">
        <v>215</v>
      </c>
      <c r="D240" s="220" t="s">
        <v>630</v>
      </c>
      <c r="E240" s="410">
        <v>1</v>
      </c>
      <c r="F240" s="407">
        <v>2.5299999999999998</v>
      </c>
      <c r="G240" s="414">
        <f>F240*E240</f>
        <v>2.5299999999999998</v>
      </c>
    </row>
    <row r="241" spans="1:7" x14ac:dyDescent="0.35">
      <c r="A241" s="295" t="s">
        <v>616</v>
      </c>
      <c r="B241" s="220" t="s">
        <v>632</v>
      </c>
      <c r="C241" s="432" t="s">
        <v>215</v>
      </c>
      <c r="D241" s="220" t="s">
        <v>633</v>
      </c>
      <c r="E241" s="410">
        <v>1</v>
      </c>
      <c r="F241" s="407">
        <v>3.25</v>
      </c>
      <c r="G241" s="414">
        <f>F241*E241</f>
        <v>3.25</v>
      </c>
    </row>
    <row r="242" spans="1:7" x14ac:dyDescent="0.35">
      <c r="A242" s="295" t="s">
        <v>617</v>
      </c>
      <c r="B242" s="220" t="s">
        <v>635</v>
      </c>
      <c r="C242" s="432" t="s">
        <v>215</v>
      </c>
      <c r="D242" s="220" t="s">
        <v>636</v>
      </c>
      <c r="E242" s="410">
        <v>1</v>
      </c>
      <c r="F242" s="407">
        <v>12.17</v>
      </c>
      <c r="G242" s="414">
        <f>F242*E242</f>
        <v>12.17</v>
      </c>
    </row>
    <row r="243" spans="1:7" ht="29" x14ac:dyDescent="0.35">
      <c r="A243" s="295" t="s">
        <v>619</v>
      </c>
      <c r="B243" s="288" t="s">
        <v>638</v>
      </c>
      <c r="C243" s="295" t="s">
        <v>0</v>
      </c>
      <c r="D243" s="220"/>
      <c r="E243" s="410">
        <v>1</v>
      </c>
      <c r="F243" s="407">
        <v>17</v>
      </c>
      <c r="G243" s="414">
        <f>F243*E243</f>
        <v>17</v>
      </c>
    </row>
    <row r="244" spans="1:7" x14ac:dyDescent="0.35">
      <c r="A244" s="295" t="s">
        <v>621</v>
      </c>
      <c r="B244" s="220" t="s">
        <v>639</v>
      </c>
      <c r="C244" s="432" t="s">
        <v>215</v>
      </c>
      <c r="D244" s="220" t="s">
        <v>881</v>
      </c>
      <c r="E244" s="410">
        <v>1</v>
      </c>
      <c r="F244" s="407">
        <v>17</v>
      </c>
      <c r="G244" s="414">
        <f>F244*E244</f>
        <v>17</v>
      </c>
    </row>
    <row r="245" spans="1:7" ht="29" x14ac:dyDescent="0.35">
      <c r="A245" s="295" t="s">
        <v>623</v>
      </c>
      <c r="B245" s="288" t="s">
        <v>640</v>
      </c>
      <c r="C245" s="432" t="s">
        <v>0</v>
      </c>
      <c r="D245" s="220"/>
      <c r="E245" s="410">
        <v>1</v>
      </c>
      <c r="F245" s="407">
        <v>40.590000000000003</v>
      </c>
      <c r="G245" s="414">
        <f>F245*E245</f>
        <v>40.590000000000003</v>
      </c>
    </row>
    <row r="246" spans="1:7" x14ac:dyDescent="0.35">
      <c r="A246" s="295" t="s">
        <v>624</v>
      </c>
      <c r="B246" s="220" t="s">
        <v>641</v>
      </c>
      <c r="C246" s="432" t="s">
        <v>225</v>
      </c>
      <c r="D246" s="220" t="s">
        <v>642</v>
      </c>
      <c r="E246" s="410">
        <v>1</v>
      </c>
      <c r="F246" s="407">
        <v>9.93</v>
      </c>
      <c r="G246" s="414">
        <f>F246*E246</f>
        <v>9.93</v>
      </c>
    </row>
    <row r="247" spans="1:7" x14ac:dyDescent="0.35">
      <c r="A247" s="295" t="s">
        <v>626</v>
      </c>
      <c r="B247" s="220" t="s">
        <v>643</v>
      </c>
      <c r="C247" s="432" t="s">
        <v>225</v>
      </c>
      <c r="D247" s="220" t="s">
        <v>644</v>
      </c>
      <c r="E247" s="410">
        <v>1</v>
      </c>
      <c r="F247" s="407">
        <v>12.79</v>
      </c>
      <c r="G247" s="414">
        <f>F247*E247</f>
        <v>12.79</v>
      </c>
    </row>
    <row r="248" spans="1:7" x14ac:dyDescent="0.35">
      <c r="A248" s="295" t="s">
        <v>629</v>
      </c>
      <c r="B248" s="285" t="s">
        <v>645</v>
      </c>
      <c r="C248" s="295" t="s">
        <v>225</v>
      </c>
      <c r="D248" s="220"/>
      <c r="E248" s="410">
        <v>2</v>
      </c>
      <c r="F248" s="407">
        <v>206.5</v>
      </c>
      <c r="G248" s="414">
        <f>F248*E248</f>
        <v>413</v>
      </c>
    </row>
    <row r="249" spans="1:7" x14ac:dyDescent="0.35">
      <c r="A249" s="295" t="s">
        <v>631</v>
      </c>
      <c r="B249" s="220" t="s">
        <v>646</v>
      </c>
      <c r="C249" s="432" t="s">
        <v>1</v>
      </c>
      <c r="D249" s="220"/>
      <c r="E249" s="410">
        <v>1</v>
      </c>
      <c r="F249" s="407">
        <v>2.2000000000000002</v>
      </c>
      <c r="G249" s="414">
        <f>F249*E249</f>
        <v>2.2000000000000002</v>
      </c>
    </row>
    <row r="250" spans="1:7" ht="29" x14ac:dyDescent="0.35">
      <c r="A250" s="295" t="s">
        <v>634</v>
      </c>
      <c r="B250" s="288" t="s">
        <v>647</v>
      </c>
      <c r="C250" s="432" t="s">
        <v>1</v>
      </c>
      <c r="D250" s="220"/>
      <c r="E250" s="410">
        <v>1</v>
      </c>
      <c r="F250" s="407">
        <v>26.57</v>
      </c>
      <c r="G250" s="414">
        <f>F250*E250</f>
        <v>26.57</v>
      </c>
    </row>
    <row r="251" spans="1:7" s="20" customFormat="1" ht="29" x14ac:dyDescent="0.35">
      <c r="A251" s="421" t="s">
        <v>637</v>
      </c>
      <c r="B251" s="289" t="s">
        <v>648</v>
      </c>
      <c r="C251" s="420" t="s">
        <v>1</v>
      </c>
      <c r="D251" s="422"/>
      <c r="E251" s="423">
        <v>2</v>
      </c>
      <c r="F251" s="424">
        <v>129.14666666666668</v>
      </c>
      <c r="G251" s="425">
        <f>F251*E251</f>
        <v>258.29333333333335</v>
      </c>
    </row>
    <row r="252" spans="1:7" x14ac:dyDescent="0.35">
      <c r="A252" s="283">
        <v>5</v>
      </c>
      <c r="B252" s="290" t="s">
        <v>882</v>
      </c>
      <c r="C252" s="413"/>
      <c r="D252" s="287"/>
      <c r="E252" s="411"/>
      <c r="F252" s="416"/>
      <c r="G252" s="417"/>
    </row>
    <row r="253" spans="1:7" x14ac:dyDescent="0.35">
      <c r="A253" s="295" t="s">
        <v>649</v>
      </c>
      <c r="B253" s="220" t="s">
        <v>956</v>
      </c>
      <c r="C253" s="295" t="s">
        <v>1</v>
      </c>
      <c r="D253" s="220"/>
      <c r="E253" s="410">
        <v>0.3</v>
      </c>
      <c r="F253" s="407">
        <v>438.03</v>
      </c>
      <c r="G253" s="414">
        <f>F253*E253</f>
        <v>131.40899999999999</v>
      </c>
    </row>
    <row r="254" spans="1:7" x14ac:dyDescent="0.35">
      <c r="A254" s="283">
        <v>6</v>
      </c>
      <c r="B254" s="290" t="s">
        <v>883</v>
      </c>
      <c r="C254" s="413"/>
      <c r="D254" s="287"/>
      <c r="E254" s="411"/>
      <c r="F254" s="416"/>
      <c r="G254" s="417"/>
    </row>
    <row r="255" spans="1:7" x14ac:dyDescent="0.35">
      <c r="A255" s="295" t="s">
        <v>650</v>
      </c>
      <c r="B255" s="220" t="s">
        <v>669</v>
      </c>
      <c r="C255" s="432" t="s">
        <v>215</v>
      </c>
      <c r="D255" s="220" t="s">
        <v>884</v>
      </c>
      <c r="E255" s="410">
        <v>20</v>
      </c>
      <c r="F255" s="407">
        <v>5.7166666666666659</v>
      </c>
      <c r="G255" s="414">
        <f>F255*E255</f>
        <v>114.33333333333331</v>
      </c>
    </row>
    <row r="256" spans="1:7" x14ac:dyDescent="0.35">
      <c r="A256" s="295" t="s">
        <v>651</v>
      </c>
      <c r="B256" s="220" t="s">
        <v>957</v>
      </c>
      <c r="C256" s="432" t="s">
        <v>670</v>
      </c>
      <c r="D256" s="220"/>
      <c r="E256" s="410">
        <v>3</v>
      </c>
      <c r="F256" s="407">
        <v>306.13</v>
      </c>
      <c r="G256" s="414">
        <f>F256*E256</f>
        <v>918.39</v>
      </c>
    </row>
    <row r="257" spans="1:7" x14ac:dyDescent="0.35">
      <c r="A257" s="295" t="s">
        <v>652</v>
      </c>
      <c r="B257" s="220" t="s">
        <v>671</v>
      </c>
      <c r="C257" s="432" t="s">
        <v>670</v>
      </c>
      <c r="D257" s="220" t="s">
        <v>519</v>
      </c>
      <c r="E257" s="410">
        <v>2</v>
      </c>
      <c r="F257" s="407">
        <v>497.66666666666669</v>
      </c>
      <c r="G257" s="414">
        <f>F257*E257</f>
        <v>995.33333333333337</v>
      </c>
    </row>
    <row r="258" spans="1:7" x14ac:dyDescent="0.35">
      <c r="A258" s="295" t="s">
        <v>653</v>
      </c>
      <c r="B258" s="220" t="s">
        <v>672</v>
      </c>
      <c r="C258" s="432" t="s">
        <v>215</v>
      </c>
      <c r="D258" s="220" t="s">
        <v>885</v>
      </c>
      <c r="E258" s="410">
        <v>1</v>
      </c>
      <c r="F258" s="407">
        <v>26.8</v>
      </c>
      <c r="G258" s="414">
        <f>F258*E258</f>
        <v>26.8</v>
      </c>
    </row>
    <row r="259" spans="1:7" x14ac:dyDescent="0.35">
      <c r="A259" s="295" t="s">
        <v>654</v>
      </c>
      <c r="B259" s="220" t="s">
        <v>673</v>
      </c>
      <c r="C259" s="432" t="s">
        <v>215</v>
      </c>
      <c r="D259" s="220" t="s">
        <v>886</v>
      </c>
      <c r="E259" s="410">
        <v>2</v>
      </c>
      <c r="F259" s="407">
        <v>14.956666666666669</v>
      </c>
      <c r="G259" s="414">
        <f>F259*E259</f>
        <v>29.913333333333338</v>
      </c>
    </row>
    <row r="260" spans="1:7" x14ac:dyDescent="0.35">
      <c r="A260" s="295" t="s">
        <v>504</v>
      </c>
      <c r="B260" s="220" t="s">
        <v>674</v>
      </c>
      <c r="C260" s="432" t="s">
        <v>215</v>
      </c>
      <c r="D260" s="220"/>
      <c r="E260" s="410">
        <v>2</v>
      </c>
      <c r="F260" s="407">
        <v>18.36</v>
      </c>
      <c r="G260" s="414">
        <f>F260*E260</f>
        <v>36.72</v>
      </c>
    </row>
    <row r="261" spans="1:7" x14ac:dyDescent="0.35">
      <c r="A261" s="295" t="s">
        <v>655</v>
      </c>
      <c r="B261" s="220" t="s">
        <v>675</v>
      </c>
      <c r="C261" s="432" t="s">
        <v>215</v>
      </c>
      <c r="D261" s="220" t="s">
        <v>887</v>
      </c>
      <c r="E261" s="410">
        <v>2</v>
      </c>
      <c r="F261" s="407">
        <v>36.416666666666664</v>
      </c>
      <c r="G261" s="414">
        <f>F261*E261</f>
        <v>72.833333333333329</v>
      </c>
    </row>
    <row r="262" spans="1:7" ht="29" x14ac:dyDescent="0.35">
      <c r="A262" s="295" t="s">
        <v>656</v>
      </c>
      <c r="B262" s="288" t="s">
        <v>676</v>
      </c>
      <c r="C262" s="295" t="s">
        <v>0</v>
      </c>
      <c r="D262" s="220"/>
      <c r="E262" s="410">
        <v>2</v>
      </c>
      <c r="F262" s="407">
        <v>21.866666666666664</v>
      </c>
      <c r="G262" s="414">
        <f>F262*E262</f>
        <v>43.733333333333327</v>
      </c>
    </row>
    <row r="263" spans="1:7" x14ac:dyDescent="0.35">
      <c r="A263" s="295" t="s">
        <v>657</v>
      </c>
      <c r="B263" s="220" t="s">
        <v>677</v>
      </c>
      <c r="C263" s="432" t="s">
        <v>215</v>
      </c>
      <c r="D263" s="220" t="s">
        <v>888</v>
      </c>
      <c r="E263" s="410">
        <v>2</v>
      </c>
      <c r="F263" s="407">
        <v>11.166666666666666</v>
      </c>
      <c r="G263" s="414">
        <f>F263*E263</f>
        <v>22.333333333333332</v>
      </c>
    </row>
    <row r="264" spans="1:7" x14ac:dyDescent="0.35">
      <c r="A264" s="295" t="s">
        <v>658</v>
      </c>
      <c r="B264" s="220" t="s">
        <v>678</v>
      </c>
      <c r="C264" s="432" t="s">
        <v>215</v>
      </c>
      <c r="D264" s="220" t="s">
        <v>889</v>
      </c>
      <c r="E264" s="410">
        <v>2</v>
      </c>
      <c r="F264" s="407">
        <v>16.355</v>
      </c>
      <c r="G264" s="414">
        <f>F264*E264</f>
        <v>32.71</v>
      </c>
    </row>
    <row r="265" spans="1:7" x14ac:dyDescent="0.35">
      <c r="A265" s="295" t="s">
        <v>659</v>
      </c>
      <c r="B265" s="220" t="s">
        <v>679</v>
      </c>
      <c r="C265" s="432" t="s">
        <v>215</v>
      </c>
      <c r="D265" s="220" t="s">
        <v>890</v>
      </c>
      <c r="E265" s="410">
        <v>2</v>
      </c>
      <c r="F265" s="407">
        <v>11.913333333333332</v>
      </c>
      <c r="G265" s="414">
        <f>F265*E265</f>
        <v>23.826666666666664</v>
      </c>
    </row>
    <row r="266" spans="1:7" x14ac:dyDescent="0.35">
      <c r="A266" s="295" t="s">
        <v>660</v>
      </c>
      <c r="B266" s="220" t="s">
        <v>680</v>
      </c>
      <c r="C266" s="432" t="s">
        <v>215</v>
      </c>
      <c r="D266" s="220" t="s">
        <v>891</v>
      </c>
      <c r="E266" s="410">
        <v>2</v>
      </c>
      <c r="F266" s="407">
        <v>16.22</v>
      </c>
      <c r="G266" s="414">
        <f>F266*E266</f>
        <v>32.44</v>
      </c>
    </row>
    <row r="267" spans="1:7" x14ac:dyDescent="0.35">
      <c r="A267" s="295" t="s">
        <v>661</v>
      </c>
      <c r="B267" s="220" t="s">
        <v>681</v>
      </c>
      <c r="C267" s="432" t="s">
        <v>215</v>
      </c>
      <c r="D267" s="220" t="s">
        <v>892</v>
      </c>
      <c r="E267" s="410">
        <v>2</v>
      </c>
      <c r="F267" s="407">
        <v>10.29</v>
      </c>
      <c r="G267" s="414">
        <f>F267*E267</f>
        <v>20.58</v>
      </c>
    </row>
    <row r="268" spans="1:7" s="203" customFormat="1" ht="43.5" x14ac:dyDescent="0.35">
      <c r="A268" s="295" t="s">
        <v>662</v>
      </c>
      <c r="B268" s="427" t="s">
        <v>963</v>
      </c>
      <c r="C268" s="420" t="s">
        <v>1</v>
      </c>
      <c r="D268" s="420"/>
      <c r="E268" s="423">
        <v>4</v>
      </c>
      <c r="F268" s="408">
        <v>737.80000000000007</v>
      </c>
      <c r="G268" s="434">
        <f>F268*E268</f>
        <v>2951.2000000000003</v>
      </c>
    </row>
    <row r="269" spans="1:7" s="20" customFormat="1" ht="43.5" x14ac:dyDescent="0.35">
      <c r="A269" s="295" t="s">
        <v>663</v>
      </c>
      <c r="B269" s="288" t="s">
        <v>962</v>
      </c>
      <c r="C269" s="420" t="s">
        <v>1</v>
      </c>
      <c r="D269" s="422"/>
      <c r="E269" s="423">
        <v>4</v>
      </c>
      <c r="F269" s="424">
        <v>562.45000000000005</v>
      </c>
      <c r="G269" s="425">
        <f>F269*E269</f>
        <v>2249.8000000000002</v>
      </c>
    </row>
    <row r="270" spans="1:7" s="20" customFormat="1" ht="43.5" x14ac:dyDescent="0.35">
      <c r="A270" s="295" t="s">
        <v>664</v>
      </c>
      <c r="B270" s="288" t="s">
        <v>965</v>
      </c>
      <c r="C270" s="420" t="s">
        <v>1</v>
      </c>
      <c r="D270" s="422"/>
      <c r="E270" s="423">
        <v>3</v>
      </c>
      <c r="F270" s="424">
        <v>218.39</v>
      </c>
      <c r="G270" s="425">
        <f>F270*E270</f>
        <v>655.16999999999996</v>
      </c>
    </row>
    <row r="271" spans="1:7" x14ac:dyDescent="0.35">
      <c r="A271" s="295" t="s">
        <v>665</v>
      </c>
      <c r="B271" s="220" t="s">
        <v>961</v>
      </c>
      <c r="C271" s="432" t="s">
        <v>225</v>
      </c>
      <c r="D271" s="220"/>
      <c r="E271" s="410">
        <v>3</v>
      </c>
      <c r="F271" s="407">
        <v>78.923333333333332</v>
      </c>
      <c r="G271" s="414">
        <f>F271*E271</f>
        <v>236.76999999999998</v>
      </c>
    </row>
    <row r="272" spans="1:7" x14ac:dyDescent="0.35">
      <c r="A272" s="295" t="s">
        <v>666</v>
      </c>
      <c r="B272" s="220" t="s">
        <v>960</v>
      </c>
      <c r="C272" s="432" t="s">
        <v>1</v>
      </c>
      <c r="D272" s="220"/>
      <c r="E272" s="410">
        <v>3</v>
      </c>
      <c r="F272" s="407">
        <v>122.21</v>
      </c>
      <c r="G272" s="414">
        <f>F272*E272</f>
        <v>366.63</v>
      </c>
    </row>
    <row r="273" spans="1:10" ht="43.5" x14ac:dyDescent="0.35">
      <c r="A273" s="295" t="s">
        <v>544</v>
      </c>
      <c r="B273" s="288" t="s">
        <v>966</v>
      </c>
      <c r="C273" s="432" t="s">
        <v>225</v>
      </c>
      <c r="D273" s="220"/>
      <c r="E273" s="410">
        <v>3</v>
      </c>
      <c r="F273" s="407">
        <v>516.28333333333342</v>
      </c>
      <c r="G273" s="414">
        <f>F273*E273</f>
        <v>1548.8500000000004</v>
      </c>
    </row>
    <row r="274" spans="1:10" x14ac:dyDescent="0.35">
      <c r="A274" s="295" t="s">
        <v>667</v>
      </c>
      <c r="B274" s="220" t="s">
        <v>959</v>
      </c>
      <c r="C274" s="432" t="s">
        <v>1</v>
      </c>
      <c r="D274" s="220"/>
      <c r="E274" s="410">
        <v>3</v>
      </c>
      <c r="F274" s="407">
        <v>89.3</v>
      </c>
      <c r="G274" s="414">
        <f>F274*E274</f>
        <v>267.89999999999998</v>
      </c>
    </row>
    <row r="275" spans="1:10" x14ac:dyDescent="0.35">
      <c r="A275" s="295" t="s">
        <v>668</v>
      </c>
      <c r="B275" s="220" t="s">
        <v>958</v>
      </c>
      <c r="C275" s="432" t="s">
        <v>1</v>
      </c>
      <c r="D275" s="220"/>
      <c r="E275" s="410">
        <v>3</v>
      </c>
      <c r="F275" s="407">
        <v>86.99666666666667</v>
      </c>
      <c r="G275" s="414">
        <f>F275*E275</f>
        <v>260.99</v>
      </c>
    </row>
    <row r="276" spans="1:10" x14ac:dyDescent="0.35">
      <c r="A276" s="295" t="s">
        <v>1117</v>
      </c>
      <c r="B276" s="289" t="s">
        <v>964</v>
      </c>
      <c r="C276" s="432" t="s">
        <v>1</v>
      </c>
      <c r="D276" s="220"/>
      <c r="E276" s="410">
        <v>10</v>
      </c>
      <c r="F276" s="407">
        <v>25.183333333333334</v>
      </c>
      <c r="G276" s="414">
        <f>F276*E276</f>
        <v>251.83333333333334</v>
      </c>
    </row>
    <row r="277" spans="1:10" x14ac:dyDescent="0.35">
      <c r="A277" s="292" t="s">
        <v>762</v>
      </c>
      <c r="B277" s="292"/>
      <c r="C277" s="280"/>
      <c r="D277" s="293"/>
      <c r="E277" s="281"/>
      <c r="F277" s="293"/>
      <c r="G277" s="436">
        <f>SUM(G4:G276)</f>
        <v>33711.401292349721</v>
      </c>
    </row>
    <row r="278" spans="1:10" x14ac:dyDescent="0.35">
      <c r="A278" s="292" t="s">
        <v>921</v>
      </c>
      <c r="B278" s="292"/>
      <c r="C278" s="280"/>
      <c r="D278" s="293"/>
      <c r="E278" s="281"/>
      <c r="F278" s="293"/>
      <c r="G278" s="436">
        <f>G277*(20/12)</f>
        <v>56185.668820582869</v>
      </c>
    </row>
    <row r="279" spans="1:10" x14ac:dyDescent="0.35">
      <c r="A279" s="292" t="s">
        <v>1118</v>
      </c>
      <c r="B279" s="294"/>
      <c r="C279" s="432"/>
      <c r="D279" s="220"/>
      <c r="E279" s="410"/>
      <c r="F279" s="220"/>
      <c r="G279" s="437">
        <f>18.35%*G278</f>
        <v>10310.070228576958</v>
      </c>
    </row>
    <row r="280" spans="1:10" x14ac:dyDescent="0.35">
      <c r="A280" s="282" t="s">
        <v>922</v>
      </c>
      <c r="B280" s="287"/>
      <c r="C280" s="413"/>
      <c r="D280" s="287"/>
      <c r="E280" s="411"/>
      <c r="F280" s="287"/>
      <c r="G280" s="438">
        <f>G278+G279</f>
        <v>66495.739049159834</v>
      </c>
      <c r="J280" s="415"/>
    </row>
  </sheetData>
  <pageMargins left="0.511811024" right="0.511811024" top="0.78740157499999996" bottom="0.78740157499999996" header="0.31496062000000002" footer="0.31496062000000002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Anexo B - Orçamento Estimado</vt:lpstr>
      <vt:lpstr>Artifice</vt:lpstr>
      <vt:lpstr>Téc. Eletricista</vt:lpstr>
      <vt:lpstr>Téc. Refrigeração</vt:lpstr>
      <vt:lpstr>Anexo BI - Custo MOB</vt:lpstr>
      <vt:lpstr>Anexo BII - Equip. e Ferramenta</vt:lpstr>
      <vt:lpstr>Anexo BIII - Uniforme</vt:lpstr>
      <vt:lpstr>Anexo BIV - Composição BDI</vt:lpstr>
      <vt:lpstr>Anexo BV - Materiais reposição</vt:lpstr>
      <vt:lpstr>Anexo BVI - Serviços Eventuais</vt:lpstr>
      <vt:lpstr>Anexo BVII - Comp. Serv. Eventu</vt:lpstr>
      <vt:lpstr>Mat Serv Eventuais</vt:lpstr>
      <vt:lpstr>Pesq Serv Eventuais</vt:lpstr>
      <vt:lpstr>'Anexo B - Orçamento Estimado'!Area_de_impressao</vt:lpstr>
      <vt:lpstr>'Anexo BI - Custo MOB'!Area_de_impressao</vt:lpstr>
      <vt:lpstr>'Anexo BII - Equip. e Ferramenta'!Area_de_impressao</vt:lpstr>
      <vt:lpstr>'Anexo BIII - Uniforme'!Area_de_impressao</vt:lpstr>
      <vt:lpstr>'Anexo BIV - Composição BDI'!Area_de_impressao</vt:lpstr>
      <vt:lpstr>'Anexo BVI - Serviços Eventuais'!Area_de_impressao</vt:lpstr>
      <vt:lpstr>'Anexo BVII - Comp. Serv. Eventu'!Area_de_impressao</vt:lpstr>
      <vt:lpstr>Artifice!Area_de_impressao</vt:lpstr>
      <vt:lpstr>'Téc. Eletricista'!Area_de_impressao</vt:lpstr>
      <vt:lpstr>'Téc. Refrigeração'!Area_de_impressao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José Cantero</dc:creator>
  <cp:lastModifiedBy>Bruno Silva Fiorillo</cp:lastModifiedBy>
  <cp:lastPrinted>2021-03-05T14:33:36Z</cp:lastPrinted>
  <dcterms:created xsi:type="dcterms:W3CDTF">2016-05-03T19:20:30Z</dcterms:created>
  <dcterms:modified xsi:type="dcterms:W3CDTF">2021-05-11T11:16:20Z</dcterms:modified>
</cp:coreProperties>
</file>