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cdf1001\anac\SAF\GADM\LICITAÇÕES\Licitações 2019\Pregão 30_2019 - Copeiragem RJ\"/>
    </mc:Choice>
  </mc:AlternateContent>
  <xr:revisionPtr revIDLastSave="0" documentId="13_ncr:1_{5AE21A78-CC6E-427B-9C74-3046696BF50A}" xr6:coauthVersionLast="41" xr6:coauthVersionMax="41" xr10:uidLastSave="{00000000-0000-0000-0000-000000000000}"/>
  <bookViews>
    <workbookView xWindow="-28920" yWindow="-120" windowWidth="29040" windowHeight="15840" tabRatio="700" xr2:uid="{00000000-000D-0000-FFFF-FFFF00000000}"/>
  </bookViews>
  <sheets>
    <sheet name="Quadro Resumo" sheetId="22" r:id="rId1"/>
    <sheet name="Copeiro" sheetId="10" r:id="rId2"/>
    <sheet name="Uniformes" sheetId="21" r:id="rId3"/>
    <sheet name="Utensilios" sheetId="23" r:id="rId4"/>
    <sheet name="Materiais" sheetId="16" r:id="rId5"/>
  </sheets>
  <definedNames>
    <definedName name="_xlnm.Print_Area" localSheetId="1">Copeiro!$A$1:$I$141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3" l="1"/>
  <c r="G6" i="23" s="1"/>
  <c r="E7" i="23"/>
  <c r="G7" i="23" s="1"/>
  <c r="E8" i="23"/>
  <c r="G8" i="23" s="1"/>
  <c r="E9" i="23"/>
  <c r="G9" i="23" s="1"/>
  <c r="E10" i="23"/>
  <c r="G10" i="23" s="1"/>
  <c r="E11" i="23"/>
  <c r="G11" i="23" s="1"/>
  <c r="E12" i="23"/>
  <c r="G12" i="23" s="1"/>
  <c r="E13" i="23"/>
  <c r="G13" i="23" s="1"/>
  <c r="E14" i="23"/>
  <c r="G14" i="23" s="1"/>
  <c r="E5" i="23"/>
  <c r="G5" i="23" s="1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5" i="16"/>
  <c r="G15" i="23" l="1"/>
  <c r="I103" i="10" s="1"/>
  <c r="D5" i="21"/>
  <c r="F5" i="21" s="1"/>
  <c r="D6" i="21"/>
  <c r="F6" i="21" s="1"/>
  <c r="D7" i="21"/>
  <c r="F7" i="21" s="1"/>
  <c r="D8" i="21"/>
  <c r="F8" i="21" s="1"/>
  <c r="D9" i="21"/>
  <c r="F9" i="21" s="1"/>
  <c r="D4" i="21"/>
  <c r="F4" i="21" s="1"/>
  <c r="G16" i="23" l="1"/>
  <c r="E10" i="21" l="1"/>
  <c r="E11" i="21" s="1"/>
  <c r="I102" i="10" l="1"/>
  <c r="G19" i="16"/>
  <c r="G20" i="16" l="1"/>
  <c r="D7" i="22"/>
  <c r="H116" i="10"/>
  <c r="E7" i="22" l="1"/>
  <c r="I57" i="10"/>
  <c r="I145" i="10" l="1"/>
  <c r="I139" i="10"/>
  <c r="B128" i="10"/>
  <c r="B126" i="10"/>
  <c r="B125" i="10"/>
  <c r="B124" i="10"/>
  <c r="B123" i="10"/>
  <c r="B122" i="10"/>
  <c r="H92" i="10"/>
  <c r="H86" i="10"/>
  <c r="H85" i="10"/>
  <c r="H84" i="10"/>
  <c r="H83" i="10"/>
  <c r="H82" i="10"/>
  <c r="H74" i="10"/>
  <c r="I58" i="10"/>
  <c r="I62" i="10" s="1"/>
  <c r="I68" i="10" s="1"/>
  <c r="H54" i="10"/>
  <c r="H76" i="10" s="1"/>
  <c r="H41" i="10"/>
  <c r="I31" i="10"/>
  <c r="I35" i="10" s="1"/>
  <c r="H88" i="10" l="1"/>
  <c r="I85" i="10"/>
  <c r="H78" i="10"/>
  <c r="I39" i="10"/>
  <c r="I74" i="10"/>
  <c r="I77" i="10"/>
  <c r="I82" i="10"/>
  <c r="I84" i="10"/>
  <c r="I86" i="10"/>
  <c r="I91" i="10"/>
  <c r="I92" i="10" s="1"/>
  <c r="I97" i="10" s="1"/>
  <c r="I122" i="10"/>
  <c r="I40" i="10"/>
  <c r="I75" i="10"/>
  <c r="I87" i="10"/>
  <c r="I76" i="10"/>
  <c r="I73" i="10"/>
  <c r="I83" i="10"/>
  <c r="I41" i="10" l="1"/>
  <c r="I66" i="10" s="1"/>
  <c r="I88" i="10"/>
  <c r="I96" i="10" s="1"/>
  <c r="I98" i="10" s="1"/>
  <c r="I125" i="10" s="1"/>
  <c r="I78" i="10"/>
  <c r="I124" i="10" s="1"/>
  <c r="I43" i="10" l="1"/>
  <c r="I47" i="10" s="1"/>
  <c r="I51" i="10"/>
  <c r="I49" i="10" l="1"/>
  <c r="I52" i="10"/>
  <c r="I46" i="10"/>
  <c r="I53" i="10"/>
  <c r="I50" i="10"/>
  <c r="I48" i="10"/>
  <c r="I54" i="10" l="1"/>
  <c r="I67" i="10" s="1"/>
  <c r="I69" i="10" s="1"/>
  <c r="I123" i="10" l="1"/>
  <c r="I106" i="10" l="1"/>
  <c r="I126" i="10" l="1"/>
  <c r="I127" i="10" s="1"/>
  <c r="I110" i="10" l="1"/>
  <c r="I111" i="10" l="1"/>
  <c r="I115" i="10" l="1"/>
  <c r="I114" i="10"/>
  <c r="I113" i="10"/>
  <c r="I144" i="10" l="1"/>
  <c r="I147" i="10" s="1"/>
  <c r="I117" i="10"/>
  <c r="I146" i="10" l="1"/>
  <c r="I128" i="10"/>
  <c r="I129" i="10" s="1"/>
  <c r="B151" i="10" l="1"/>
  <c r="D6" i="22"/>
  <c r="E6" i="22" l="1"/>
  <c r="E8" i="22" s="1"/>
  <c r="D8" i="22"/>
</calcChain>
</file>

<file path=xl/sharedStrings.xml><?xml version="1.0" encoding="utf-8"?>
<sst xmlns="http://schemas.openxmlformats.org/spreadsheetml/2006/main" count="357" uniqueCount="265">
  <si>
    <t>-</t>
  </si>
  <si>
    <t>VALOR (R$)</t>
  </si>
  <si>
    <t>Adicional Noturno</t>
  </si>
  <si>
    <t>%</t>
  </si>
  <si>
    <t>Outros (especificar)</t>
  </si>
  <si>
    <t>Lucro</t>
  </si>
  <si>
    <t>Data base da categoria (dia/mês/ano)</t>
  </si>
  <si>
    <t>Categoria profissional (vinculada à execução contratual)</t>
  </si>
  <si>
    <t>Salário Nominativo da Categoria Profissional</t>
  </si>
  <si>
    <t>Tipo de serviço (mesmo serviço com características distintas)</t>
  </si>
  <si>
    <t>A</t>
  </si>
  <si>
    <t>B</t>
  </si>
  <si>
    <t>C</t>
  </si>
  <si>
    <t>D</t>
  </si>
  <si>
    <t>E</t>
  </si>
  <si>
    <t>F</t>
  </si>
  <si>
    <t>G</t>
  </si>
  <si>
    <t>H</t>
  </si>
  <si>
    <t>COMPOSIÇÃO DA REMUNERAÇÃO</t>
  </si>
  <si>
    <t>INSUMOS DIVERSOS</t>
  </si>
  <si>
    <t>TOTAL SUBMÓDULO 4.1</t>
  </si>
  <si>
    <t>Nota(1):</t>
  </si>
  <si>
    <t>TOTAL SUBMÓDULO 4.2</t>
  </si>
  <si>
    <t>TOTAL</t>
  </si>
  <si>
    <t>CUSTOS INDIRETOS, TRIBUTOS E LUCRO</t>
  </si>
  <si>
    <t>4.1</t>
  </si>
  <si>
    <t>4.2</t>
  </si>
  <si>
    <t>Custos Indiretos</t>
  </si>
  <si>
    <t>Mão-de-Obra vinculada à execução contratual (valor por empregado)</t>
  </si>
  <si>
    <t>MÓDULO 1 - COMPOSIÇÃO DA REMUNERAÇÃO</t>
  </si>
  <si>
    <t>Quadro Resumo - VALOR MENSAL DOS SERVIÇOS</t>
  </si>
  <si>
    <t>Qde Postos (E)</t>
  </si>
  <si>
    <t>Tipo de Serviço (A)</t>
  </si>
  <si>
    <t>Valor Por Empregado(B)</t>
  </si>
  <si>
    <t>Valor Proposto por Posto (D) = (B x C)</t>
  </si>
  <si>
    <t>Qde de Empregados por posto ( C )</t>
  </si>
  <si>
    <t>Serviço 1 (indicar)</t>
  </si>
  <si>
    <t>Serviço 2 (indicar)</t>
  </si>
  <si>
    <t>Serviço 3 (indicar)</t>
  </si>
  <si>
    <t>Serviço ... (indicar)</t>
  </si>
  <si>
    <t>R$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</si>
  <si>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</si>
  <si>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</si>
  <si>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</si>
  <si>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</si>
  <si>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</si>
  <si>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</si>
  <si>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</si>
  <si>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</si>
  <si>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</si>
  <si>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</si>
  <si>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Discriminação dos Serviços</t>
  </si>
  <si>
    <t>Data de apresentação da proposta</t>
  </si>
  <si>
    <t>Município</t>
  </si>
  <si>
    <t>Nº de meses de execução contratual</t>
  </si>
  <si>
    <t>Tipo de Serviço</t>
  </si>
  <si>
    <t>Unidade de Medida</t>
  </si>
  <si>
    <t>Quantidade total a contratar (em função da unidade de medida)</t>
  </si>
  <si>
    <t>Identificação do Serviço</t>
  </si>
  <si>
    <t>ISS</t>
  </si>
  <si>
    <t>TRIBUTOS</t>
  </si>
  <si>
    <t>C.1</t>
  </si>
  <si>
    <t>C.2</t>
  </si>
  <si>
    <t>C.3</t>
  </si>
  <si>
    <t>Ano do Acordo, Convenção ou Dissídio Coletivo</t>
  </si>
  <si>
    <t>Dados para composição dos custos referentes à mão-de-obra</t>
  </si>
  <si>
    <t>Classificação Brasileira de Ocupações (CBO)</t>
  </si>
  <si>
    <t xml:space="preserve">Adicional Periculosidade </t>
  </si>
  <si>
    <t>Adicional Insalubridade</t>
  </si>
  <si>
    <t>Adicional de Hora Noturna Reduzida</t>
  </si>
  <si>
    <t>MÓDULO 2 – ENCARGOS E BENEFÍCIOS ANUAIS, MENSAIS E DIÁRIOS</t>
  </si>
  <si>
    <t>13º Salário, Férias e Adicional de Férias</t>
  </si>
  <si>
    <t>TOTAL SUBMÓDULO 2.1</t>
  </si>
  <si>
    <t>GPS, FGTS e Outras Contribuições</t>
  </si>
  <si>
    <t>SESC ou SESI</t>
  </si>
  <si>
    <t xml:space="preserve">INSS </t>
  </si>
  <si>
    <t xml:space="preserve">Salário Educação </t>
  </si>
  <si>
    <t>SAT (Seguro Acidente de Trabalho)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</si>
  <si>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</si>
  <si>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</si>
  <si>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</si>
  <si>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</si>
  <si>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</si>
  <si>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2.1 - 13º Salário, Férias e Adicional de Férias</t>
  </si>
  <si>
    <t>Submódulo 2.2 - GPS, FGTS e Outras Contribuições</t>
  </si>
  <si>
    <t>Submódulo 2.3 - Benefícios Mensais e Diários</t>
  </si>
  <si>
    <t>TOTAL SUBMÓDULO 2.3</t>
  </si>
  <si>
    <t>QUADRO-RESUMO DO MÓDULO 2 - ENCARGOS, BENEFÍCIOS ANUAIS, MENSAIS E DIÁRIOS</t>
  </si>
  <si>
    <t>2.1</t>
  </si>
  <si>
    <t>2.2</t>
  </si>
  <si>
    <t>2.3</t>
  </si>
  <si>
    <t>Módulo 2 - Encargos, Benefícios Anuais, Mensais e Diários</t>
  </si>
  <si>
    <t>Benefícios Mensais e Diários</t>
  </si>
  <si>
    <t>TOTAL DO MÓDULO 1</t>
  </si>
  <si>
    <t>TOTAL DO MÓDULO 2</t>
  </si>
  <si>
    <t>MÓDULO 3 – PROVISÃO PARA RESCISÃO</t>
  </si>
  <si>
    <t>PROVISÃO PARA RESCISÃO</t>
  </si>
  <si>
    <t xml:space="preserve">Aviso Prévio Trabalhado </t>
  </si>
  <si>
    <t>Incidência do FGTS sobre Aviso Prévio Indenizado</t>
  </si>
  <si>
    <t>Aviso Prévio Indenizado</t>
  </si>
  <si>
    <t>TOTAL DO MÓDULO 3</t>
  </si>
  <si>
    <t>MÓDULO 4 – CUSTO DE REPOSIÇÃO DO PROFISSIONAL AUSENTE</t>
  </si>
  <si>
    <t>Submódulo 4.2 - Intrajornada</t>
  </si>
  <si>
    <t>QUADRO-RESUMO DO MÓDULO 4 - CUSTO DE REPOSIÇÃO DO PROFISSIONAL AUSENTE</t>
  </si>
  <si>
    <t>Módulo 4 - Custo de Reposição do Profissional Ausente</t>
  </si>
  <si>
    <t>TOTAL DO MÓDULO 4</t>
  </si>
  <si>
    <t>MÓDULO 5 – INSUMOS DIVERSOS</t>
  </si>
  <si>
    <t>TOTAL DO MÓDULO 5</t>
  </si>
  <si>
    <t>MÓDULO 6 – CUSTOS INDIRETOS, TRIBUTOS E LUCRO</t>
  </si>
  <si>
    <t>TOTAL DO MÓDULO 6</t>
  </si>
  <si>
    <t>QUADRO RESUMO DO CUSTO POR EMPREGADO</t>
  </si>
  <si>
    <t>Subtotal (A + B + C + D + E)</t>
  </si>
  <si>
    <t>FATOR K</t>
  </si>
  <si>
    <t>PREÇO TOTAL POR EMPREGADO</t>
  </si>
  <si>
    <t>base 2.2</t>
  </si>
  <si>
    <t>Seguro de Vida</t>
  </si>
  <si>
    <t xml:space="preserve">Transporte </t>
  </si>
  <si>
    <t xml:space="preserve">Auxílio-Refeição/Alimentação  </t>
  </si>
  <si>
    <t>Rio de Janeiro</t>
  </si>
  <si>
    <t>Incidência de GPS, FGTS e outras contribuições sobre o Aviso Prévio Trabalhado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</si>
  <si>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</si>
  <si>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</si>
  <si>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</si>
  <si>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</si>
  <si>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</si>
  <si>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</si>
  <si>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</si>
  <si>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 xml:space="preserve"> Substituto na cobertura de Intervalo para repouso ou alimentação</t>
  </si>
  <si>
    <t>Substituto nas Ausências Legais</t>
  </si>
  <si>
    <t>Substituto na Intrajornada</t>
  </si>
  <si>
    <t>[(1/12)X5]=0,417%</t>
  </si>
  <si>
    <t>Art. 7º, XXI, CF/88, 477, 487 e 491 CLT. Estimativa de que 5% dos empregados serão substítuidos durante o ano.</t>
  </si>
  <si>
    <t>(8% X 0,42%) = 0,03%</t>
  </si>
  <si>
    <t>Leis nºs 8.036/90 e 9.491/97.</t>
  </si>
  <si>
    <t>{[(7/30)/12]x100} = 1,94%</t>
  </si>
  <si>
    <t>Art. 7º, XXI, CF/88, 477, 487 e 491 CLT. Redução de 7 dias ou 2 horas por dia.</t>
  </si>
  <si>
    <t>[(Total submódulo 2.2 x 1,94%) x 100]</t>
  </si>
  <si>
    <t>Art. 22, Inciso I, da Lei nº 8.212/91.</t>
  </si>
  <si>
    <t>Art.    3º,    Inciso    I,    Decreto    n.º 87.043/82.</t>
  </si>
  <si>
    <t>RAT X FAP</t>
  </si>
  <si>
    <t>Lei n.º 8.212/91  e Decreto 6.957/2009</t>
  </si>
  <si>
    <t>Decreto n.º 2.318/86.</t>
  </si>
  <si>
    <t>Lei n.º 7.787/89 e DL n.º 1.146/70.</t>
  </si>
  <si>
    <t xml:space="preserve">Art.  8º,  Lei  n.º  8.029/90  e  Lei  n.º 8.154/90. </t>
  </si>
  <si>
    <t>Art. 15, Lei nº 8.030/90 e Art. 7º, III, CF.</t>
  </si>
  <si>
    <t>(VT x 44 dias)- 6% s/ salário</t>
  </si>
  <si>
    <t>Lei Federal nº 7.418/1985 e Decreto nº 95.247/1987</t>
  </si>
  <si>
    <t>(VA x 22 dias)</t>
  </si>
  <si>
    <t>Acordo, Dissídio ou CCT</t>
  </si>
  <si>
    <t>{[(1/30)/12]x100} = 0,277%</t>
  </si>
  <si>
    <t>Art. 473 da CLT. Estimativa de 1 ausênia por ano.</t>
  </si>
  <si>
    <t>{[(5/30)/12]X0,015}X100=0,02%</t>
  </si>
  <si>
    <t>{[(15/30)/12]x0,08}x100= 0,333%</t>
  </si>
  <si>
    <t>[(4 x 8,33%) + (4 x 2,78%) / 12 x 2% = 0,07%</t>
  </si>
  <si>
    <t>Art. 7º, XVII, CF/88
INSTRUÇÃO NORMATIVA Nº 5, DE 26 DE MAIO DE 2017 - ANEXO XII</t>
  </si>
  <si>
    <t>Art. 7º, VIII, CF/88- Dec. 57.115/65.
INSTRUÇÃO NORMATIVA Nº 5, DE 26 DE MAIO DE 2017 - ANEXO XII</t>
  </si>
  <si>
    <t>Art. 7º, VIII, CF/88- Dec. 57.115/65.
Férias, 13º e Adicional de 1/3</t>
  </si>
  <si>
    <t> (1/12/12) + (1/12/12) + (1/12/12/3)</t>
  </si>
  <si>
    <t>Fundamento</t>
  </si>
  <si>
    <t>Memória de Cálculo</t>
  </si>
  <si>
    <t>Leis nºs 8.036/90 e 9.491/97.
INSTRUÇÃO NORMATIVA Nº 5, DE 26 DE MAIO DE 2017 - ANEXO XII</t>
  </si>
  <si>
    <t>(Art. 7º, XIX, CFRB c/c art. 10, §1º. 
Estimativa de 1,5% dos funcionários usufruindo 5 dias da licença por ano.</t>
  </si>
  <si>
    <t>Art. 19 a 23 da Lei 8.213/91, ART. 473, CLT .
Estimativa de 1 licença de 15 dias por ano para 8% dos funcionários.</t>
  </si>
  <si>
    <t>Art. 7º, VIII, CF/88, Art. 392, CLT e Lei 11.770/2008. 
Estimativa de 2% dos empregados usufruindo de 4 meses de liceça por ano.</t>
  </si>
  <si>
    <t>PIS (Lucro Real)</t>
  </si>
  <si>
    <t>COFINS (Lucro Real)</t>
  </si>
  <si>
    <t>Retenção de 5% - Conta Vinculada</t>
  </si>
  <si>
    <t>9,075 % + 3,025 %</t>
  </si>
  <si>
    <t>13 (Décimo-terceiro) salário (Percentual obrigatório conforme Anexo XII - IN 5/17)</t>
  </si>
  <si>
    <t>Férias e Adicional de Férias  (Percentual obrigatório conforme Anexo XII - IN 5/17)</t>
  </si>
  <si>
    <t>Multa sobre FGTS e contribuição social sobre o aviso prévio indenizado e sobre o aviso prévio trabalhado  (Percentual obrigatório conforme Anexo XII - IN 5/17)</t>
  </si>
  <si>
    <t>Pesquisa de preços.</t>
  </si>
  <si>
    <t>Aplica-se a alíquota do lucro sobre o somatório entre Custos Diretos e Custos Indiretos</t>
  </si>
  <si>
    <t>Aplica-se a alíquota do CI sobre o total dos custos diretos (somatório dos módulos 1 a 5)</t>
  </si>
  <si>
    <r>
      <rPr>
        <b/>
        <sz val="12"/>
        <color theme="1"/>
        <rFont val="Arial"/>
        <family val="2"/>
      </rPr>
      <t>AGÊNCIA NACIONAL DE AVIAÇÃO CIVIL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SUPERINTENDÊNCIA DE ADMINISTRAÇÃO E FINANÇAS</t>
    </r>
    <r>
      <rPr>
        <sz val="10"/>
        <rFont val="Arial"/>
        <family val="2"/>
      </rPr>
      <t xml:space="preserve">
GERÊNCIA TÉCNICA DE ADMINISTRAÇÃO E FINANÇAS DO RJ</t>
    </r>
  </si>
  <si>
    <t>IN 05/2017/SEGES/MPDG - ANEXO VII-D</t>
  </si>
  <si>
    <t>PLANILHA DE CUSTOS E FORMAÇÃO DE PREÇOS</t>
  </si>
  <si>
    <t>PREGÃO N.º ____/2019</t>
  </si>
  <si>
    <r>
      <rPr>
        <sz val="9"/>
        <rFont val="Arial"/>
        <family val="2"/>
      </rPr>
      <t>CCT SEAC-RJ 000705/2019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CNPJ 34.037.150/0001-91</t>
    </r>
  </si>
  <si>
    <t>área</t>
  </si>
  <si>
    <t>Assistência Médica e Familiar (Benefício Social Familiar)</t>
  </si>
  <si>
    <t>Unidade de Fornecimento</t>
  </si>
  <si>
    <t>VALOR UNITÁRIO (R$)</t>
  </si>
  <si>
    <t>Unidade</t>
  </si>
  <si>
    <t>Outros</t>
  </si>
  <si>
    <t>(CD + CI + Lucro)/(1 – total de tributos)) x Alíquota do PIS</t>
  </si>
  <si>
    <t>(CD + CI + Lucro)/(1 – total de tributos)) x Alíquota do COFINS</t>
  </si>
  <si>
    <t>(CD + CI + Lucro)/(1 – total de tributos)) x Alíquota do ISSQN.</t>
  </si>
  <si>
    <t>Insumos dos Materiais (equipamentos + materiais de limpeza)</t>
  </si>
  <si>
    <t xml:space="preserve">Insumos dos Uniformes </t>
  </si>
  <si>
    <t>Garçon</t>
  </si>
  <si>
    <t xml:space="preserve">Especificação </t>
  </si>
  <si>
    <t>Valor Unitario</t>
  </si>
  <si>
    <t>Custo  Anual individual</t>
  </si>
  <si>
    <t>TOTAL ANUAL</t>
  </si>
  <si>
    <t>TOTAL MENSAL</t>
  </si>
  <si>
    <t>Material de consumo</t>
  </si>
  <si>
    <t>Especificação material de consumo</t>
  </si>
  <si>
    <t>QUANT. 
MENSAL</t>
  </si>
  <si>
    <t>VALOR MENSAL (R$)</t>
  </si>
  <si>
    <t>VALOR  MENSAL DO material de consumo</t>
  </si>
  <si>
    <t>Especificações –Utensílios</t>
  </si>
  <si>
    <t>Jarra de aço inoxidável – 2 litros</t>
  </si>
  <si>
    <t>Copos de água de vidro transparente - 300 ml</t>
  </si>
  <si>
    <t>VALOR ANUAL DO material de consumo</t>
  </si>
  <si>
    <t xml:space="preserve">Nº do Processo 00065.027017/2019-78 </t>
  </si>
  <si>
    <t>Categoria profissional: Copeiro</t>
  </si>
  <si>
    <t>Copeiro</t>
  </si>
  <si>
    <t>Posto</t>
  </si>
  <si>
    <t>Efetivo</t>
  </si>
  <si>
    <t>MATERIAIS</t>
  </si>
  <si>
    <t>TOTAL DO SERVIÇO</t>
  </si>
  <si>
    <t>QUADRO RESUMO</t>
  </si>
  <si>
    <t>Camisa social</t>
  </si>
  <si>
    <t>Blusa de Moleton</t>
  </si>
  <si>
    <t xml:space="preserve">Calça  social na cor preta </t>
  </si>
  <si>
    <t>Avental inteiriço Branco</t>
  </si>
  <si>
    <t>Touca Protetora com Aba</t>
  </si>
  <si>
    <t xml:space="preserve">Sapato em couro, na cor preta </t>
  </si>
  <si>
    <t>Nº Peças p/Semestre</t>
  </si>
  <si>
    <t xml:space="preserve">Quantidade Anual de Peças </t>
  </si>
  <si>
    <t>Média Pesquisada</t>
  </si>
  <si>
    <t>Custo  Mensal</t>
  </si>
  <si>
    <t>Custo Anual</t>
  </si>
  <si>
    <t>Açucar cristal - embalagem de 1 Kg</t>
  </si>
  <si>
    <t>Kg</t>
  </si>
  <si>
    <t>Adoçante Líquido, tipo aspartame -frasco de 100 ml</t>
  </si>
  <si>
    <t>Água Sanitaria - frasco com 1 litro</t>
  </si>
  <si>
    <t>Alcool Comum - frasco com 1 litro</t>
  </si>
  <si>
    <t>Café torrado e moído, de boa qualidade - embalagem de 500 g</t>
  </si>
  <si>
    <t>Pacote 500 gramas</t>
  </si>
  <si>
    <t>Coador de pano para cafeteira elétrica industrial nº 03</t>
  </si>
  <si>
    <t>Copo descartável para água, com capacidade para 200 ml - cento</t>
  </si>
  <si>
    <t>Pacote com 100 copos</t>
  </si>
  <si>
    <t>Detergente líquido neutro para lavar louças - frasco de 500 ml</t>
  </si>
  <si>
    <t>Esponja dupla face para louças</t>
  </si>
  <si>
    <t>Guardanapo de papel não reciclado de 1ª qualidade, medindo aproximadamente 30 x 33 cm - pacote com 50 unidades</t>
  </si>
  <si>
    <t>Pacote com 50 unidades</t>
  </si>
  <si>
    <t>Líquido multi-uso - frasco com 500 ml</t>
  </si>
  <si>
    <t>Palheta para mexer café - pacote com 500 unidades</t>
  </si>
  <si>
    <t>Pacote com 500 unidades</t>
  </si>
  <si>
    <t>Pano de Prato</t>
  </si>
  <si>
    <t>Pano de limpeza, tipo perfex ( embalagem com 5 unidades)</t>
  </si>
  <si>
    <t>Pacote com 5 unidades</t>
  </si>
  <si>
    <t>Carrinhos de chá em metal – médio</t>
  </si>
  <si>
    <t>Garrafa térmica de aço inoxidável, com sistema de pressão - 1,8/1,9 litro</t>
  </si>
  <si>
    <t>Porta-copo de aço inoxidável (base para copos) - unidade</t>
  </si>
  <si>
    <t>Xícara de café com pires de porcelana na cor branca</t>
  </si>
  <si>
    <t>Bandeja retangular da aço inoxidável (Dimensões mínimas 45cm x 30cm)</t>
  </si>
  <si>
    <t>Açucareiro em aço inoxidável</t>
  </si>
  <si>
    <t>Colher em aço inoxidável (para açucareiro)</t>
  </si>
  <si>
    <t>Cafeteira elétrica com capacidade mínima para 30 xícaras</t>
  </si>
  <si>
    <t>QUANT. 
ANUAL</t>
  </si>
  <si>
    <t>VALOR ANUAL (R$)</t>
  </si>
  <si>
    <t>Valor
unitário (R$)</t>
  </si>
  <si>
    <t>Vida Útil
(meses)</t>
  </si>
  <si>
    <t>Valor
mensal (R$)</t>
  </si>
  <si>
    <t>Quantidade
Mínima</t>
  </si>
  <si>
    <t>Subtotal (R$)</t>
  </si>
  <si>
    <t>VALOR MENSAL DE UTENSÍLIOS</t>
  </si>
  <si>
    <t>VALOR ANUAL DE UTENSÍLIOS</t>
  </si>
  <si>
    <t>COPEIRO (A)</t>
  </si>
  <si>
    <t>UNIFORME - COPEIRO</t>
  </si>
  <si>
    <t>Garçom</t>
  </si>
  <si>
    <t>ANEXO II – Orçamento Estimado - Planilhas de Custo e Formação de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</si>
</sst>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0.0%"/>
    <numFmt numFmtId="167" formatCode="0.000%"/>
    <numFmt numFmtId="168" formatCode="0.0000%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indexed="8"/>
      <name val="Calibri"/>
      <family val="2"/>
    </font>
    <font>
      <sz val="10"/>
      <color rgb="FFC00000"/>
      <name val="Arial"/>
      <family val="2"/>
    </font>
    <font>
      <b/>
      <sz val="12"/>
      <name val="Arial"/>
      <family val="2"/>
    </font>
    <font>
      <b/>
      <sz val="12"/>
      <color theme="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gradientFill degree="225">
        <stop position="0">
          <color theme="0"/>
        </stop>
        <stop position="1">
          <color theme="4"/>
        </stop>
      </gradient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1">
    <xf numFmtId="0" fontId="0" fillId="0" borderId="0"/>
    <xf numFmtId="165" fontId="4" fillId="0" borderId="0" applyFill="0" applyBorder="0" applyAlignment="0" applyProtection="0"/>
    <xf numFmtId="9" fontId="4" fillId="0" borderId="0" applyFill="0" applyBorder="0" applyAlignment="0" applyProtection="0"/>
    <xf numFmtId="0" fontId="3" fillId="0" borderId="0"/>
    <xf numFmtId="0" fontId="2" fillId="0" borderId="0"/>
    <xf numFmtId="0" fontId="18" fillId="0" borderId="0"/>
    <xf numFmtId="44" fontId="4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60">
    <xf numFmtId="0" fontId="0" fillId="0" borderId="0" xfId="0"/>
    <xf numFmtId="0" fontId="6" fillId="0" borderId="0" xfId="0" applyFont="1" applyAlignment="1">
      <alignment vertical="center"/>
    </xf>
    <xf numFmtId="0" fontId="13" fillId="7" borderId="44" xfId="0" applyFont="1" applyFill="1" applyBorder="1" applyAlignment="1">
      <alignment horizontal="justify" vertical="center"/>
    </xf>
    <xf numFmtId="49" fontId="12" fillId="7" borderId="1" xfId="0" applyNumberFormat="1" applyFont="1" applyFill="1" applyBorder="1" applyAlignment="1" applyProtection="1">
      <alignment horizontal="justify" vertical="center"/>
    </xf>
    <xf numFmtId="2" fontId="6" fillId="0" borderId="1" xfId="0" applyNumberFormat="1" applyFont="1" applyBorder="1" applyAlignment="1">
      <alignment vertical="center"/>
    </xf>
    <xf numFmtId="10" fontId="8" fillId="0" borderId="1" xfId="2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8" fillId="0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0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10" fontId="6" fillId="5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2" fontId="7" fillId="8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45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46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right" vertical="center"/>
    </xf>
    <xf numFmtId="49" fontId="12" fillId="7" borderId="44" xfId="0" applyNumberFormat="1" applyFont="1" applyFill="1" applyBorder="1" applyAlignment="1" applyProtection="1">
      <alignment horizontal="justify" vertical="center"/>
    </xf>
    <xf numFmtId="2" fontId="6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168" fontId="6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9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vertical="center"/>
    </xf>
    <xf numFmtId="166" fontId="8" fillId="0" borderId="1" xfId="2" applyNumberFormat="1" applyFont="1" applyBorder="1" applyAlignment="1">
      <alignment vertical="center"/>
    </xf>
    <xf numFmtId="9" fontId="8" fillId="0" borderId="1" xfId="2" applyFont="1" applyBorder="1" applyAlignment="1">
      <alignment vertical="center"/>
    </xf>
    <xf numFmtId="10" fontId="9" fillId="0" borderId="40" xfId="2" applyNumberFormat="1" applyFont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2" fontId="6" fillId="0" borderId="17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2" fontId="6" fillId="0" borderId="18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2" fontId="6" fillId="0" borderId="19" xfId="0" applyNumberFormat="1" applyFont="1" applyFill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7" fillId="0" borderId="0" xfId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18" fillId="0" borderId="0" xfId="5"/>
    <xf numFmtId="0" fontId="0" fillId="0" borderId="1" xfId="0" applyFont="1" applyBorder="1" applyAlignment="1">
      <alignment vertical="center"/>
    </xf>
    <xf numFmtId="0" fontId="7" fillId="0" borderId="48" xfId="0" applyFont="1" applyFill="1" applyBorder="1" applyAlignment="1">
      <alignment horizontal="center" vertical="center"/>
    </xf>
    <xf numFmtId="2" fontId="6" fillId="0" borderId="48" xfId="0" applyNumberFormat="1" applyFont="1" applyFill="1" applyBorder="1" applyAlignment="1">
      <alignment vertical="center"/>
    </xf>
    <xf numFmtId="0" fontId="0" fillId="0" borderId="48" xfId="0" applyFont="1" applyBorder="1" applyAlignment="1">
      <alignment vertical="center"/>
    </xf>
    <xf numFmtId="44" fontId="19" fillId="9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5" borderId="54" xfId="0" applyFont="1" applyFill="1" applyBorder="1" applyAlignment="1">
      <alignment horizontal="justify" vertical="center" wrapText="1"/>
    </xf>
    <xf numFmtId="44" fontId="20" fillId="10" borderId="56" xfId="6" applyFont="1" applyFill="1" applyBorder="1" applyAlignment="1">
      <alignment horizontal="center" vertical="center"/>
    </xf>
    <xf numFmtId="0" fontId="20" fillId="10" borderId="54" xfId="0" applyFont="1" applyFill="1" applyBorder="1" applyAlignment="1">
      <alignment horizontal="justify" vertical="center" wrapText="1"/>
    </xf>
    <xf numFmtId="0" fontId="20" fillId="10" borderId="54" xfId="0" applyFont="1" applyFill="1" applyBorder="1" applyAlignment="1">
      <alignment horizontal="justify" vertical="center"/>
    </xf>
    <xf numFmtId="0" fontId="20" fillId="10" borderId="57" xfId="0" applyFont="1" applyFill="1" applyBorder="1" applyAlignment="1">
      <alignment horizontal="justify" vertical="center" wrapText="1"/>
    </xf>
    <xf numFmtId="0" fontId="0" fillId="0" borderId="53" xfId="0" applyBorder="1" applyAlignment="1">
      <alignment horizontal="center" vertical="center"/>
    </xf>
    <xf numFmtId="44" fontId="20" fillId="10" borderId="58" xfId="6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4" fontId="20" fillId="10" borderId="60" xfId="6" applyFont="1" applyFill="1" applyBorder="1" applyAlignment="1">
      <alignment horizontal="center" vertical="center"/>
    </xf>
    <xf numFmtId="0" fontId="19" fillId="9" borderId="25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justify" vertical="center"/>
    </xf>
    <xf numFmtId="0" fontId="20" fillId="0" borderId="61" xfId="0" applyFont="1" applyBorder="1" applyAlignment="1">
      <alignment horizontal="center" vertical="center"/>
    </xf>
    <xf numFmtId="44" fontId="20" fillId="0" borderId="62" xfId="6" applyFont="1" applyBorder="1" applyAlignment="1">
      <alignment horizontal="center" vertical="center" wrapText="1"/>
    </xf>
    <xf numFmtId="0" fontId="22" fillId="0" borderId="54" xfId="0" applyFont="1" applyBorder="1" applyAlignment="1">
      <alignment horizontal="justify" vertical="center"/>
    </xf>
    <xf numFmtId="0" fontId="22" fillId="0" borderId="59" xfId="0" applyFont="1" applyBorder="1" applyAlignment="1">
      <alignment horizontal="justify" vertical="center"/>
    </xf>
    <xf numFmtId="0" fontId="23" fillId="9" borderId="25" xfId="0" applyFont="1" applyFill="1" applyBorder="1" applyAlignment="1">
      <alignment vertical="center" wrapText="1"/>
    </xf>
    <xf numFmtId="0" fontId="23" fillId="9" borderId="23" xfId="0" applyFont="1" applyFill="1" applyBorder="1" applyAlignment="1">
      <alignment vertical="center" wrapText="1"/>
    </xf>
    <xf numFmtId="0" fontId="21" fillId="9" borderId="47" xfId="0" applyFont="1" applyFill="1" applyBorder="1" applyAlignment="1">
      <alignment vertical="center"/>
    </xf>
    <xf numFmtId="0" fontId="21" fillId="9" borderId="63" xfId="0" applyFont="1" applyFill="1" applyBorder="1" applyAlignment="1">
      <alignment vertical="center"/>
    </xf>
    <xf numFmtId="44" fontId="20" fillId="0" borderId="52" xfId="6" applyFont="1" applyBorder="1" applyAlignment="1">
      <alignment horizontal="center" vertical="center"/>
    </xf>
    <xf numFmtId="44" fontId="20" fillId="0" borderId="54" xfId="6" applyFont="1" applyBorder="1" applyAlignment="1">
      <alignment horizontal="center" vertical="center"/>
    </xf>
    <xf numFmtId="44" fontId="20" fillId="0" borderId="59" xfId="6" applyFont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10" borderId="55" xfId="0" applyFont="1" applyFill="1" applyBorder="1" applyAlignment="1">
      <alignment horizontal="center" vertical="center"/>
    </xf>
    <xf numFmtId="0" fontId="20" fillId="10" borderId="53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26" fillId="11" borderId="68" xfId="0" applyFont="1" applyFill="1" applyBorder="1" applyAlignment="1">
      <alignment horizontal="center" vertical="center"/>
    </xf>
    <xf numFmtId="0" fontId="26" fillId="11" borderId="69" xfId="0" applyFont="1" applyFill="1" applyBorder="1" applyAlignment="1">
      <alignment horizontal="center" vertical="center"/>
    </xf>
    <xf numFmtId="0" fontId="26" fillId="11" borderId="70" xfId="0" applyFont="1" applyFill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44" fontId="26" fillId="0" borderId="53" xfId="0" applyNumberFormat="1" applyFont="1" applyBorder="1" applyAlignment="1">
      <alignment horizontal="center" vertical="center"/>
    </xf>
    <xf numFmtId="44" fontId="26" fillId="0" borderId="58" xfId="0" applyNumberFormat="1" applyFont="1" applyBorder="1" applyAlignment="1">
      <alignment horizontal="center" vertical="center"/>
    </xf>
    <xf numFmtId="44" fontId="26" fillId="0" borderId="55" xfId="0" applyNumberFormat="1" applyFont="1" applyBorder="1" applyAlignment="1">
      <alignment horizontal="center" vertical="center"/>
    </xf>
    <xf numFmtId="44" fontId="26" fillId="0" borderId="56" xfId="0" applyNumberFormat="1" applyFont="1" applyBorder="1" applyAlignment="1">
      <alignment horizontal="center" vertical="center"/>
    </xf>
    <xf numFmtId="44" fontId="26" fillId="11" borderId="66" xfId="0" applyNumberFormat="1" applyFont="1" applyFill="1" applyBorder="1" applyAlignment="1">
      <alignment horizontal="center" vertical="center"/>
    </xf>
    <xf numFmtId="44" fontId="26" fillId="11" borderId="67" xfId="0" applyNumberFormat="1" applyFont="1" applyFill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44" fontId="0" fillId="0" borderId="0" xfId="0" applyNumberFormat="1"/>
    <xf numFmtId="0" fontId="19" fillId="9" borderId="35" xfId="0" applyFont="1" applyFill="1" applyBorder="1" applyAlignment="1">
      <alignment vertical="center"/>
    </xf>
    <xf numFmtId="0" fontId="19" fillId="9" borderId="36" xfId="0" applyFont="1" applyFill="1" applyBorder="1" applyAlignment="1">
      <alignment vertical="center"/>
    </xf>
    <xf numFmtId="0" fontId="19" fillId="9" borderId="25" xfId="0" applyFont="1" applyFill="1" applyBorder="1" applyAlignment="1">
      <alignment vertical="center"/>
    </xf>
    <xf numFmtId="0" fontId="19" fillId="9" borderId="23" xfId="0" applyFont="1" applyFill="1" applyBorder="1" applyAlignment="1">
      <alignment vertical="center"/>
    </xf>
    <xf numFmtId="0" fontId="18" fillId="0" borderId="0" xfId="5" applyFill="1"/>
    <xf numFmtId="0" fontId="19" fillId="0" borderId="0" xfId="0" applyFont="1" applyFill="1" applyBorder="1" applyAlignment="1">
      <alignment horizontal="center" vertical="center"/>
    </xf>
    <xf numFmtId="44" fontId="20" fillId="0" borderId="0" xfId="6" applyFont="1" applyFill="1" applyBorder="1" applyAlignment="1">
      <alignment horizontal="center" vertical="center"/>
    </xf>
    <xf numFmtId="44" fontId="19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44" fontId="20" fillId="10" borderId="55" xfId="0" applyNumberFormat="1" applyFont="1" applyFill="1" applyBorder="1" applyAlignment="1">
      <alignment horizontal="center" vertical="center"/>
    </xf>
    <xf numFmtId="44" fontId="20" fillId="10" borderId="53" xfId="0" applyNumberFormat="1" applyFont="1" applyFill="1" applyBorder="1" applyAlignment="1">
      <alignment horizontal="center" vertical="center"/>
    </xf>
    <xf numFmtId="44" fontId="0" fillId="0" borderId="53" xfId="0" applyNumberFormat="1" applyBorder="1"/>
    <xf numFmtId="44" fontId="4" fillId="0" borderId="55" xfId="1" applyNumberFormat="1" applyBorder="1" applyAlignment="1">
      <alignment vertical="center" wrapText="1"/>
    </xf>
    <xf numFmtId="44" fontId="0" fillId="0" borderId="55" xfId="0" applyNumberFormat="1" applyBorder="1"/>
    <xf numFmtId="44" fontId="19" fillId="9" borderId="25" xfId="0" applyNumberFormat="1" applyFont="1" applyFill="1" applyBorder="1" applyAlignment="1">
      <alignment vertical="center"/>
    </xf>
    <xf numFmtId="44" fontId="19" fillId="9" borderId="14" xfId="0" applyNumberFormat="1" applyFont="1" applyFill="1" applyBorder="1" applyAlignment="1">
      <alignment vertical="center"/>
    </xf>
    <xf numFmtId="0" fontId="20" fillId="10" borderId="73" xfId="0" applyFont="1" applyFill="1" applyBorder="1" applyAlignment="1">
      <alignment horizontal="center" vertical="center"/>
    </xf>
    <xf numFmtId="0" fontId="20" fillId="10" borderId="74" xfId="0" applyFont="1" applyFill="1" applyBorder="1" applyAlignment="1">
      <alignment horizontal="center" vertical="center"/>
    </xf>
    <xf numFmtId="44" fontId="20" fillId="10" borderId="75" xfId="6" applyFont="1" applyFill="1" applyBorder="1" applyAlignment="1">
      <alignment horizontal="center" vertical="center"/>
    </xf>
    <xf numFmtId="44" fontId="20" fillId="10" borderId="64" xfId="6" applyFont="1" applyFill="1" applyBorder="1" applyAlignment="1">
      <alignment horizontal="center" vertical="center"/>
    </xf>
    <xf numFmtId="44" fontId="20" fillId="10" borderId="72" xfId="6" applyFont="1" applyFill="1" applyBorder="1" applyAlignment="1">
      <alignment horizontal="center" vertical="center"/>
    </xf>
    <xf numFmtId="165" fontId="4" fillId="0" borderId="53" xfId="1" applyBorder="1" applyAlignment="1">
      <alignment vertical="center" wrapText="1"/>
    </xf>
    <xf numFmtId="165" fontId="4" fillId="0" borderId="55" xfId="1" applyBorder="1" applyAlignment="1">
      <alignment vertical="center" wrapText="1"/>
    </xf>
    <xf numFmtId="165" fontId="4" fillId="0" borderId="76" xfId="1" applyBorder="1" applyAlignment="1">
      <alignment vertical="center" wrapText="1"/>
    </xf>
    <xf numFmtId="0" fontId="20" fillId="10" borderId="77" xfId="0" applyFont="1" applyFill="1" applyBorder="1" applyAlignment="1">
      <alignment horizontal="justify" vertical="center" wrapText="1"/>
    </xf>
    <xf numFmtId="0" fontId="0" fillId="0" borderId="76" xfId="0" applyBorder="1" applyAlignment="1">
      <alignment horizontal="center" vertical="center"/>
    </xf>
    <xf numFmtId="0" fontId="20" fillId="10" borderId="76" xfId="0" applyFont="1" applyFill="1" applyBorder="1" applyAlignment="1">
      <alignment horizontal="center" vertical="center"/>
    </xf>
    <xf numFmtId="0" fontId="20" fillId="10" borderId="78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10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11" borderId="65" xfId="0" applyFont="1" applyFill="1" applyBorder="1" applyAlignment="1">
      <alignment horizontal="center" vertical="center"/>
    </xf>
    <xf numFmtId="0" fontId="26" fillId="11" borderId="66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4" borderId="4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4" fontId="20" fillId="9" borderId="25" xfId="0" applyNumberFormat="1" applyFont="1" applyFill="1" applyBorder="1" applyAlignment="1">
      <alignment horizontal="center" vertical="center" wrapText="1"/>
    </xf>
    <xf numFmtId="44" fontId="20" fillId="9" borderId="14" xfId="0" applyNumberFormat="1" applyFont="1" applyFill="1" applyBorder="1" applyAlignment="1">
      <alignment horizontal="center" vertical="center" wrapText="1"/>
    </xf>
    <xf numFmtId="0" fontId="21" fillId="9" borderId="2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</cellXfs>
  <cellStyles count="11">
    <cellStyle name="Moeda" xfId="1" builtinId="4"/>
    <cellStyle name="Moeda 2" xfId="6" xr:uid="{116422FC-30C4-47BC-8909-5D68C3205C03}"/>
    <cellStyle name="Moeda 2 2" xfId="8" xr:uid="{7B2E925B-6AB8-4FA4-878D-92EA95D5EFFD}"/>
    <cellStyle name="Moeda 2 3" xfId="9" xr:uid="{215AEA36-FE5F-46F1-8059-ADB33AC7461C}"/>
    <cellStyle name="Normal" xfId="0" builtinId="0"/>
    <cellStyle name="Normal 2" xfId="3" xr:uid="{00000000-0005-0000-0000-000003000000}"/>
    <cellStyle name="Normal 2 2" xfId="7" xr:uid="{7888331C-0021-4438-BAFD-8FBD7613300C}"/>
    <cellStyle name="Normal 3" xfId="4" xr:uid="{00000000-0005-0000-0000-000004000000}"/>
    <cellStyle name="Normal 4" xfId="5" xr:uid="{F3DF5575-56EF-49AA-A9C6-CF495278FC60}"/>
    <cellStyle name="Porcentagem" xfId="2" builtinId="5"/>
    <cellStyle name="Porcentagem 2" xfId="10" xr:uid="{B777C0B7-3301-49B0-A5A2-A8AABF491326}"/>
  </cellStyles>
  <dxfs count="0"/>
  <tableStyles count="0" defaultTableStyle="TableStyleMedium9" defaultPivotStyle="PivotStyleLight16"/>
  <colors>
    <mruColors>
      <color rgb="FFD1ADC8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AC2A-19CB-4FEB-82BD-E3BAC584C0F3}">
  <sheetPr>
    <pageSetUpPr fitToPage="1"/>
  </sheetPr>
  <dimension ref="A1:G11"/>
  <sheetViews>
    <sheetView showGridLines="0" tabSelected="1" workbookViewId="0">
      <selection activeCell="E8" sqref="E8"/>
    </sheetView>
  </sheetViews>
  <sheetFormatPr defaultRowHeight="12.75" x14ac:dyDescent="0.2"/>
  <cols>
    <col min="1" max="1" width="7.28515625" customWidth="1"/>
    <col min="2" max="2" width="17.140625" customWidth="1"/>
    <col min="3" max="3" width="15.85546875" customWidth="1"/>
    <col min="4" max="4" width="19.28515625" customWidth="1"/>
    <col min="5" max="5" width="19.140625" customWidth="1"/>
    <col min="6" max="6" width="19.28515625" customWidth="1"/>
    <col min="7" max="7" width="61.7109375" customWidth="1"/>
  </cols>
  <sheetData>
    <row r="1" spans="1:7" x14ac:dyDescent="0.2">
      <c r="A1" s="160"/>
      <c r="B1" s="166" t="s">
        <v>264</v>
      </c>
      <c r="C1" s="166"/>
      <c r="D1" s="166"/>
      <c r="E1" s="166"/>
      <c r="F1" s="160"/>
      <c r="G1" s="160"/>
    </row>
    <row r="3" spans="1:7" ht="15.75" x14ac:dyDescent="0.25">
      <c r="B3" s="165" t="s">
        <v>212</v>
      </c>
      <c r="C3" s="165"/>
      <c r="D3" s="165"/>
      <c r="E3" s="165"/>
    </row>
    <row r="4" spans="1:7" ht="13.5" thickBot="1" x14ac:dyDescent="0.25"/>
    <row r="5" spans="1:7" ht="30" customHeight="1" thickBot="1" x14ac:dyDescent="0.25">
      <c r="B5" s="113" t="s">
        <v>208</v>
      </c>
      <c r="C5" s="114" t="s">
        <v>209</v>
      </c>
      <c r="D5" s="114" t="s">
        <v>222</v>
      </c>
      <c r="E5" s="115" t="s">
        <v>223</v>
      </c>
    </row>
    <row r="6" spans="1:7" ht="30" customHeight="1" x14ac:dyDescent="0.2">
      <c r="B6" s="116" t="s">
        <v>261</v>
      </c>
      <c r="C6" s="117">
        <v>1</v>
      </c>
      <c r="D6" s="118">
        <f>Copeiro!I129</f>
        <v>3979.45</v>
      </c>
      <c r="E6" s="119">
        <f>D6*12</f>
        <v>47753.399999999994</v>
      </c>
      <c r="F6" s="127"/>
    </row>
    <row r="7" spans="1:7" ht="30" customHeight="1" thickBot="1" x14ac:dyDescent="0.25">
      <c r="B7" s="161" t="s">
        <v>210</v>
      </c>
      <c r="C7" s="162"/>
      <c r="D7" s="120">
        <f>Materiais!G19</f>
        <v>2019.5300000000002</v>
      </c>
      <c r="E7" s="121">
        <f t="shared" ref="E7" si="0">D7*12</f>
        <v>24234.36</v>
      </c>
      <c r="F7" s="127"/>
      <c r="G7" s="127"/>
    </row>
    <row r="8" spans="1:7" ht="30" customHeight="1" thickBot="1" x14ac:dyDescent="0.25">
      <c r="B8" s="163" t="s">
        <v>211</v>
      </c>
      <c r="C8" s="164"/>
      <c r="D8" s="122">
        <f>SUM(D6:D7)</f>
        <v>5998.98</v>
      </c>
      <c r="E8" s="123">
        <f>SUM(E6:E7)</f>
        <v>71987.759999999995</v>
      </c>
      <c r="F8" s="127"/>
    </row>
    <row r="11" spans="1:7" x14ac:dyDescent="0.2">
      <c r="D11" s="127"/>
    </row>
  </sheetData>
  <mergeCells count="4">
    <mergeCell ref="B7:C7"/>
    <mergeCell ref="B8:C8"/>
    <mergeCell ref="B3:E3"/>
    <mergeCell ref="B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156"/>
  <sheetViews>
    <sheetView showGridLines="0" topLeftCell="A55" zoomScale="130" zoomScaleNormal="130" zoomScaleSheetLayoutView="90" workbookViewId="0">
      <selection activeCell="H116" sqref="H116"/>
    </sheetView>
  </sheetViews>
  <sheetFormatPr defaultRowHeight="12.75" x14ac:dyDescent="0.2"/>
  <cols>
    <col min="1" max="1" width="12.140625" style="1" customWidth="1"/>
    <col min="2" max="2" width="9.140625" style="1"/>
    <col min="3" max="3" width="15" style="1" bestFit="1" customWidth="1"/>
    <col min="4" max="4" width="9.140625" style="1"/>
    <col min="5" max="5" width="10.85546875" style="1" bestFit="1" customWidth="1"/>
    <col min="6" max="6" width="9.140625" style="1"/>
    <col min="7" max="7" width="19.140625" style="1" customWidth="1"/>
    <col min="8" max="8" width="9.140625" style="1" customWidth="1"/>
    <col min="9" max="9" width="13.85546875" style="1" customWidth="1"/>
    <col min="10" max="10" width="7.85546875" style="1" customWidth="1"/>
    <col min="11" max="11" width="44.85546875" style="1" customWidth="1"/>
    <col min="12" max="12" width="52.5703125" style="1" customWidth="1"/>
    <col min="13" max="16384" width="9.140625" style="1"/>
  </cols>
  <sheetData>
    <row r="1" spans="1:9" ht="51.75" customHeight="1" x14ac:dyDescent="0.2">
      <c r="B1" s="167" t="s">
        <v>174</v>
      </c>
      <c r="C1" s="167"/>
      <c r="D1" s="167"/>
      <c r="E1" s="167"/>
      <c r="F1" s="167"/>
      <c r="G1" s="167"/>
      <c r="H1" s="167"/>
      <c r="I1" s="167"/>
    </row>
    <row r="2" spans="1:9" x14ac:dyDescent="0.2">
      <c r="A2" s="168"/>
      <c r="B2" s="168"/>
      <c r="C2" s="168"/>
      <c r="D2" s="168"/>
      <c r="E2" s="168"/>
      <c r="F2" s="168"/>
      <c r="G2" s="168"/>
      <c r="H2" s="168"/>
      <c r="I2" s="168"/>
    </row>
    <row r="3" spans="1:9" x14ac:dyDescent="0.2">
      <c r="A3" s="169" t="s">
        <v>177</v>
      </c>
      <c r="B3" s="169"/>
      <c r="C3" s="169"/>
      <c r="D3" s="169"/>
      <c r="E3" s="169"/>
      <c r="F3" s="169"/>
      <c r="G3" s="169"/>
      <c r="H3" s="169"/>
      <c r="I3" s="169"/>
    </row>
    <row r="4" spans="1:9" x14ac:dyDescent="0.2">
      <c r="A4" s="170" t="s">
        <v>175</v>
      </c>
      <c r="B4" s="171"/>
      <c r="C4" s="171"/>
      <c r="D4" s="171"/>
      <c r="E4" s="171"/>
      <c r="F4" s="171"/>
      <c r="G4" s="171"/>
      <c r="H4" s="171"/>
      <c r="I4" s="171"/>
    </row>
    <row r="5" spans="1:9" x14ac:dyDescent="0.2">
      <c r="A5" s="170" t="s">
        <v>176</v>
      </c>
      <c r="B5" s="171"/>
      <c r="C5" s="171"/>
      <c r="D5" s="171"/>
      <c r="E5" s="171"/>
      <c r="F5" s="171"/>
      <c r="G5" s="171"/>
      <c r="H5" s="171"/>
      <c r="I5" s="171"/>
    </row>
    <row r="6" spans="1:9" x14ac:dyDescent="0.2">
      <c r="A6" s="166" t="s">
        <v>205</v>
      </c>
      <c r="B6" s="166"/>
      <c r="C6" s="166"/>
      <c r="D6" s="166"/>
      <c r="E6" s="166"/>
      <c r="F6" s="166"/>
      <c r="G6" s="166"/>
      <c r="H6" s="166"/>
      <c r="I6" s="166"/>
    </row>
    <row r="7" spans="1:9" x14ac:dyDescent="0.2">
      <c r="A7" s="168"/>
      <c r="B7" s="168"/>
      <c r="C7" s="168"/>
      <c r="D7" s="168"/>
      <c r="E7" s="168"/>
      <c r="F7" s="168"/>
      <c r="G7" s="168"/>
      <c r="H7" s="168"/>
      <c r="I7" s="168"/>
    </row>
    <row r="8" spans="1:9" x14ac:dyDescent="0.2">
      <c r="A8" s="179" t="s">
        <v>206</v>
      </c>
      <c r="B8" s="180"/>
      <c r="C8" s="180"/>
      <c r="D8" s="180"/>
      <c r="E8" s="180"/>
      <c r="F8" s="180"/>
      <c r="G8" s="180"/>
      <c r="H8" s="180"/>
      <c r="I8" s="180"/>
    </row>
    <row r="9" spans="1:9" x14ac:dyDescent="0.2">
      <c r="A9" s="181"/>
      <c r="B9" s="181"/>
      <c r="C9" s="181"/>
      <c r="D9" s="181"/>
      <c r="E9" s="181"/>
      <c r="F9" s="181"/>
      <c r="G9" s="181"/>
      <c r="H9" s="181"/>
      <c r="I9" s="181"/>
    </row>
    <row r="10" spans="1:9" x14ac:dyDescent="0.2">
      <c r="A10" s="182" t="s">
        <v>51</v>
      </c>
      <c r="B10" s="182"/>
      <c r="C10" s="182"/>
      <c r="D10" s="182"/>
      <c r="E10" s="182"/>
      <c r="F10" s="182"/>
      <c r="G10" s="182"/>
      <c r="H10" s="182"/>
      <c r="I10" s="182"/>
    </row>
    <row r="11" spans="1:9" x14ac:dyDescent="0.2">
      <c r="A11" s="70" t="s">
        <v>10</v>
      </c>
      <c r="B11" s="175" t="s">
        <v>52</v>
      </c>
      <c r="C11" s="175"/>
      <c r="D11" s="175"/>
      <c r="E11" s="175"/>
      <c r="F11" s="175"/>
      <c r="G11" s="175"/>
      <c r="H11" s="183"/>
      <c r="I11" s="177"/>
    </row>
    <row r="12" spans="1:9" x14ac:dyDescent="0.2">
      <c r="A12" s="70" t="s">
        <v>11</v>
      </c>
      <c r="B12" s="175" t="s">
        <v>53</v>
      </c>
      <c r="C12" s="175"/>
      <c r="D12" s="175"/>
      <c r="E12" s="175"/>
      <c r="F12" s="175"/>
      <c r="G12" s="175"/>
      <c r="H12" s="176" t="s">
        <v>118</v>
      </c>
      <c r="I12" s="177"/>
    </row>
    <row r="13" spans="1:9" ht="41.25" customHeight="1" x14ac:dyDescent="0.2">
      <c r="A13" s="70" t="s">
        <v>12</v>
      </c>
      <c r="B13" s="175" t="s">
        <v>64</v>
      </c>
      <c r="C13" s="175"/>
      <c r="D13" s="175"/>
      <c r="E13" s="175"/>
      <c r="F13" s="175"/>
      <c r="G13" s="175"/>
      <c r="H13" s="178" t="s">
        <v>178</v>
      </c>
      <c r="I13" s="177"/>
    </row>
    <row r="14" spans="1:9" x14ac:dyDescent="0.2">
      <c r="A14" s="70" t="s">
        <v>13</v>
      </c>
      <c r="B14" s="175" t="s">
        <v>54</v>
      </c>
      <c r="C14" s="175"/>
      <c r="D14" s="175"/>
      <c r="E14" s="175"/>
      <c r="F14" s="175"/>
      <c r="G14" s="175"/>
      <c r="H14" s="177">
        <v>12</v>
      </c>
      <c r="I14" s="177"/>
    </row>
    <row r="15" spans="1:9" x14ac:dyDescent="0.2">
      <c r="A15" s="74"/>
      <c r="B15" s="76"/>
      <c r="C15" s="76"/>
      <c r="D15" s="76"/>
      <c r="E15" s="76"/>
      <c r="F15" s="76"/>
      <c r="G15" s="76"/>
      <c r="H15" s="74"/>
      <c r="I15" s="74"/>
    </row>
    <row r="16" spans="1:9" x14ac:dyDescent="0.2">
      <c r="A16" s="182" t="s">
        <v>58</v>
      </c>
      <c r="B16" s="182"/>
      <c r="C16" s="182"/>
      <c r="D16" s="182"/>
      <c r="E16" s="182"/>
      <c r="F16" s="182"/>
      <c r="G16" s="182"/>
      <c r="H16" s="182"/>
      <c r="I16" s="182"/>
    </row>
    <row r="17" spans="1:12" x14ac:dyDescent="0.2">
      <c r="A17" s="177" t="s">
        <v>55</v>
      </c>
      <c r="B17" s="177"/>
      <c r="C17" s="177" t="s">
        <v>56</v>
      </c>
      <c r="D17" s="177"/>
      <c r="E17" s="177" t="s">
        <v>57</v>
      </c>
      <c r="F17" s="177"/>
      <c r="G17" s="177"/>
      <c r="H17" s="177"/>
      <c r="I17" s="177"/>
    </row>
    <row r="18" spans="1:12" x14ac:dyDescent="0.2">
      <c r="A18" s="185" t="s">
        <v>190</v>
      </c>
      <c r="B18" s="185"/>
      <c r="C18" s="185" t="s">
        <v>179</v>
      </c>
      <c r="D18" s="185"/>
      <c r="E18" s="177">
        <v>1</v>
      </c>
      <c r="F18" s="177"/>
      <c r="G18" s="177"/>
      <c r="H18" s="177"/>
      <c r="I18" s="177"/>
    </row>
    <row r="19" spans="1:12" x14ac:dyDescent="0.2">
      <c r="A19" s="74"/>
      <c r="B19" s="76"/>
      <c r="C19" s="76"/>
      <c r="D19" s="76"/>
      <c r="E19" s="76"/>
      <c r="F19" s="76"/>
      <c r="G19" s="76"/>
      <c r="H19" s="74"/>
      <c r="I19" s="74"/>
    </row>
    <row r="20" spans="1:12" x14ac:dyDescent="0.2">
      <c r="A20" s="182" t="s">
        <v>65</v>
      </c>
      <c r="B20" s="182"/>
      <c r="C20" s="182"/>
      <c r="D20" s="182"/>
      <c r="E20" s="182"/>
      <c r="F20" s="182"/>
      <c r="G20" s="182"/>
      <c r="H20" s="182"/>
      <c r="I20" s="182"/>
    </row>
    <row r="21" spans="1:12" x14ac:dyDescent="0.2">
      <c r="A21" s="70">
        <v>1</v>
      </c>
      <c r="B21" s="175" t="s">
        <v>9</v>
      </c>
      <c r="C21" s="175"/>
      <c r="D21" s="175"/>
      <c r="E21" s="175"/>
      <c r="F21" s="175"/>
      <c r="G21" s="175"/>
      <c r="H21" s="176" t="s">
        <v>207</v>
      </c>
      <c r="I21" s="177"/>
    </row>
    <row r="22" spans="1:12" x14ac:dyDescent="0.2">
      <c r="A22" s="70">
        <v>2</v>
      </c>
      <c r="B22" s="175" t="s">
        <v>66</v>
      </c>
      <c r="C22" s="175"/>
      <c r="D22" s="175"/>
      <c r="E22" s="175"/>
      <c r="F22" s="175"/>
      <c r="G22" s="175"/>
      <c r="H22" s="176">
        <v>5134</v>
      </c>
      <c r="I22" s="176"/>
    </row>
    <row r="23" spans="1:12" x14ac:dyDescent="0.2">
      <c r="A23" s="70">
        <v>3</v>
      </c>
      <c r="B23" s="175" t="s">
        <v>8</v>
      </c>
      <c r="C23" s="175"/>
      <c r="D23" s="175"/>
      <c r="E23" s="175"/>
      <c r="F23" s="175"/>
      <c r="G23" s="175"/>
      <c r="H23" s="184">
        <v>1239</v>
      </c>
      <c r="I23" s="177"/>
    </row>
    <row r="24" spans="1:12" x14ac:dyDescent="0.2">
      <c r="A24" s="70">
        <v>4</v>
      </c>
      <c r="B24" s="175" t="s">
        <v>7</v>
      </c>
      <c r="C24" s="175"/>
      <c r="D24" s="175"/>
      <c r="E24" s="175"/>
      <c r="F24" s="175"/>
      <c r="G24" s="175"/>
      <c r="H24" s="187" t="s">
        <v>263</v>
      </c>
      <c r="I24" s="187"/>
    </row>
    <row r="25" spans="1:12" x14ac:dyDescent="0.2">
      <c r="A25" s="70">
        <v>5</v>
      </c>
      <c r="B25" s="175" t="s">
        <v>6</v>
      </c>
      <c r="C25" s="175"/>
      <c r="D25" s="175"/>
      <c r="E25" s="175"/>
      <c r="F25" s="175"/>
      <c r="G25" s="175"/>
      <c r="H25" s="183">
        <v>43525</v>
      </c>
      <c r="I25" s="177"/>
    </row>
    <row r="26" spans="1:12" x14ac:dyDescent="0.2">
      <c r="A26" s="188"/>
      <c r="B26" s="188"/>
      <c r="C26" s="188"/>
      <c r="D26" s="188"/>
      <c r="E26" s="188"/>
      <c r="F26" s="188"/>
      <c r="G26" s="188"/>
      <c r="H26" s="188"/>
      <c r="I26" s="188"/>
    </row>
    <row r="27" spans="1:12" x14ac:dyDescent="0.2">
      <c r="A27" s="189" t="s">
        <v>29</v>
      </c>
      <c r="B27" s="189"/>
      <c r="C27" s="189"/>
      <c r="D27" s="189"/>
      <c r="E27" s="189"/>
      <c r="F27" s="189"/>
      <c r="G27" s="189"/>
      <c r="H27" s="189"/>
      <c r="I27" s="189"/>
      <c r="K27" s="2" t="s">
        <v>159</v>
      </c>
      <c r="L27" s="2" t="s">
        <v>158</v>
      </c>
    </row>
    <row r="28" spans="1:12" x14ac:dyDescent="0.2">
      <c r="A28" s="66">
        <v>1</v>
      </c>
      <c r="B28" s="186" t="s">
        <v>18</v>
      </c>
      <c r="C28" s="186"/>
      <c r="D28" s="186"/>
      <c r="E28" s="186"/>
      <c r="F28" s="186"/>
      <c r="G28" s="186"/>
      <c r="H28" s="66" t="s">
        <v>3</v>
      </c>
      <c r="I28" s="66" t="s">
        <v>1</v>
      </c>
      <c r="K28" s="68"/>
      <c r="L28" s="3" t="s">
        <v>148</v>
      </c>
    </row>
    <row r="29" spans="1:12" x14ac:dyDescent="0.2">
      <c r="A29" s="66" t="s">
        <v>10</v>
      </c>
      <c r="B29" s="175" t="s">
        <v>50</v>
      </c>
      <c r="C29" s="175"/>
      <c r="D29" s="175"/>
      <c r="E29" s="175"/>
      <c r="F29" s="175"/>
      <c r="G29" s="175"/>
      <c r="H29" s="68"/>
      <c r="I29" s="4">
        <v>1239</v>
      </c>
      <c r="K29" s="68"/>
      <c r="L29" s="68"/>
    </row>
    <row r="30" spans="1:12" x14ac:dyDescent="0.2">
      <c r="A30" s="66" t="s">
        <v>11</v>
      </c>
      <c r="B30" s="175" t="s">
        <v>67</v>
      </c>
      <c r="C30" s="175"/>
      <c r="D30" s="175"/>
      <c r="E30" s="175"/>
      <c r="F30" s="175"/>
      <c r="G30" s="175"/>
      <c r="H30" s="5"/>
      <c r="I30" s="4">
        <v>0</v>
      </c>
      <c r="K30" s="68"/>
      <c r="L30" s="68"/>
    </row>
    <row r="31" spans="1:12" x14ac:dyDescent="0.2">
      <c r="A31" s="66" t="s">
        <v>12</v>
      </c>
      <c r="B31" s="175" t="s">
        <v>68</v>
      </c>
      <c r="C31" s="175"/>
      <c r="D31" s="175"/>
      <c r="E31" s="175"/>
      <c r="F31" s="175"/>
      <c r="G31" s="175"/>
      <c r="H31" s="5"/>
      <c r="I31" s="4">
        <f>H31*I29</f>
        <v>0</v>
      </c>
      <c r="K31" s="68"/>
      <c r="L31" s="68"/>
    </row>
    <row r="32" spans="1:12" x14ac:dyDescent="0.2">
      <c r="A32" s="66" t="s">
        <v>13</v>
      </c>
      <c r="B32" s="175" t="s">
        <v>2</v>
      </c>
      <c r="C32" s="175"/>
      <c r="D32" s="175"/>
      <c r="E32" s="175"/>
      <c r="F32" s="175"/>
      <c r="G32" s="175"/>
      <c r="H32" s="5"/>
      <c r="I32" s="4">
        <v>0</v>
      </c>
      <c r="K32" s="68"/>
      <c r="L32" s="68"/>
    </row>
    <row r="33" spans="1:12" x14ac:dyDescent="0.2">
      <c r="A33" s="6" t="s">
        <v>14</v>
      </c>
      <c r="B33" s="175" t="s">
        <v>69</v>
      </c>
      <c r="C33" s="175"/>
      <c r="D33" s="175"/>
      <c r="E33" s="175"/>
      <c r="F33" s="175"/>
      <c r="G33" s="175"/>
      <c r="H33" s="7"/>
      <c r="I33" s="4">
        <v>0</v>
      </c>
      <c r="K33" s="68"/>
      <c r="L33" s="68"/>
    </row>
    <row r="34" spans="1:12" x14ac:dyDescent="0.2">
      <c r="A34" s="8" t="s">
        <v>15</v>
      </c>
      <c r="B34" s="192" t="s">
        <v>184</v>
      </c>
      <c r="C34" s="175"/>
      <c r="D34" s="175"/>
      <c r="E34" s="175"/>
      <c r="F34" s="175"/>
      <c r="G34" s="175"/>
      <c r="H34" s="5"/>
      <c r="I34" s="4">
        <v>0</v>
      </c>
      <c r="K34" s="68"/>
      <c r="L34" s="68"/>
    </row>
    <row r="35" spans="1:12" x14ac:dyDescent="0.2">
      <c r="A35" s="186" t="s">
        <v>93</v>
      </c>
      <c r="B35" s="186"/>
      <c r="C35" s="186"/>
      <c r="D35" s="186"/>
      <c r="E35" s="186"/>
      <c r="F35" s="186"/>
      <c r="G35" s="186"/>
      <c r="H35" s="186"/>
      <c r="I35" s="9">
        <f>TRUNC(SUM(I29:I34),2)</f>
        <v>1239</v>
      </c>
      <c r="K35" s="68"/>
      <c r="L35" s="68"/>
    </row>
    <row r="36" spans="1:12" x14ac:dyDescent="0.2">
      <c r="A36" s="10"/>
      <c r="B36" s="10"/>
      <c r="C36" s="10"/>
      <c r="D36" s="10"/>
      <c r="E36" s="10"/>
      <c r="F36" s="10"/>
      <c r="G36" s="10"/>
      <c r="H36" s="10"/>
      <c r="I36" s="11"/>
      <c r="J36" s="12"/>
    </row>
    <row r="37" spans="1:12" x14ac:dyDescent="0.2">
      <c r="A37" s="189" t="s">
        <v>70</v>
      </c>
      <c r="B37" s="189"/>
      <c r="C37" s="189"/>
      <c r="D37" s="189"/>
      <c r="E37" s="189"/>
      <c r="F37" s="189"/>
      <c r="G37" s="189"/>
      <c r="H37" s="189"/>
      <c r="I37" s="189"/>
      <c r="J37" s="12"/>
    </row>
    <row r="38" spans="1:12" x14ac:dyDescent="0.2">
      <c r="A38" s="186" t="s">
        <v>83</v>
      </c>
      <c r="B38" s="186"/>
      <c r="C38" s="186"/>
      <c r="D38" s="186"/>
      <c r="E38" s="186"/>
      <c r="F38" s="186"/>
      <c r="G38" s="186"/>
      <c r="H38" s="66" t="s">
        <v>3</v>
      </c>
      <c r="I38" s="66" t="s">
        <v>1</v>
      </c>
      <c r="J38" s="12"/>
    </row>
    <row r="39" spans="1:12" ht="38.25" x14ac:dyDescent="0.2">
      <c r="A39" s="66" t="s">
        <v>10</v>
      </c>
      <c r="B39" s="192" t="s">
        <v>168</v>
      </c>
      <c r="C39" s="175"/>
      <c r="D39" s="175"/>
      <c r="E39" s="175"/>
      <c r="F39" s="175"/>
      <c r="G39" s="175"/>
      <c r="H39" s="13">
        <v>8.3299999999999999E-2</v>
      </c>
      <c r="I39" s="4">
        <f>$I$35*H39</f>
        <v>103.20869999999999</v>
      </c>
      <c r="J39" s="12"/>
      <c r="K39" s="68"/>
      <c r="L39" s="14" t="s">
        <v>155</v>
      </c>
    </row>
    <row r="40" spans="1:12" ht="38.25" x14ac:dyDescent="0.2">
      <c r="A40" s="66" t="s">
        <v>11</v>
      </c>
      <c r="B40" s="192" t="s">
        <v>169</v>
      </c>
      <c r="C40" s="192"/>
      <c r="D40" s="192"/>
      <c r="E40" s="192"/>
      <c r="F40" s="192"/>
      <c r="G40" s="192"/>
      <c r="H40" s="15">
        <v>0.121</v>
      </c>
      <c r="I40" s="4">
        <f>H40*I35</f>
        <v>149.91899999999998</v>
      </c>
      <c r="J40" s="12"/>
      <c r="K40" s="21" t="s">
        <v>167</v>
      </c>
      <c r="L40" s="14" t="s">
        <v>154</v>
      </c>
    </row>
    <row r="41" spans="1:12" x14ac:dyDescent="0.2">
      <c r="A41" s="186" t="s">
        <v>72</v>
      </c>
      <c r="B41" s="186"/>
      <c r="C41" s="186"/>
      <c r="D41" s="186"/>
      <c r="E41" s="186"/>
      <c r="F41" s="186"/>
      <c r="G41" s="186"/>
      <c r="H41" s="16">
        <f>TRUNC(SUM(H39:H40),4)</f>
        <v>0.20430000000000001</v>
      </c>
      <c r="I41" s="9">
        <f>TRUNC(SUM(I39:I40),2)</f>
        <v>253.12</v>
      </c>
      <c r="J41" s="12"/>
    </row>
    <row r="42" spans="1:12" x14ac:dyDescent="0.2">
      <c r="A42" s="190"/>
      <c r="B42" s="191"/>
      <c r="C42" s="191"/>
      <c r="D42" s="191"/>
      <c r="E42" s="191"/>
      <c r="F42" s="191"/>
      <c r="G42" s="191"/>
      <c r="H42" s="191"/>
      <c r="I42" s="191"/>
    </row>
    <row r="43" spans="1:12" x14ac:dyDescent="0.2">
      <c r="A43" s="73"/>
      <c r="B43" s="73"/>
      <c r="C43" s="73"/>
      <c r="D43" s="73"/>
      <c r="E43" s="73"/>
      <c r="F43" s="73"/>
      <c r="G43" s="73"/>
      <c r="H43" s="17" t="s">
        <v>114</v>
      </c>
      <c r="I43" s="18">
        <f>I35+I41</f>
        <v>1492.12</v>
      </c>
      <c r="J43" s="19"/>
    </row>
    <row r="44" spans="1:12" x14ac:dyDescent="0.2">
      <c r="A44" s="73"/>
      <c r="B44" s="73"/>
      <c r="C44" s="73"/>
      <c r="D44" s="73"/>
      <c r="E44" s="73"/>
      <c r="F44" s="73"/>
      <c r="G44" s="73"/>
      <c r="H44" s="73"/>
      <c r="I44" s="73"/>
      <c r="J44" s="19"/>
    </row>
    <row r="45" spans="1:12" x14ac:dyDescent="0.2">
      <c r="A45" s="186" t="s">
        <v>84</v>
      </c>
      <c r="B45" s="186"/>
      <c r="C45" s="186"/>
      <c r="D45" s="186"/>
      <c r="E45" s="186"/>
      <c r="F45" s="186"/>
      <c r="G45" s="186"/>
      <c r="H45" s="66" t="s">
        <v>3</v>
      </c>
      <c r="I45" s="66" t="s">
        <v>1</v>
      </c>
      <c r="J45" s="12"/>
    </row>
    <row r="46" spans="1:12" x14ac:dyDescent="0.2">
      <c r="A46" s="66" t="s">
        <v>10</v>
      </c>
      <c r="B46" s="175" t="s">
        <v>75</v>
      </c>
      <c r="C46" s="175"/>
      <c r="D46" s="175"/>
      <c r="E46" s="175"/>
      <c r="F46" s="175"/>
      <c r="G46" s="175"/>
      <c r="H46" s="13">
        <v>0.2</v>
      </c>
      <c r="I46" s="4">
        <f t="shared" ref="I46:I53" si="0">H46*$I$43</f>
        <v>298.42399999999998</v>
      </c>
      <c r="J46" s="12"/>
      <c r="K46" s="68"/>
      <c r="L46" s="20" t="s">
        <v>137</v>
      </c>
    </row>
    <row r="47" spans="1:12" x14ac:dyDescent="0.2">
      <c r="A47" s="66" t="s">
        <v>11</v>
      </c>
      <c r="B47" s="175" t="s">
        <v>76</v>
      </c>
      <c r="C47" s="175"/>
      <c r="D47" s="175"/>
      <c r="E47" s="175"/>
      <c r="F47" s="175"/>
      <c r="G47" s="175"/>
      <c r="H47" s="13">
        <v>2.5000000000000001E-2</v>
      </c>
      <c r="I47" s="4">
        <f t="shared" si="0"/>
        <v>37.302999999999997</v>
      </c>
      <c r="J47" s="12"/>
      <c r="K47" s="68"/>
      <c r="L47" s="20" t="s">
        <v>138</v>
      </c>
    </row>
    <row r="48" spans="1:12" x14ac:dyDescent="0.2">
      <c r="A48" s="66" t="s">
        <v>12</v>
      </c>
      <c r="B48" s="175" t="s">
        <v>77</v>
      </c>
      <c r="C48" s="175"/>
      <c r="D48" s="175"/>
      <c r="E48" s="175"/>
      <c r="F48" s="175"/>
      <c r="G48" s="175"/>
      <c r="H48" s="13">
        <v>0.03</v>
      </c>
      <c r="I48" s="4">
        <f t="shared" si="0"/>
        <v>44.763599999999997</v>
      </c>
      <c r="J48" s="12"/>
      <c r="K48" s="21" t="s">
        <v>139</v>
      </c>
      <c r="L48" s="20" t="s">
        <v>140</v>
      </c>
    </row>
    <row r="49" spans="1:12" x14ac:dyDescent="0.2">
      <c r="A49" s="66" t="s">
        <v>13</v>
      </c>
      <c r="B49" s="175" t="s">
        <v>74</v>
      </c>
      <c r="C49" s="175"/>
      <c r="D49" s="175"/>
      <c r="E49" s="175"/>
      <c r="F49" s="175"/>
      <c r="G49" s="175"/>
      <c r="H49" s="13">
        <v>1.4999999999999999E-2</v>
      </c>
      <c r="I49" s="4">
        <f t="shared" si="0"/>
        <v>22.381799999999998</v>
      </c>
      <c r="J49" s="12"/>
      <c r="K49" s="68"/>
      <c r="L49" s="20" t="s">
        <v>141</v>
      </c>
    </row>
    <row r="50" spans="1:12" x14ac:dyDescent="0.2">
      <c r="A50" s="66" t="s">
        <v>14</v>
      </c>
      <c r="B50" s="175" t="s">
        <v>78</v>
      </c>
      <c r="C50" s="175"/>
      <c r="D50" s="175"/>
      <c r="E50" s="175"/>
      <c r="F50" s="175"/>
      <c r="G50" s="175"/>
      <c r="H50" s="13">
        <v>0.01</v>
      </c>
      <c r="I50" s="4">
        <f t="shared" si="0"/>
        <v>14.921199999999999</v>
      </c>
      <c r="J50" s="12"/>
      <c r="K50" s="68"/>
      <c r="L50" s="20" t="s">
        <v>142</v>
      </c>
    </row>
    <row r="51" spans="1:12" x14ac:dyDescent="0.2">
      <c r="A51" s="66" t="s">
        <v>15</v>
      </c>
      <c r="B51" s="175" t="s">
        <v>79</v>
      </c>
      <c r="C51" s="175"/>
      <c r="D51" s="175"/>
      <c r="E51" s="175"/>
      <c r="F51" s="175"/>
      <c r="G51" s="175"/>
      <c r="H51" s="13">
        <v>6.0000000000000001E-3</v>
      </c>
      <c r="I51" s="4">
        <f t="shared" si="0"/>
        <v>8.9527199999999993</v>
      </c>
      <c r="J51" s="12"/>
      <c r="K51" s="68"/>
      <c r="L51" s="22" t="s">
        <v>143</v>
      </c>
    </row>
    <row r="52" spans="1:12" x14ac:dyDescent="0.2">
      <c r="A52" s="66" t="s">
        <v>16</v>
      </c>
      <c r="B52" s="175" t="s">
        <v>80</v>
      </c>
      <c r="C52" s="175"/>
      <c r="D52" s="175"/>
      <c r="E52" s="175"/>
      <c r="F52" s="175"/>
      <c r="G52" s="175"/>
      <c r="H52" s="13">
        <v>2E-3</v>
      </c>
      <c r="I52" s="4">
        <f t="shared" si="0"/>
        <v>2.9842399999999998</v>
      </c>
      <c r="J52" s="12"/>
      <c r="K52" s="68"/>
      <c r="L52" s="20" t="s">
        <v>142</v>
      </c>
    </row>
    <row r="53" spans="1:12" x14ac:dyDescent="0.2">
      <c r="A53" s="66" t="s">
        <v>17</v>
      </c>
      <c r="B53" s="175" t="s">
        <v>81</v>
      </c>
      <c r="C53" s="175"/>
      <c r="D53" s="175"/>
      <c r="E53" s="175"/>
      <c r="F53" s="175"/>
      <c r="G53" s="175"/>
      <c r="H53" s="13">
        <v>0.08</v>
      </c>
      <c r="I53" s="4">
        <f t="shared" si="0"/>
        <v>119.36959999999999</v>
      </c>
      <c r="J53" s="12"/>
      <c r="K53" s="68"/>
      <c r="L53" s="20" t="s">
        <v>144</v>
      </c>
    </row>
    <row r="54" spans="1:12" x14ac:dyDescent="0.2">
      <c r="A54" s="186" t="s">
        <v>82</v>
      </c>
      <c r="B54" s="186"/>
      <c r="C54" s="186"/>
      <c r="D54" s="186"/>
      <c r="E54" s="186"/>
      <c r="F54" s="186"/>
      <c r="G54" s="186"/>
      <c r="H54" s="16">
        <f>SUM(H46:H53)</f>
        <v>0.36800000000000005</v>
      </c>
      <c r="I54" s="9">
        <f>TRUNC(SUM(I46:I53),2)</f>
        <v>549.1</v>
      </c>
      <c r="J54" s="12"/>
    </row>
    <row r="55" spans="1:12" x14ac:dyDescent="0.2">
      <c r="A55" s="193"/>
      <c r="B55" s="193"/>
      <c r="C55" s="193"/>
      <c r="D55" s="193"/>
      <c r="E55" s="193"/>
      <c r="F55" s="193"/>
      <c r="G55" s="193"/>
      <c r="H55" s="193"/>
      <c r="I55" s="194"/>
      <c r="J55" s="12"/>
    </row>
    <row r="56" spans="1:12" x14ac:dyDescent="0.2">
      <c r="A56" s="186" t="s">
        <v>85</v>
      </c>
      <c r="B56" s="186"/>
      <c r="C56" s="186"/>
      <c r="D56" s="186"/>
      <c r="E56" s="186"/>
      <c r="F56" s="186"/>
      <c r="G56" s="186"/>
      <c r="H56" s="16"/>
      <c r="I56" s="66" t="s">
        <v>1</v>
      </c>
      <c r="J56" s="12"/>
    </row>
    <row r="57" spans="1:12" x14ac:dyDescent="0.2">
      <c r="A57" s="66" t="s">
        <v>10</v>
      </c>
      <c r="B57" s="195" t="s">
        <v>116</v>
      </c>
      <c r="C57" s="196"/>
      <c r="D57" s="196"/>
      <c r="E57" s="196"/>
      <c r="F57" s="196"/>
      <c r="G57" s="196"/>
      <c r="H57" s="70" t="s">
        <v>0</v>
      </c>
      <c r="I57" s="23">
        <f>(4.05*2*22)-(I29*0.06)</f>
        <v>103.85999999999999</v>
      </c>
      <c r="J57" s="12"/>
      <c r="K57" s="24" t="s">
        <v>145</v>
      </c>
      <c r="L57" s="24" t="s">
        <v>146</v>
      </c>
    </row>
    <row r="58" spans="1:12" x14ac:dyDescent="0.2">
      <c r="A58" s="66" t="s">
        <v>11</v>
      </c>
      <c r="B58" s="195" t="s">
        <v>117</v>
      </c>
      <c r="C58" s="196"/>
      <c r="D58" s="196"/>
      <c r="E58" s="196"/>
      <c r="F58" s="196"/>
      <c r="G58" s="196"/>
      <c r="H58" s="70" t="s">
        <v>0</v>
      </c>
      <c r="I58" s="23">
        <f>(18*22)-10%*(18*22)</f>
        <v>356.4</v>
      </c>
      <c r="J58" s="12"/>
      <c r="K58" s="3" t="s">
        <v>147</v>
      </c>
      <c r="L58" s="3" t="s">
        <v>148</v>
      </c>
    </row>
    <row r="59" spans="1:12" x14ac:dyDescent="0.2">
      <c r="A59" s="66" t="s">
        <v>12</v>
      </c>
      <c r="B59" s="195" t="s">
        <v>180</v>
      </c>
      <c r="C59" s="196"/>
      <c r="D59" s="196"/>
      <c r="E59" s="196"/>
      <c r="F59" s="196"/>
      <c r="G59" s="196"/>
      <c r="H59" s="70" t="s">
        <v>0</v>
      </c>
      <c r="I59" s="23">
        <v>13</v>
      </c>
      <c r="J59" s="12"/>
      <c r="K59" s="68"/>
      <c r="L59" s="3" t="s">
        <v>148</v>
      </c>
    </row>
    <row r="60" spans="1:12" x14ac:dyDescent="0.2">
      <c r="A60" s="71" t="s">
        <v>14</v>
      </c>
      <c r="B60" s="197" t="s">
        <v>115</v>
      </c>
      <c r="C60" s="198"/>
      <c r="D60" s="198"/>
      <c r="E60" s="198"/>
      <c r="F60" s="198"/>
      <c r="G60" s="199"/>
      <c r="H60" s="69" t="s">
        <v>0</v>
      </c>
      <c r="I60" s="23">
        <v>0</v>
      </c>
      <c r="J60" s="12"/>
      <c r="K60" s="68"/>
      <c r="L60" s="68"/>
    </row>
    <row r="61" spans="1:12" x14ac:dyDescent="0.2">
      <c r="A61" s="71" t="s">
        <v>16</v>
      </c>
      <c r="B61" s="195" t="s">
        <v>4</v>
      </c>
      <c r="C61" s="196"/>
      <c r="D61" s="196"/>
      <c r="E61" s="196"/>
      <c r="F61" s="196"/>
      <c r="G61" s="196"/>
      <c r="H61" s="70" t="s">
        <v>0</v>
      </c>
      <c r="I61" s="23">
        <v>0</v>
      </c>
      <c r="J61" s="12"/>
      <c r="K61" s="68"/>
      <c r="L61" s="68"/>
    </row>
    <row r="62" spans="1:12" x14ac:dyDescent="0.2">
      <c r="A62" s="186" t="s">
        <v>86</v>
      </c>
      <c r="B62" s="186"/>
      <c r="C62" s="186"/>
      <c r="D62" s="186"/>
      <c r="E62" s="186"/>
      <c r="F62" s="186"/>
      <c r="G62" s="186"/>
      <c r="H62" s="186"/>
      <c r="I62" s="9">
        <f>SUM(I57:I61)</f>
        <v>473.26</v>
      </c>
      <c r="J62" s="12"/>
    </row>
    <row r="63" spans="1:12" x14ac:dyDescent="0.2">
      <c r="A63" s="193"/>
      <c r="B63" s="193"/>
      <c r="C63" s="193"/>
      <c r="D63" s="193"/>
      <c r="E63" s="193"/>
      <c r="F63" s="193"/>
      <c r="G63" s="193"/>
      <c r="H63" s="193"/>
      <c r="I63" s="194"/>
      <c r="J63" s="12"/>
    </row>
    <row r="64" spans="1:12" x14ac:dyDescent="0.2">
      <c r="A64" s="202" t="s">
        <v>87</v>
      </c>
      <c r="B64" s="202"/>
      <c r="C64" s="202"/>
      <c r="D64" s="202"/>
      <c r="E64" s="202"/>
      <c r="F64" s="202"/>
      <c r="G64" s="202"/>
      <c r="H64" s="202"/>
      <c r="I64" s="202"/>
      <c r="J64" s="12"/>
    </row>
    <row r="65" spans="1:12" x14ac:dyDescent="0.2">
      <c r="A65" s="186" t="s">
        <v>91</v>
      </c>
      <c r="B65" s="186"/>
      <c r="C65" s="186"/>
      <c r="D65" s="186"/>
      <c r="E65" s="186"/>
      <c r="F65" s="186"/>
      <c r="G65" s="186"/>
      <c r="H65" s="186"/>
      <c r="I65" s="66" t="s">
        <v>1</v>
      </c>
      <c r="J65" s="12"/>
    </row>
    <row r="66" spans="1:12" x14ac:dyDescent="0.2">
      <c r="A66" s="66" t="s">
        <v>88</v>
      </c>
      <c r="B66" s="177" t="s">
        <v>71</v>
      </c>
      <c r="C66" s="177"/>
      <c r="D66" s="177"/>
      <c r="E66" s="177"/>
      <c r="F66" s="177"/>
      <c r="G66" s="177"/>
      <c r="H66" s="177"/>
      <c r="I66" s="4">
        <f>I41</f>
        <v>253.12</v>
      </c>
      <c r="J66" s="12"/>
    </row>
    <row r="67" spans="1:12" x14ac:dyDescent="0.2">
      <c r="A67" s="6" t="s">
        <v>89</v>
      </c>
      <c r="B67" s="177" t="s">
        <v>73</v>
      </c>
      <c r="C67" s="177"/>
      <c r="D67" s="177"/>
      <c r="E67" s="177"/>
      <c r="F67" s="177"/>
      <c r="G67" s="177"/>
      <c r="H67" s="177"/>
      <c r="I67" s="25">
        <f>I54</f>
        <v>549.1</v>
      </c>
      <c r="J67" s="12"/>
    </row>
    <row r="68" spans="1:12" x14ac:dyDescent="0.2">
      <c r="A68" s="6" t="s">
        <v>90</v>
      </c>
      <c r="B68" s="177" t="s">
        <v>92</v>
      </c>
      <c r="C68" s="177"/>
      <c r="D68" s="177"/>
      <c r="E68" s="177"/>
      <c r="F68" s="177"/>
      <c r="G68" s="177"/>
      <c r="H68" s="177"/>
      <c r="I68" s="25">
        <f>I62</f>
        <v>473.26</v>
      </c>
      <c r="J68" s="12"/>
    </row>
    <row r="69" spans="1:12" x14ac:dyDescent="0.2">
      <c r="A69" s="186" t="s">
        <v>94</v>
      </c>
      <c r="B69" s="186"/>
      <c r="C69" s="186"/>
      <c r="D69" s="186"/>
      <c r="E69" s="186"/>
      <c r="F69" s="186"/>
      <c r="G69" s="186"/>
      <c r="H69" s="186"/>
      <c r="I69" s="26">
        <f>TRUNC(SUM(I66:I68),2)</f>
        <v>1275.48</v>
      </c>
      <c r="J69" s="12"/>
    </row>
    <row r="70" spans="1:12" x14ac:dyDescent="0.2">
      <c r="A70" s="200"/>
      <c r="B70" s="201"/>
      <c r="C70" s="201"/>
      <c r="D70" s="201"/>
      <c r="E70" s="201"/>
      <c r="F70" s="201"/>
      <c r="G70" s="201"/>
      <c r="H70" s="201"/>
      <c r="I70" s="201"/>
      <c r="J70" s="12"/>
    </row>
    <row r="71" spans="1:12" x14ac:dyDescent="0.2">
      <c r="A71" s="189" t="s">
        <v>95</v>
      </c>
      <c r="B71" s="189"/>
      <c r="C71" s="189"/>
      <c r="D71" s="189"/>
      <c r="E71" s="189"/>
      <c r="F71" s="189"/>
      <c r="G71" s="189"/>
      <c r="H71" s="189"/>
      <c r="I71" s="189"/>
      <c r="J71" s="12"/>
    </row>
    <row r="72" spans="1:12" x14ac:dyDescent="0.2">
      <c r="A72" s="66">
        <v>3</v>
      </c>
      <c r="B72" s="186" t="s">
        <v>96</v>
      </c>
      <c r="C72" s="186"/>
      <c r="D72" s="186"/>
      <c r="E72" s="186"/>
      <c r="F72" s="186"/>
      <c r="G72" s="186"/>
      <c r="H72" s="66" t="s">
        <v>3</v>
      </c>
      <c r="I72" s="66" t="s">
        <v>1</v>
      </c>
      <c r="J72" s="12"/>
    </row>
    <row r="73" spans="1:12" ht="26.25" customHeight="1" x14ac:dyDescent="0.2">
      <c r="A73" s="66" t="s">
        <v>10</v>
      </c>
      <c r="B73" s="206" t="s">
        <v>99</v>
      </c>
      <c r="C73" s="206"/>
      <c r="D73" s="206"/>
      <c r="E73" s="206"/>
      <c r="F73" s="206"/>
      <c r="G73" s="206"/>
      <c r="H73" s="27">
        <v>4.1999999999999997E-3</v>
      </c>
      <c r="I73" s="25">
        <f>$I$35*H73</f>
        <v>5.2037999999999993</v>
      </c>
      <c r="J73" s="12"/>
      <c r="K73" s="28" t="s">
        <v>130</v>
      </c>
      <c r="L73" s="28" t="s">
        <v>131</v>
      </c>
    </row>
    <row r="74" spans="1:12" x14ac:dyDescent="0.2">
      <c r="A74" s="66" t="s">
        <v>11</v>
      </c>
      <c r="B74" s="175" t="s">
        <v>98</v>
      </c>
      <c r="C74" s="175"/>
      <c r="D74" s="175"/>
      <c r="E74" s="175"/>
      <c r="F74" s="175"/>
      <c r="G74" s="175"/>
      <c r="H74" s="29">
        <f>0.08*H73</f>
        <v>3.3599999999999998E-4</v>
      </c>
      <c r="I74" s="4">
        <f>H74*I35</f>
        <v>0.41630399999999995</v>
      </c>
      <c r="J74" s="12"/>
      <c r="K74" s="28" t="s">
        <v>132</v>
      </c>
      <c r="L74" s="28" t="s">
        <v>133</v>
      </c>
    </row>
    <row r="75" spans="1:12" ht="25.5" x14ac:dyDescent="0.2">
      <c r="A75" s="71" t="s">
        <v>12</v>
      </c>
      <c r="B75" s="192" t="s">
        <v>97</v>
      </c>
      <c r="C75" s="175"/>
      <c r="D75" s="175"/>
      <c r="E75" s="175"/>
      <c r="F75" s="175"/>
      <c r="G75" s="175"/>
      <c r="H75" s="13">
        <v>1.9400000000000001E-2</v>
      </c>
      <c r="I75" s="4">
        <f>$I$35*H75</f>
        <v>24.0366</v>
      </c>
      <c r="J75" s="12"/>
      <c r="K75" s="28" t="s">
        <v>134</v>
      </c>
      <c r="L75" s="28" t="s">
        <v>135</v>
      </c>
    </row>
    <row r="76" spans="1:12" x14ac:dyDescent="0.2">
      <c r="A76" s="71" t="s">
        <v>13</v>
      </c>
      <c r="B76" s="192" t="s">
        <v>119</v>
      </c>
      <c r="C76" s="175"/>
      <c r="D76" s="175"/>
      <c r="E76" s="175"/>
      <c r="F76" s="175"/>
      <c r="G76" s="175"/>
      <c r="H76" s="15">
        <f>H54*H75</f>
        <v>7.1392000000000009E-3</v>
      </c>
      <c r="I76" s="4">
        <f>$I$35*H76</f>
        <v>8.8454688000000008</v>
      </c>
      <c r="J76" s="12"/>
      <c r="K76" s="28" t="s">
        <v>136</v>
      </c>
    </row>
    <row r="77" spans="1:12" ht="38.25" customHeight="1" x14ac:dyDescent="0.2">
      <c r="A77" s="71" t="s">
        <v>14</v>
      </c>
      <c r="B77" s="207" t="s">
        <v>170</v>
      </c>
      <c r="C77" s="208"/>
      <c r="D77" s="208"/>
      <c r="E77" s="208"/>
      <c r="F77" s="208"/>
      <c r="G77" s="208"/>
      <c r="H77" s="30">
        <v>0.05</v>
      </c>
      <c r="I77" s="4">
        <f>$I$35*H77</f>
        <v>61.95</v>
      </c>
      <c r="J77" s="12"/>
      <c r="K77" s="28" t="s">
        <v>166</v>
      </c>
      <c r="L77" s="14" t="s">
        <v>160</v>
      </c>
    </row>
    <row r="78" spans="1:12" x14ac:dyDescent="0.2">
      <c r="A78" s="186" t="s">
        <v>100</v>
      </c>
      <c r="B78" s="186"/>
      <c r="C78" s="186"/>
      <c r="D78" s="186"/>
      <c r="E78" s="186"/>
      <c r="F78" s="186"/>
      <c r="G78" s="186"/>
      <c r="H78" s="16">
        <f>TRUNC(SUM(H73:H77),4)</f>
        <v>8.1000000000000003E-2</v>
      </c>
      <c r="I78" s="9">
        <f>TRUNC(SUM(I73:I77),2)</f>
        <v>100.45</v>
      </c>
      <c r="J78" s="12"/>
    </row>
    <row r="79" spans="1:12" x14ac:dyDescent="0.2">
      <c r="A79" s="203"/>
      <c r="B79" s="204"/>
      <c r="C79" s="204"/>
      <c r="D79" s="204"/>
      <c r="E79" s="204"/>
      <c r="F79" s="204"/>
      <c r="G79" s="204"/>
      <c r="H79" s="204"/>
      <c r="I79" s="204"/>
      <c r="J79" s="12"/>
    </row>
    <row r="80" spans="1:12" x14ac:dyDescent="0.2">
      <c r="A80" s="189" t="s">
        <v>101</v>
      </c>
      <c r="B80" s="189"/>
      <c r="C80" s="189"/>
      <c r="D80" s="189"/>
      <c r="E80" s="189"/>
      <c r="F80" s="189"/>
      <c r="G80" s="189"/>
      <c r="H80" s="189"/>
      <c r="I80" s="189"/>
      <c r="J80" s="12"/>
    </row>
    <row r="81" spans="1:12" x14ac:dyDescent="0.2">
      <c r="A81" s="187" t="s">
        <v>120</v>
      </c>
      <c r="B81" s="186"/>
      <c r="C81" s="186"/>
      <c r="D81" s="186"/>
      <c r="E81" s="186"/>
      <c r="F81" s="186"/>
      <c r="G81" s="186"/>
      <c r="H81" s="66" t="s">
        <v>3</v>
      </c>
      <c r="I81" s="66" t="s">
        <v>1</v>
      </c>
      <c r="J81" s="12"/>
    </row>
    <row r="82" spans="1:12" ht="33" customHeight="1" x14ac:dyDescent="0.2">
      <c r="A82" s="71" t="s">
        <v>10</v>
      </c>
      <c r="B82" s="205" t="s">
        <v>121</v>
      </c>
      <c r="C82" s="206"/>
      <c r="D82" s="206"/>
      <c r="E82" s="206"/>
      <c r="F82" s="206"/>
      <c r="G82" s="206"/>
      <c r="H82" s="13">
        <f>1/12/12+1/12/12+1/12/12/3</f>
        <v>1.6203703703703703E-2</v>
      </c>
      <c r="I82" s="4">
        <f t="shared" ref="I82:I87" si="1">$I$35*H82</f>
        <v>20.076388888888889</v>
      </c>
      <c r="J82" s="12"/>
      <c r="K82" s="28" t="s">
        <v>157</v>
      </c>
      <c r="L82" s="28" t="s">
        <v>156</v>
      </c>
    </row>
    <row r="83" spans="1:12" x14ac:dyDescent="0.2">
      <c r="A83" s="6" t="s">
        <v>11</v>
      </c>
      <c r="B83" s="205" t="s">
        <v>122</v>
      </c>
      <c r="C83" s="206"/>
      <c r="D83" s="206"/>
      <c r="E83" s="206"/>
      <c r="F83" s="206"/>
      <c r="G83" s="206"/>
      <c r="H83" s="27">
        <f>1/30/12</f>
        <v>2.7777777777777779E-3</v>
      </c>
      <c r="I83" s="25">
        <f t="shared" si="1"/>
        <v>3.4416666666666669</v>
      </c>
      <c r="J83" s="12"/>
      <c r="K83" s="28" t="s">
        <v>149</v>
      </c>
      <c r="L83" s="28" t="s">
        <v>150</v>
      </c>
    </row>
    <row r="84" spans="1:12" ht="38.25" x14ac:dyDescent="0.2">
      <c r="A84" s="6" t="s">
        <v>12</v>
      </c>
      <c r="B84" s="205" t="s">
        <v>123</v>
      </c>
      <c r="C84" s="206"/>
      <c r="D84" s="206"/>
      <c r="E84" s="206"/>
      <c r="F84" s="206"/>
      <c r="G84" s="206"/>
      <c r="H84" s="31">
        <f>5/30/12*0.015</f>
        <v>2.0833333333333332E-4</v>
      </c>
      <c r="I84" s="25">
        <f t="shared" si="1"/>
        <v>0.25812499999999999</v>
      </c>
      <c r="J84" s="12"/>
      <c r="K84" s="28" t="s">
        <v>151</v>
      </c>
      <c r="L84" s="14" t="s">
        <v>161</v>
      </c>
    </row>
    <row r="85" spans="1:12" ht="38.25" x14ac:dyDescent="0.2">
      <c r="A85" s="6" t="s">
        <v>13</v>
      </c>
      <c r="B85" s="205" t="s">
        <v>124</v>
      </c>
      <c r="C85" s="206"/>
      <c r="D85" s="206"/>
      <c r="E85" s="206"/>
      <c r="F85" s="206"/>
      <c r="G85" s="206"/>
      <c r="H85" s="27">
        <f>15/30/12*0.08</f>
        <v>3.3333333333333331E-3</v>
      </c>
      <c r="I85" s="25">
        <f t="shared" si="1"/>
        <v>4.13</v>
      </c>
      <c r="J85" s="12"/>
      <c r="K85" s="28" t="s">
        <v>152</v>
      </c>
      <c r="L85" s="14" t="s">
        <v>162</v>
      </c>
    </row>
    <row r="86" spans="1:12" ht="39.75" customHeight="1" x14ac:dyDescent="0.2">
      <c r="A86" s="6" t="s">
        <v>14</v>
      </c>
      <c r="B86" s="205" t="s">
        <v>125</v>
      </c>
      <c r="C86" s="206"/>
      <c r="D86" s="206"/>
      <c r="E86" s="206"/>
      <c r="F86" s="206"/>
      <c r="G86" s="206"/>
      <c r="H86" s="27">
        <f>((4*8.33%)+(4*2.78%))/12*2%</f>
        <v>7.4066666666666671E-4</v>
      </c>
      <c r="I86" s="25">
        <f t="shared" si="1"/>
        <v>0.917686</v>
      </c>
      <c r="J86" s="32"/>
      <c r="K86" s="28" t="s">
        <v>153</v>
      </c>
      <c r="L86" s="14" t="s">
        <v>163</v>
      </c>
    </row>
    <row r="87" spans="1:12" x14ac:dyDescent="0.2">
      <c r="A87" s="66" t="s">
        <v>15</v>
      </c>
      <c r="B87" s="205" t="s">
        <v>126</v>
      </c>
      <c r="C87" s="206"/>
      <c r="D87" s="206"/>
      <c r="E87" s="206"/>
      <c r="F87" s="206"/>
      <c r="G87" s="206"/>
      <c r="H87" s="27">
        <v>0</v>
      </c>
      <c r="I87" s="25">
        <f t="shared" si="1"/>
        <v>0</v>
      </c>
      <c r="J87" s="12"/>
      <c r="K87" s="68"/>
      <c r="L87" s="68"/>
    </row>
    <row r="88" spans="1:12" x14ac:dyDescent="0.2">
      <c r="A88" s="186" t="s">
        <v>20</v>
      </c>
      <c r="B88" s="186"/>
      <c r="C88" s="186"/>
      <c r="D88" s="186"/>
      <c r="E88" s="186"/>
      <c r="F88" s="186"/>
      <c r="G88" s="186"/>
      <c r="H88" s="16">
        <f>TRUNC(SUM(H82:H87),4)</f>
        <v>2.3199999999999998E-2</v>
      </c>
      <c r="I88" s="9">
        <f>TRUNC(SUM(I82:I87),2)</f>
        <v>28.82</v>
      </c>
      <c r="J88" s="12"/>
    </row>
    <row r="89" spans="1:12" x14ac:dyDescent="0.2">
      <c r="A89" s="212"/>
      <c r="B89" s="213"/>
      <c r="C89" s="213"/>
      <c r="D89" s="213"/>
      <c r="E89" s="213"/>
      <c r="F89" s="213"/>
      <c r="G89" s="213"/>
      <c r="H89" s="213"/>
      <c r="I89" s="213"/>
      <c r="J89" s="12"/>
    </row>
    <row r="90" spans="1:12" x14ac:dyDescent="0.2">
      <c r="A90" s="186" t="s">
        <v>102</v>
      </c>
      <c r="B90" s="186"/>
      <c r="C90" s="186"/>
      <c r="D90" s="186"/>
      <c r="E90" s="186"/>
      <c r="F90" s="186"/>
      <c r="G90" s="186"/>
      <c r="H90" s="66" t="s">
        <v>3</v>
      </c>
      <c r="I90" s="66" t="s">
        <v>1</v>
      </c>
      <c r="J90" s="12"/>
    </row>
    <row r="91" spans="1:12" x14ac:dyDescent="0.2">
      <c r="A91" s="66" t="s">
        <v>10</v>
      </c>
      <c r="B91" s="209" t="s">
        <v>127</v>
      </c>
      <c r="C91" s="175"/>
      <c r="D91" s="175"/>
      <c r="E91" s="175"/>
      <c r="F91" s="175"/>
      <c r="G91" s="175"/>
      <c r="H91" s="13">
        <v>0</v>
      </c>
      <c r="I91" s="4">
        <f>$I$35*H91</f>
        <v>0</v>
      </c>
      <c r="J91" s="12"/>
    </row>
    <row r="92" spans="1:12" x14ac:dyDescent="0.2">
      <c r="A92" s="186" t="s">
        <v>22</v>
      </c>
      <c r="B92" s="186"/>
      <c r="C92" s="186"/>
      <c r="D92" s="186"/>
      <c r="E92" s="186"/>
      <c r="F92" s="186"/>
      <c r="G92" s="186"/>
      <c r="H92" s="16">
        <f>TRUNC(SUM(H91),4)</f>
        <v>0</v>
      </c>
      <c r="I92" s="9">
        <f>TRUNC(SUM(I91),2)</f>
        <v>0</v>
      </c>
      <c r="J92" s="12"/>
    </row>
    <row r="93" spans="1:12" x14ac:dyDescent="0.2">
      <c r="A93" s="210"/>
      <c r="B93" s="211"/>
      <c r="C93" s="211"/>
      <c r="D93" s="211"/>
      <c r="E93" s="211"/>
      <c r="F93" s="211"/>
      <c r="G93" s="211"/>
      <c r="H93" s="211"/>
      <c r="I93" s="211"/>
      <c r="J93" s="12"/>
    </row>
    <row r="94" spans="1:12" x14ac:dyDescent="0.2">
      <c r="A94" s="202" t="s">
        <v>103</v>
      </c>
      <c r="B94" s="202"/>
      <c r="C94" s="202"/>
      <c r="D94" s="202"/>
      <c r="E94" s="202"/>
      <c r="F94" s="202"/>
      <c r="G94" s="202"/>
      <c r="H94" s="202"/>
      <c r="I94" s="202"/>
      <c r="J94" s="12"/>
    </row>
    <row r="95" spans="1:12" x14ac:dyDescent="0.2">
      <c r="A95" s="186" t="s">
        <v>104</v>
      </c>
      <c r="B95" s="186"/>
      <c r="C95" s="186"/>
      <c r="D95" s="186"/>
      <c r="E95" s="186"/>
      <c r="F95" s="186"/>
      <c r="G95" s="186"/>
      <c r="H95" s="186"/>
      <c r="I95" s="66" t="s">
        <v>1</v>
      </c>
      <c r="J95" s="12"/>
    </row>
    <row r="96" spans="1:12" x14ac:dyDescent="0.2">
      <c r="A96" s="66" t="s">
        <v>25</v>
      </c>
      <c r="B96" s="176" t="s">
        <v>128</v>
      </c>
      <c r="C96" s="177"/>
      <c r="D96" s="177"/>
      <c r="E96" s="177"/>
      <c r="F96" s="177"/>
      <c r="G96" s="177"/>
      <c r="H96" s="177"/>
      <c r="I96" s="4">
        <f>I88</f>
        <v>28.82</v>
      </c>
      <c r="J96" s="12"/>
    </row>
    <row r="97" spans="1:16" x14ac:dyDescent="0.2">
      <c r="A97" s="6" t="s">
        <v>26</v>
      </c>
      <c r="B97" s="176" t="s">
        <v>129</v>
      </c>
      <c r="C97" s="177"/>
      <c r="D97" s="177"/>
      <c r="E97" s="177"/>
      <c r="F97" s="177"/>
      <c r="G97" s="177"/>
      <c r="H97" s="177"/>
      <c r="I97" s="25">
        <f>I92</f>
        <v>0</v>
      </c>
      <c r="J97" s="12"/>
    </row>
    <row r="98" spans="1:16" x14ac:dyDescent="0.2">
      <c r="A98" s="186" t="s">
        <v>105</v>
      </c>
      <c r="B98" s="186"/>
      <c r="C98" s="186"/>
      <c r="D98" s="186"/>
      <c r="E98" s="186"/>
      <c r="F98" s="186"/>
      <c r="G98" s="186"/>
      <c r="H98" s="186"/>
      <c r="I98" s="26">
        <f>TRUNC(SUM(I96:I97),2)</f>
        <v>28.82</v>
      </c>
      <c r="J98" s="12"/>
    </row>
    <row r="99" spans="1:16" x14ac:dyDescent="0.2">
      <c r="A99" s="200"/>
      <c r="B99" s="201"/>
      <c r="C99" s="201"/>
      <c r="D99" s="201"/>
      <c r="E99" s="201"/>
      <c r="F99" s="201"/>
      <c r="G99" s="201"/>
      <c r="H99" s="201"/>
      <c r="I99" s="201"/>
      <c r="J99" s="12"/>
    </row>
    <row r="100" spans="1:16" x14ac:dyDescent="0.2">
      <c r="A100" s="189" t="s">
        <v>106</v>
      </c>
      <c r="B100" s="189"/>
      <c r="C100" s="189"/>
      <c r="D100" s="189"/>
      <c r="E100" s="189"/>
      <c r="F100" s="189"/>
      <c r="G100" s="189"/>
      <c r="H100" s="189"/>
      <c r="I100" s="189"/>
      <c r="J100" s="12"/>
    </row>
    <row r="101" spans="1:16" x14ac:dyDescent="0.2">
      <c r="A101" s="66">
        <v>5</v>
      </c>
      <c r="B101" s="186" t="s">
        <v>19</v>
      </c>
      <c r="C101" s="186"/>
      <c r="D101" s="186"/>
      <c r="E101" s="186"/>
      <c r="F101" s="186"/>
      <c r="G101" s="186"/>
      <c r="H101" s="66"/>
      <c r="I101" s="66" t="s">
        <v>1</v>
      </c>
      <c r="J101" s="12"/>
    </row>
    <row r="102" spans="1:16" ht="26.25" customHeight="1" x14ac:dyDescent="0.2">
      <c r="A102" s="66" t="s">
        <v>10</v>
      </c>
      <c r="B102" s="195" t="s">
        <v>189</v>
      </c>
      <c r="C102" s="196"/>
      <c r="D102" s="196"/>
      <c r="E102" s="196"/>
      <c r="F102" s="196"/>
      <c r="G102" s="196"/>
      <c r="H102" s="158" t="s">
        <v>0</v>
      </c>
      <c r="I102" s="25">
        <f>Uniformes!E11</f>
        <v>71.16</v>
      </c>
      <c r="J102" s="12"/>
      <c r="K102" s="157" t="s">
        <v>171</v>
      </c>
      <c r="L102" s="77"/>
    </row>
    <row r="103" spans="1:16" x14ac:dyDescent="0.2">
      <c r="A103" s="66" t="s">
        <v>11</v>
      </c>
      <c r="B103" s="195" t="s">
        <v>188</v>
      </c>
      <c r="C103" s="196"/>
      <c r="D103" s="196"/>
      <c r="E103" s="196"/>
      <c r="F103" s="196"/>
      <c r="G103" s="196"/>
      <c r="H103" s="159" t="s">
        <v>0</v>
      </c>
      <c r="I103" s="25">
        <f>Utensilios!G15</f>
        <v>328.35699999999991</v>
      </c>
      <c r="J103" s="12"/>
      <c r="K103" s="157" t="s">
        <v>171</v>
      </c>
      <c r="L103" s="79"/>
    </row>
    <row r="104" spans="1:16" x14ac:dyDescent="0.2">
      <c r="A104" s="72" t="s">
        <v>12</v>
      </c>
      <c r="B104" s="195"/>
      <c r="C104" s="196"/>
      <c r="D104" s="196"/>
      <c r="E104" s="196"/>
      <c r="F104" s="196"/>
      <c r="G104" s="196"/>
      <c r="H104" s="70" t="s">
        <v>0</v>
      </c>
      <c r="I104" s="25"/>
      <c r="J104" s="12"/>
      <c r="K104" s="67"/>
      <c r="L104" s="68"/>
    </row>
    <row r="105" spans="1:16" x14ac:dyDescent="0.2">
      <c r="A105" s="72" t="s">
        <v>13</v>
      </c>
      <c r="B105" s="196" t="s">
        <v>4</v>
      </c>
      <c r="C105" s="196"/>
      <c r="D105" s="196"/>
      <c r="E105" s="196"/>
      <c r="F105" s="196"/>
      <c r="G105" s="196"/>
      <c r="H105" s="70" t="s">
        <v>0</v>
      </c>
      <c r="I105" s="25">
        <v>0</v>
      </c>
      <c r="J105" s="12"/>
      <c r="P105" s="42"/>
    </row>
    <row r="106" spans="1:16" x14ac:dyDescent="0.2">
      <c r="A106" s="186" t="s">
        <v>107</v>
      </c>
      <c r="B106" s="186"/>
      <c r="C106" s="186"/>
      <c r="D106" s="186"/>
      <c r="E106" s="186"/>
      <c r="F106" s="186"/>
      <c r="G106" s="186"/>
      <c r="H106" s="16" t="s">
        <v>0</v>
      </c>
      <c r="I106" s="9">
        <f>TRUNC(SUM(I102:I105),2)</f>
        <v>399.51</v>
      </c>
      <c r="J106" s="12"/>
    </row>
    <row r="107" spans="1:16" x14ac:dyDescent="0.2">
      <c r="A107" s="200"/>
      <c r="B107" s="201"/>
      <c r="C107" s="201"/>
      <c r="D107" s="201"/>
      <c r="E107" s="201"/>
      <c r="F107" s="201"/>
      <c r="G107" s="201"/>
      <c r="H107" s="201"/>
      <c r="I107" s="201"/>
      <c r="J107" s="12"/>
    </row>
    <row r="108" spans="1:16" x14ac:dyDescent="0.2">
      <c r="A108" s="189" t="s">
        <v>108</v>
      </c>
      <c r="B108" s="189"/>
      <c r="C108" s="189"/>
      <c r="D108" s="189"/>
      <c r="E108" s="189"/>
      <c r="F108" s="189"/>
      <c r="G108" s="189"/>
      <c r="H108" s="189"/>
      <c r="I108" s="189"/>
      <c r="J108" s="12"/>
    </row>
    <row r="109" spans="1:16" x14ac:dyDescent="0.2">
      <c r="A109" s="66">
        <v>6</v>
      </c>
      <c r="B109" s="186" t="s">
        <v>24</v>
      </c>
      <c r="C109" s="186"/>
      <c r="D109" s="186"/>
      <c r="E109" s="186"/>
      <c r="F109" s="186"/>
      <c r="G109" s="186"/>
      <c r="H109" s="66" t="s">
        <v>3</v>
      </c>
      <c r="I109" s="66" t="s">
        <v>1</v>
      </c>
      <c r="J109" s="12"/>
    </row>
    <row r="110" spans="1:16" x14ac:dyDescent="0.2">
      <c r="A110" s="66" t="s">
        <v>10</v>
      </c>
      <c r="B110" s="175" t="s">
        <v>27</v>
      </c>
      <c r="C110" s="175"/>
      <c r="D110" s="175"/>
      <c r="E110" s="175"/>
      <c r="F110" s="175"/>
      <c r="G110" s="175"/>
      <c r="H110" s="33">
        <v>0.05</v>
      </c>
      <c r="I110" s="4">
        <f>TRUNC(H110*I127,2)</f>
        <v>152.16</v>
      </c>
      <c r="J110" s="12"/>
      <c r="K110" s="79" t="s">
        <v>173</v>
      </c>
      <c r="L110" s="79"/>
    </row>
    <row r="111" spans="1:16" x14ac:dyDescent="0.2">
      <c r="A111" s="6" t="s">
        <v>11</v>
      </c>
      <c r="B111" s="175" t="s">
        <v>5</v>
      </c>
      <c r="C111" s="175"/>
      <c r="D111" s="175"/>
      <c r="E111" s="175"/>
      <c r="F111" s="175"/>
      <c r="G111" s="175"/>
      <c r="H111" s="34">
        <v>6.7900000000000002E-2</v>
      </c>
      <c r="I111" s="4">
        <f>TRUNC(H111*(I110+I127),2)</f>
        <v>216.96</v>
      </c>
      <c r="J111" s="12"/>
      <c r="K111" s="79" t="s">
        <v>172</v>
      </c>
      <c r="L111" s="79"/>
    </row>
    <row r="112" spans="1:16" x14ac:dyDescent="0.2">
      <c r="A112" s="66" t="s">
        <v>12</v>
      </c>
      <c r="B112" s="215" t="s">
        <v>60</v>
      </c>
      <c r="C112" s="215"/>
      <c r="D112" s="215"/>
      <c r="E112" s="215"/>
      <c r="F112" s="215"/>
      <c r="G112" s="215"/>
      <c r="H112" s="5"/>
      <c r="I112" s="35"/>
      <c r="J112" s="12"/>
      <c r="K112" s="32"/>
      <c r="L112" s="32"/>
    </row>
    <row r="113" spans="1:12" x14ac:dyDescent="0.2">
      <c r="A113" s="6" t="s">
        <v>61</v>
      </c>
      <c r="B113" s="192" t="s">
        <v>164</v>
      </c>
      <c r="C113" s="175"/>
      <c r="D113" s="175"/>
      <c r="E113" s="175"/>
      <c r="F113" s="175"/>
      <c r="G113" s="175"/>
      <c r="H113" s="36">
        <v>1.6500000000000001E-2</v>
      </c>
      <c r="I113" s="25">
        <f>H113*(I127+I110+I111)/(1-H116)</f>
        <v>65.660956268221568</v>
      </c>
      <c r="J113" s="12"/>
      <c r="K113" s="79" t="s">
        <v>185</v>
      </c>
      <c r="L113" s="79"/>
    </row>
    <row r="114" spans="1:12" x14ac:dyDescent="0.2">
      <c r="A114" s="6" t="s">
        <v>62</v>
      </c>
      <c r="B114" s="192" t="s">
        <v>165</v>
      </c>
      <c r="C114" s="175"/>
      <c r="D114" s="175"/>
      <c r="E114" s="175"/>
      <c r="F114" s="175"/>
      <c r="G114" s="175"/>
      <c r="H114" s="37">
        <v>7.5999999999999998E-2</v>
      </c>
      <c r="I114" s="25">
        <f>H114*(I127+I110+I111)/(1-H116)</f>
        <v>302.43834402332362</v>
      </c>
      <c r="J114" s="12"/>
      <c r="K114" s="79" t="s">
        <v>186</v>
      </c>
      <c r="L114" s="79"/>
    </row>
    <row r="115" spans="1:12" x14ac:dyDescent="0.2">
      <c r="A115" s="6" t="s">
        <v>63</v>
      </c>
      <c r="B115" s="175" t="s">
        <v>59</v>
      </c>
      <c r="C115" s="175"/>
      <c r="D115" s="175"/>
      <c r="E115" s="175"/>
      <c r="F115" s="175"/>
      <c r="G115" s="175"/>
      <c r="H115" s="38">
        <v>0.05</v>
      </c>
      <c r="I115" s="25">
        <f>H115*(I127+I110+I111)/(1-H116)</f>
        <v>198.97259475218661</v>
      </c>
      <c r="J115" s="12"/>
      <c r="K115" s="82" t="s">
        <v>187</v>
      </c>
      <c r="L115" s="82"/>
    </row>
    <row r="116" spans="1:12" x14ac:dyDescent="0.2">
      <c r="A116" s="80"/>
      <c r="B116" s="172"/>
      <c r="C116" s="173"/>
      <c r="D116" s="173"/>
      <c r="E116" s="173"/>
      <c r="F116" s="173"/>
      <c r="G116" s="174"/>
      <c r="H116" s="39">
        <f>TRUNC(H113+H114+H115,4)</f>
        <v>0.14249999999999999</v>
      </c>
      <c r="I116" s="81"/>
      <c r="J116" s="12"/>
      <c r="K116" s="32"/>
      <c r="L116" s="32"/>
    </row>
    <row r="117" spans="1:12" x14ac:dyDescent="0.2">
      <c r="A117" s="186" t="s">
        <v>109</v>
      </c>
      <c r="B117" s="186"/>
      <c r="C117" s="186"/>
      <c r="D117" s="186"/>
      <c r="E117" s="186"/>
      <c r="F117" s="186"/>
      <c r="G117" s="186"/>
      <c r="H117" s="36"/>
      <c r="I117" s="26">
        <f>TRUNC(SUM(I110:I115),2)</f>
        <v>936.19</v>
      </c>
      <c r="J117" s="12"/>
      <c r="K117" s="12"/>
      <c r="L117" s="12"/>
    </row>
    <row r="118" spans="1:12" x14ac:dyDescent="0.2">
      <c r="A118" s="74"/>
      <c r="B118" s="214"/>
      <c r="C118" s="214"/>
      <c r="D118" s="214"/>
      <c r="E118" s="214"/>
      <c r="F118" s="214"/>
      <c r="G118" s="214"/>
      <c r="H118" s="214"/>
      <c r="I118" s="214"/>
    </row>
    <row r="119" spans="1:12" x14ac:dyDescent="0.2">
      <c r="A119" s="74"/>
      <c r="B119" s="74"/>
      <c r="C119" s="74"/>
      <c r="D119" s="74"/>
      <c r="E119" s="74"/>
      <c r="F119" s="74"/>
      <c r="G119" s="74"/>
      <c r="H119" s="74"/>
      <c r="I119" s="40"/>
    </row>
    <row r="120" spans="1:12" x14ac:dyDescent="0.2">
      <c r="A120" s="202" t="s">
        <v>110</v>
      </c>
      <c r="B120" s="202"/>
      <c r="C120" s="202"/>
      <c r="D120" s="202"/>
      <c r="E120" s="202"/>
      <c r="F120" s="202"/>
      <c r="G120" s="202"/>
      <c r="H120" s="202"/>
      <c r="I120" s="202"/>
    </row>
    <row r="121" spans="1:12" x14ac:dyDescent="0.2">
      <c r="A121" s="186" t="s">
        <v>28</v>
      </c>
      <c r="B121" s="186"/>
      <c r="C121" s="186"/>
      <c r="D121" s="186"/>
      <c r="E121" s="186"/>
      <c r="F121" s="186"/>
      <c r="G121" s="186"/>
      <c r="H121" s="186"/>
      <c r="I121" s="66" t="s">
        <v>1</v>
      </c>
    </row>
    <row r="122" spans="1:12" x14ac:dyDescent="0.2">
      <c r="A122" s="70" t="s">
        <v>10</v>
      </c>
      <c r="B122" s="175" t="str">
        <f>A27</f>
        <v>MÓDULO 1 - COMPOSIÇÃO DA REMUNERAÇÃO</v>
      </c>
      <c r="C122" s="175"/>
      <c r="D122" s="175"/>
      <c r="E122" s="175"/>
      <c r="F122" s="175"/>
      <c r="G122" s="175"/>
      <c r="H122" s="175"/>
      <c r="I122" s="4">
        <f>I35</f>
        <v>1239</v>
      </c>
    </row>
    <row r="123" spans="1:12" x14ac:dyDescent="0.2">
      <c r="A123" s="41" t="s">
        <v>11</v>
      </c>
      <c r="B123" s="175" t="str">
        <f>A37</f>
        <v>MÓDULO 2 – ENCARGOS E BENEFÍCIOS ANUAIS, MENSAIS E DIÁRIOS</v>
      </c>
      <c r="C123" s="175"/>
      <c r="D123" s="175"/>
      <c r="E123" s="175"/>
      <c r="F123" s="175"/>
      <c r="G123" s="175"/>
      <c r="H123" s="175"/>
      <c r="I123" s="25">
        <f>I69</f>
        <v>1275.48</v>
      </c>
    </row>
    <row r="124" spans="1:12" x14ac:dyDescent="0.2">
      <c r="A124" s="41" t="s">
        <v>12</v>
      </c>
      <c r="B124" s="175" t="str">
        <f>A71</f>
        <v>MÓDULO 3 – PROVISÃO PARA RESCISÃO</v>
      </c>
      <c r="C124" s="175"/>
      <c r="D124" s="175"/>
      <c r="E124" s="175"/>
      <c r="F124" s="175"/>
      <c r="G124" s="175"/>
      <c r="H124" s="175"/>
      <c r="I124" s="25">
        <f>I78</f>
        <v>100.45</v>
      </c>
    </row>
    <row r="125" spans="1:12" x14ac:dyDescent="0.2">
      <c r="A125" s="70" t="s">
        <v>13</v>
      </c>
      <c r="B125" s="175" t="str">
        <f>A80</f>
        <v>MÓDULO 4 – CUSTO DE REPOSIÇÃO DO PROFISSIONAL AUSENTE</v>
      </c>
      <c r="C125" s="175"/>
      <c r="D125" s="175"/>
      <c r="E125" s="175"/>
      <c r="F125" s="175"/>
      <c r="G125" s="175"/>
      <c r="H125" s="175"/>
      <c r="I125" s="25">
        <f>I98</f>
        <v>28.82</v>
      </c>
    </row>
    <row r="126" spans="1:12" x14ac:dyDescent="0.2">
      <c r="A126" s="41" t="s">
        <v>14</v>
      </c>
      <c r="B126" s="175" t="str">
        <f>A100</f>
        <v>MÓDULO 5 – INSUMOS DIVERSOS</v>
      </c>
      <c r="C126" s="175"/>
      <c r="D126" s="175"/>
      <c r="E126" s="175"/>
      <c r="F126" s="175"/>
      <c r="G126" s="175"/>
      <c r="H126" s="175"/>
      <c r="I126" s="25">
        <f>I106</f>
        <v>399.51</v>
      </c>
    </row>
    <row r="127" spans="1:12" x14ac:dyDescent="0.2">
      <c r="A127" s="6"/>
      <c r="B127" s="186" t="s">
        <v>111</v>
      </c>
      <c r="C127" s="186"/>
      <c r="D127" s="186"/>
      <c r="E127" s="186"/>
      <c r="F127" s="186"/>
      <c r="G127" s="186"/>
      <c r="H127" s="186"/>
      <c r="I127" s="26">
        <f>TRUNC(SUM(I122:I126),2)</f>
        <v>3043.26</v>
      </c>
    </row>
    <row r="128" spans="1:12" x14ac:dyDescent="0.2">
      <c r="A128" s="70" t="s">
        <v>15</v>
      </c>
      <c r="B128" s="175" t="str">
        <f>A108</f>
        <v>MÓDULO 6 – CUSTOS INDIRETOS, TRIBUTOS E LUCRO</v>
      </c>
      <c r="C128" s="175"/>
      <c r="D128" s="175"/>
      <c r="E128" s="175"/>
      <c r="F128" s="175"/>
      <c r="G128" s="175"/>
      <c r="H128" s="175"/>
      <c r="I128" s="4">
        <f>I117</f>
        <v>936.19</v>
      </c>
    </row>
    <row r="129" spans="1:9" x14ac:dyDescent="0.2">
      <c r="A129" s="186" t="s">
        <v>113</v>
      </c>
      <c r="B129" s="186"/>
      <c r="C129" s="186"/>
      <c r="D129" s="186"/>
      <c r="E129" s="186"/>
      <c r="F129" s="186"/>
      <c r="G129" s="186"/>
      <c r="H129" s="186"/>
      <c r="I129" s="26">
        <f>TRUNC(SUM(I127:I128),2)</f>
        <v>3979.45</v>
      </c>
    </row>
    <row r="130" spans="1:9" x14ac:dyDescent="0.2">
      <c r="I130" s="42"/>
    </row>
    <row r="131" spans="1:9" hidden="1" x14ac:dyDescent="0.2">
      <c r="A131" s="74"/>
      <c r="B131" s="188" t="s">
        <v>30</v>
      </c>
      <c r="C131" s="188"/>
      <c r="D131" s="188"/>
      <c r="E131" s="188"/>
      <c r="F131" s="188"/>
      <c r="G131" s="188"/>
      <c r="H131" s="10"/>
      <c r="I131" s="10"/>
    </row>
    <row r="132" spans="1:9" ht="40.5" hidden="1" customHeight="1" thickBot="1" x14ac:dyDescent="0.25">
      <c r="A132" s="216" t="s">
        <v>32</v>
      </c>
      <c r="B132" s="217"/>
      <c r="C132" s="216" t="s">
        <v>33</v>
      </c>
      <c r="D132" s="217"/>
      <c r="E132" s="216" t="s">
        <v>35</v>
      </c>
      <c r="F132" s="217"/>
      <c r="G132" s="43" t="s">
        <v>34</v>
      </c>
      <c r="H132" s="44" t="s">
        <v>31</v>
      </c>
      <c r="I132" s="45" t="s">
        <v>1</v>
      </c>
    </row>
    <row r="133" spans="1:9" hidden="1" x14ac:dyDescent="0.2">
      <c r="A133" s="218" t="s">
        <v>36</v>
      </c>
      <c r="B133" s="219"/>
      <c r="C133" s="220" t="s">
        <v>40</v>
      </c>
      <c r="D133" s="221"/>
      <c r="E133" s="222"/>
      <c r="F133" s="223"/>
      <c r="G133" s="46" t="s">
        <v>40</v>
      </c>
      <c r="H133" s="47"/>
      <c r="I133" s="48">
        <v>0</v>
      </c>
    </row>
    <row r="134" spans="1:9" hidden="1" x14ac:dyDescent="0.2">
      <c r="A134" s="177" t="s">
        <v>37</v>
      </c>
      <c r="B134" s="224"/>
      <c r="C134" s="225" t="s">
        <v>40</v>
      </c>
      <c r="D134" s="226"/>
      <c r="E134" s="227"/>
      <c r="F134" s="228"/>
      <c r="G134" s="49" t="s">
        <v>40</v>
      </c>
      <c r="H134" s="50"/>
      <c r="I134" s="51">
        <v>0</v>
      </c>
    </row>
    <row r="135" spans="1:9" hidden="1" x14ac:dyDescent="0.2">
      <c r="A135" s="177" t="s">
        <v>38</v>
      </c>
      <c r="B135" s="224"/>
      <c r="C135" s="225" t="s">
        <v>40</v>
      </c>
      <c r="D135" s="226"/>
      <c r="E135" s="227"/>
      <c r="F135" s="228"/>
      <c r="G135" s="49" t="s">
        <v>40</v>
      </c>
      <c r="H135" s="50"/>
      <c r="I135" s="51">
        <v>0</v>
      </c>
    </row>
    <row r="136" spans="1:9" hidden="1" x14ac:dyDescent="0.2">
      <c r="A136" s="177" t="s">
        <v>39</v>
      </c>
      <c r="B136" s="224"/>
      <c r="C136" s="225" t="s">
        <v>40</v>
      </c>
      <c r="D136" s="226"/>
      <c r="E136" s="227"/>
      <c r="F136" s="228"/>
      <c r="G136" s="49" t="s">
        <v>40</v>
      </c>
      <c r="H136" s="50"/>
      <c r="I136" s="51">
        <v>0</v>
      </c>
    </row>
    <row r="137" spans="1:9" hidden="1" x14ac:dyDescent="0.2">
      <c r="A137" s="229"/>
      <c r="B137" s="203"/>
      <c r="C137" s="227"/>
      <c r="D137" s="228"/>
      <c r="E137" s="227"/>
      <c r="F137" s="228"/>
      <c r="G137" s="52"/>
      <c r="H137" s="53"/>
      <c r="I137" s="51"/>
    </row>
    <row r="138" spans="1:9" ht="13.5" hidden="1" thickBot="1" x14ac:dyDescent="0.25">
      <c r="A138" s="245"/>
      <c r="B138" s="246"/>
      <c r="C138" s="247"/>
      <c r="D138" s="248"/>
      <c r="E138" s="247"/>
      <c r="F138" s="248"/>
      <c r="G138" s="54"/>
      <c r="H138" s="55"/>
      <c r="I138" s="56"/>
    </row>
    <row r="139" spans="1:9" ht="13.5" hidden="1" thickBot="1" x14ac:dyDescent="0.25">
      <c r="A139" s="249" t="s">
        <v>41</v>
      </c>
      <c r="B139" s="250"/>
      <c r="C139" s="250"/>
      <c r="D139" s="250"/>
      <c r="E139" s="250"/>
      <c r="F139" s="250"/>
      <c r="G139" s="250"/>
      <c r="H139" s="251"/>
      <c r="I139" s="57">
        <f>SUM(I137:I138)</f>
        <v>0</v>
      </c>
    </row>
    <row r="140" spans="1:9" hidden="1" x14ac:dyDescent="0.2"/>
    <row r="141" spans="1:9" hidden="1" x14ac:dyDescent="0.2">
      <c r="A141" s="74" t="s">
        <v>42</v>
      </c>
      <c r="B141" s="188" t="s">
        <v>43</v>
      </c>
      <c r="C141" s="188"/>
      <c r="D141" s="188"/>
      <c r="E141" s="188"/>
      <c r="F141" s="188"/>
      <c r="G141" s="188"/>
      <c r="H141" s="10"/>
      <c r="I141" s="10"/>
    </row>
    <row r="142" spans="1:9" ht="13.5" hidden="1" thickBot="1" x14ac:dyDescent="0.25">
      <c r="A142" s="252" t="s">
        <v>44</v>
      </c>
      <c r="B142" s="253"/>
      <c r="C142" s="253"/>
      <c r="D142" s="253"/>
      <c r="E142" s="253"/>
      <c r="F142" s="253"/>
      <c r="G142" s="253"/>
      <c r="H142" s="253"/>
      <c r="I142" s="254"/>
    </row>
    <row r="143" spans="1:9" ht="13.5" hidden="1" thickBot="1" x14ac:dyDescent="0.25">
      <c r="A143" s="58"/>
      <c r="B143" s="230" t="s">
        <v>45</v>
      </c>
      <c r="C143" s="231"/>
      <c r="D143" s="231"/>
      <c r="E143" s="231"/>
      <c r="F143" s="231"/>
      <c r="G143" s="231"/>
      <c r="H143" s="232"/>
      <c r="I143" s="45" t="s">
        <v>1</v>
      </c>
    </row>
    <row r="144" spans="1:9" hidden="1" x14ac:dyDescent="0.2">
      <c r="A144" s="75" t="s">
        <v>10</v>
      </c>
      <c r="B144" s="233" t="s">
        <v>46</v>
      </c>
      <c r="C144" s="234"/>
      <c r="D144" s="234"/>
      <c r="E144" s="234"/>
      <c r="F144" s="234"/>
      <c r="G144" s="234"/>
      <c r="H144" s="235"/>
      <c r="I144" s="59">
        <f>I113</f>
        <v>65.660956268221568</v>
      </c>
    </row>
    <row r="145" spans="1:9" hidden="1" x14ac:dyDescent="0.2">
      <c r="A145" s="60" t="s">
        <v>11</v>
      </c>
      <c r="B145" s="236" t="s">
        <v>47</v>
      </c>
      <c r="C145" s="237"/>
      <c r="D145" s="237"/>
      <c r="E145" s="237"/>
      <c r="F145" s="237"/>
      <c r="G145" s="237"/>
      <c r="H145" s="238"/>
      <c r="I145" s="61" t="e">
        <f>#REF!</f>
        <v>#REF!</v>
      </c>
    </row>
    <row r="146" spans="1:9" ht="13.5" hidden="1" thickBot="1" x14ac:dyDescent="0.25">
      <c r="A146" s="60" t="s">
        <v>12</v>
      </c>
      <c r="B146" s="239" t="s">
        <v>48</v>
      </c>
      <c r="C146" s="240"/>
      <c r="D146" s="240"/>
      <c r="E146" s="240"/>
      <c r="F146" s="240"/>
      <c r="G146" s="240"/>
      <c r="H146" s="241"/>
      <c r="I146" s="61">
        <f>I117</f>
        <v>936.19</v>
      </c>
    </row>
    <row r="147" spans="1:9" ht="13.5" hidden="1" thickBot="1" x14ac:dyDescent="0.25">
      <c r="A147" s="242" t="s">
        <v>23</v>
      </c>
      <c r="B147" s="243"/>
      <c r="C147" s="243"/>
      <c r="D147" s="243"/>
      <c r="E147" s="243"/>
      <c r="F147" s="243"/>
      <c r="G147" s="243"/>
      <c r="H147" s="244"/>
      <c r="I147" s="57" t="e">
        <f>SUM(I144:I146)</f>
        <v>#REF!</v>
      </c>
    </row>
    <row r="148" spans="1:9" hidden="1" x14ac:dyDescent="0.2">
      <c r="A148" s="62" t="s">
        <v>21</v>
      </c>
      <c r="B148" s="1" t="s">
        <v>49</v>
      </c>
    </row>
    <row r="149" spans="1:9" hidden="1" x14ac:dyDescent="0.2"/>
    <row r="150" spans="1:9" hidden="1" x14ac:dyDescent="0.2"/>
    <row r="151" spans="1:9" x14ac:dyDescent="0.2">
      <c r="A151" s="63" t="s">
        <v>112</v>
      </c>
      <c r="B151" s="63">
        <f>I129/I29</f>
        <v>3.2118240516545602</v>
      </c>
    </row>
    <row r="152" spans="1:9" x14ac:dyDescent="0.2">
      <c r="A152" s="64"/>
      <c r="B152" s="63"/>
      <c r="E152" s="65"/>
    </row>
    <row r="153" spans="1:9" x14ac:dyDescent="0.2">
      <c r="A153" s="63"/>
      <c r="B153" s="63"/>
      <c r="C153" s="64"/>
    </row>
    <row r="154" spans="1:9" x14ac:dyDescent="0.2">
      <c r="A154" s="63"/>
      <c r="B154" s="63"/>
      <c r="C154" s="64"/>
    </row>
    <row r="155" spans="1:9" x14ac:dyDescent="0.2">
      <c r="A155" s="65"/>
    </row>
    <row r="156" spans="1:9" x14ac:dyDescent="0.2">
      <c r="A156" s="65"/>
    </row>
  </sheetData>
  <mergeCells count="166">
    <mergeCell ref="B143:H143"/>
    <mergeCell ref="B144:H144"/>
    <mergeCell ref="B145:H145"/>
    <mergeCell ref="B146:H146"/>
    <mergeCell ref="A147:H147"/>
    <mergeCell ref="A138:B138"/>
    <mergeCell ref="C138:D138"/>
    <mergeCell ref="E138:F138"/>
    <mergeCell ref="A139:H139"/>
    <mergeCell ref="B141:G141"/>
    <mergeCell ref="A142:I142"/>
    <mergeCell ref="A136:B136"/>
    <mergeCell ref="C136:D136"/>
    <mergeCell ref="E136:F136"/>
    <mergeCell ref="A137:B137"/>
    <mergeCell ref="C137:D137"/>
    <mergeCell ref="E137:F137"/>
    <mergeCell ref="A134:B134"/>
    <mergeCell ref="C134:D134"/>
    <mergeCell ref="E134:F134"/>
    <mergeCell ref="A135:B135"/>
    <mergeCell ref="C135:D135"/>
    <mergeCell ref="E135:F135"/>
    <mergeCell ref="B131:G131"/>
    <mergeCell ref="A132:B132"/>
    <mergeCell ref="C132:D132"/>
    <mergeCell ref="E132:F132"/>
    <mergeCell ref="A133:B133"/>
    <mergeCell ref="C133:D133"/>
    <mergeCell ref="E133:F133"/>
    <mergeCell ref="B124:H124"/>
    <mergeCell ref="B125:H125"/>
    <mergeCell ref="B126:H126"/>
    <mergeCell ref="B127:H127"/>
    <mergeCell ref="B128:H128"/>
    <mergeCell ref="A129:H129"/>
    <mergeCell ref="A120:I120"/>
    <mergeCell ref="A121:H121"/>
    <mergeCell ref="B122:H122"/>
    <mergeCell ref="B123:H123"/>
    <mergeCell ref="B115:G115"/>
    <mergeCell ref="A117:G117"/>
    <mergeCell ref="B118:I118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1:I1"/>
    <mergeCell ref="A2:I2"/>
    <mergeCell ref="A3:I3"/>
    <mergeCell ref="A4:I4"/>
    <mergeCell ref="A5:I5"/>
    <mergeCell ref="A6:I6"/>
    <mergeCell ref="B116:G116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21:G21"/>
    <mergeCell ref="H21:I21"/>
    <mergeCell ref="B22:G22"/>
    <mergeCell ref="H22:I22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19" max="8" man="1"/>
  </rowBreaks>
  <colBreaks count="1" manualBreakCount="1">
    <brk id="9" max="158" man="1"/>
  </colBreaks>
  <ignoredErrors>
    <ignoredError sqref="I7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69694-241D-4CDF-AE84-3DB7EF175C8A}">
  <sheetPr>
    <tabColor theme="2" tint="-0.249977111117893"/>
    <pageSetUpPr fitToPage="1"/>
  </sheetPr>
  <dimension ref="B1:F42"/>
  <sheetViews>
    <sheetView showGridLines="0" workbookViewId="0">
      <selection activeCell="B17" sqref="B17"/>
    </sheetView>
  </sheetViews>
  <sheetFormatPr defaultRowHeight="12.75" x14ac:dyDescent="0.2"/>
  <cols>
    <col min="1" max="1" width="8.28515625" customWidth="1"/>
    <col min="2" max="2" width="43.42578125" customWidth="1"/>
    <col min="3" max="3" width="10.42578125" bestFit="1" customWidth="1"/>
    <col min="4" max="4" width="13.85546875" customWidth="1"/>
    <col min="5" max="6" width="11.85546875" customWidth="1"/>
  </cols>
  <sheetData>
    <row r="1" spans="2:6" ht="57.75" customHeight="1" thickBot="1" x14ac:dyDescent="0.25"/>
    <row r="2" spans="2:6" s="78" customFormat="1" ht="15.75" thickBot="1" x14ac:dyDescent="0.25">
      <c r="B2" s="104" t="s">
        <v>262</v>
      </c>
      <c r="C2" s="105"/>
      <c r="D2" s="105"/>
      <c r="E2" s="257" t="s">
        <v>221</v>
      </c>
      <c r="F2" s="258"/>
    </row>
    <row r="3" spans="2:6" s="78" customFormat="1" ht="46.5" customHeight="1" thickBot="1" x14ac:dyDescent="0.25">
      <c r="B3" s="96" t="s">
        <v>191</v>
      </c>
      <c r="C3" s="96" t="s">
        <v>219</v>
      </c>
      <c r="D3" s="96" t="s">
        <v>220</v>
      </c>
      <c r="E3" s="96" t="s">
        <v>192</v>
      </c>
      <c r="F3" s="96" t="s">
        <v>193</v>
      </c>
    </row>
    <row r="4" spans="2:6" s="78" customFormat="1" x14ac:dyDescent="0.2">
      <c r="B4" s="97" t="s">
        <v>213</v>
      </c>
      <c r="C4" s="124">
        <v>2</v>
      </c>
      <c r="D4" s="98">
        <f>C4*2</f>
        <v>4</v>
      </c>
      <c r="E4" s="106">
        <v>62.53</v>
      </c>
      <c r="F4" s="99">
        <f>E4*D4</f>
        <v>250.12</v>
      </c>
    </row>
    <row r="5" spans="2:6" s="78" customFormat="1" x14ac:dyDescent="0.2">
      <c r="B5" s="100" t="s">
        <v>214</v>
      </c>
      <c r="C5" s="125">
        <v>1</v>
      </c>
      <c r="D5" s="98">
        <f t="shared" ref="D5:D9" si="0">C5*2</f>
        <v>2</v>
      </c>
      <c r="E5" s="107">
        <v>68.33</v>
      </c>
      <c r="F5" s="99">
        <f t="shared" ref="F5:F9" si="1">E5*D5</f>
        <v>136.66</v>
      </c>
    </row>
    <row r="6" spans="2:6" s="78" customFormat="1" x14ac:dyDescent="0.2">
      <c r="B6" s="100" t="s">
        <v>215</v>
      </c>
      <c r="C6" s="125">
        <v>2</v>
      </c>
      <c r="D6" s="98">
        <f t="shared" si="0"/>
        <v>4</v>
      </c>
      <c r="E6" s="107">
        <v>66.63</v>
      </c>
      <c r="F6" s="99">
        <f t="shared" si="1"/>
        <v>266.52</v>
      </c>
    </row>
    <row r="7" spans="2:6" s="78" customFormat="1" x14ac:dyDescent="0.2">
      <c r="B7" s="100" t="s">
        <v>216</v>
      </c>
      <c r="C7" s="125">
        <v>2</v>
      </c>
      <c r="D7" s="98">
        <f t="shared" si="0"/>
        <v>4</v>
      </c>
      <c r="E7" s="107">
        <v>6.38</v>
      </c>
      <c r="F7" s="99">
        <f t="shared" si="1"/>
        <v>25.52</v>
      </c>
    </row>
    <row r="8" spans="2:6" s="78" customFormat="1" x14ac:dyDescent="0.2">
      <c r="B8" s="100" t="s">
        <v>217</v>
      </c>
      <c r="C8" s="125">
        <v>1</v>
      </c>
      <c r="D8" s="98">
        <f t="shared" si="0"/>
        <v>2</v>
      </c>
      <c r="E8" s="107">
        <v>10.950000000000001</v>
      </c>
      <c r="F8" s="99">
        <f t="shared" si="1"/>
        <v>21.900000000000002</v>
      </c>
    </row>
    <row r="9" spans="2:6" s="78" customFormat="1" ht="13.5" thickBot="1" x14ac:dyDescent="0.25">
      <c r="B9" s="101" t="s">
        <v>218</v>
      </c>
      <c r="C9" s="126">
        <v>1</v>
      </c>
      <c r="D9" s="98">
        <f t="shared" si="0"/>
        <v>2</v>
      </c>
      <c r="E9" s="108">
        <v>76.600000000000009</v>
      </c>
      <c r="F9" s="99">
        <f t="shared" si="1"/>
        <v>153.20000000000002</v>
      </c>
    </row>
    <row r="10" spans="2:6" s="78" customFormat="1" ht="13.5" customHeight="1" thickBot="1" x14ac:dyDescent="0.25">
      <c r="B10" s="102" t="s">
        <v>194</v>
      </c>
      <c r="C10" s="103"/>
      <c r="D10" s="103"/>
      <c r="E10" s="255">
        <f>SUM(F4:F9)</f>
        <v>853.92</v>
      </c>
      <c r="F10" s="256"/>
    </row>
    <row r="11" spans="2:6" s="78" customFormat="1" ht="13.5" customHeight="1" thickBot="1" x14ac:dyDescent="0.25">
      <c r="B11" s="102" t="s">
        <v>195</v>
      </c>
      <c r="C11" s="103"/>
      <c r="D11" s="103"/>
      <c r="E11" s="255">
        <f>E10/12</f>
        <v>71.16</v>
      </c>
      <c r="F11" s="256"/>
    </row>
    <row r="12" spans="2:6" s="78" customFormat="1" x14ac:dyDescent="0.2"/>
    <row r="13" spans="2:6" s="78" customFormat="1" x14ac:dyDescent="0.2"/>
    <row r="14" spans="2:6" s="78" customFormat="1" x14ac:dyDescent="0.2"/>
    <row r="15" spans="2:6" s="78" customFormat="1" x14ac:dyDescent="0.2"/>
    <row r="16" spans="2:6" s="78" customFormat="1" x14ac:dyDescent="0.2"/>
    <row r="17" s="78" customFormat="1" x14ac:dyDescent="0.2"/>
    <row r="18" s="78" customFormat="1" x14ac:dyDescent="0.2"/>
    <row r="19" s="78" customFormat="1" x14ac:dyDescent="0.2"/>
    <row r="20" s="78" customFormat="1" x14ac:dyDescent="0.2"/>
    <row r="21" s="78" customFormat="1" x14ac:dyDescent="0.2"/>
    <row r="22" s="78" customFormat="1" x14ac:dyDescent="0.2"/>
    <row r="23" s="78" customFormat="1" x14ac:dyDescent="0.2"/>
    <row r="24" s="78" customFormat="1" x14ac:dyDescent="0.2"/>
    <row r="25" s="78" customFormat="1" x14ac:dyDescent="0.2"/>
    <row r="26" s="78" customFormat="1" x14ac:dyDescent="0.2"/>
    <row r="27" s="78" customFormat="1" x14ac:dyDescent="0.2"/>
    <row r="28" s="78" customFormat="1" x14ac:dyDescent="0.2"/>
    <row r="29" s="78" customFormat="1" x14ac:dyDescent="0.2"/>
    <row r="30" s="78" customFormat="1" x14ac:dyDescent="0.2"/>
    <row r="31" s="78" customFormat="1" x14ac:dyDescent="0.2"/>
    <row r="32" s="78" customFormat="1" x14ac:dyDescent="0.2"/>
    <row r="33" s="78" customFormat="1" x14ac:dyDescent="0.2"/>
    <row r="34" s="78" customFormat="1" x14ac:dyDescent="0.2"/>
    <row r="35" s="78" customFormat="1" x14ac:dyDescent="0.2"/>
    <row r="36" s="78" customFormat="1" x14ac:dyDescent="0.2"/>
    <row r="37" s="78" customFormat="1" x14ac:dyDescent="0.2"/>
    <row r="38" s="78" customFormat="1" ht="13.5" customHeight="1" x14ac:dyDescent="0.2"/>
    <row r="39" s="78" customFormat="1" ht="13.5" customHeight="1" x14ac:dyDescent="0.2"/>
    <row r="40" s="78" customFormat="1" x14ac:dyDescent="0.2"/>
    <row r="41" s="78" customFormat="1" x14ac:dyDescent="0.2"/>
    <row r="42" s="78" customFormat="1" x14ac:dyDescent="0.2"/>
  </sheetData>
  <mergeCells count="3">
    <mergeCell ref="E11:F11"/>
    <mergeCell ref="E2:F2"/>
    <mergeCell ref="E10:F10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178-25F1-4A8C-9AE3-46B10ACAC7A0}">
  <sheetPr>
    <tabColor rgb="FFFFC000"/>
    <pageSetUpPr fitToPage="1"/>
  </sheetPr>
  <dimension ref="B1:H16"/>
  <sheetViews>
    <sheetView showGridLines="0" workbookViewId="0">
      <selection activeCell="Q15" sqref="Q15"/>
    </sheetView>
  </sheetViews>
  <sheetFormatPr defaultRowHeight="12.75" x14ac:dyDescent="0.2"/>
  <cols>
    <col min="1" max="1" width="5.5703125" customWidth="1"/>
    <col min="2" max="2" width="60.28515625" bestFit="1" customWidth="1"/>
    <col min="3" max="3" width="11.5703125" customWidth="1"/>
    <col min="4" max="4" width="15.7109375" customWidth="1"/>
    <col min="5" max="5" width="14.28515625" customWidth="1"/>
    <col min="6" max="6" width="11.42578125" customWidth="1"/>
    <col min="7" max="7" width="14" customWidth="1"/>
    <col min="8" max="8" width="19.140625" style="136" customWidth="1"/>
  </cols>
  <sheetData>
    <row r="1" spans="2:8" s="78" customFormat="1" x14ac:dyDescent="0.2">
      <c r="H1" s="132"/>
    </row>
    <row r="2" spans="2:8" s="78" customFormat="1" x14ac:dyDescent="0.2">
      <c r="H2" s="132"/>
    </row>
    <row r="3" spans="2:8" ht="13.5" thickBot="1" x14ac:dyDescent="0.25">
      <c r="B3" s="84"/>
      <c r="C3" s="84"/>
      <c r="D3" s="84"/>
      <c r="E3" s="84"/>
      <c r="F3" s="84"/>
      <c r="G3" s="84"/>
      <c r="H3" s="84"/>
    </row>
    <row r="4" spans="2:8" ht="39" customHeight="1" thickBot="1" x14ac:dyDescent="0.25">
      <c r="B4" s="96" t="s">
        <v>201</v>
      </c>
      <c r="C4" s="96" t="s">
        <v>257</v>
      </c>
      <c r="D4" s="96" t="s">
        <v>254</v>
      </c>
      <c r="E4" s="96" t="s">
        <v>258</v>
      </c>
      <c r="F4" s="96" t="s">
        <v>255</v>
      </c>
      <c r="G4" s="96" t="s">
        <v>256</v>
      </c>
      <c r="H4" s="133"/>
    </row>
    <row r="5" spans="2:8" x14ac:dyDescent="0.2">
      <c r="B5" s="89" t="s">
        <v>244</v>
      </c>
      <c r="C5" s="111">
        <v>1</v>
      </c>
      <c r="D5" s="138">
        <v>772</v>
      </c>
      <c r="E5" s="139">
        <f>C5*D5</f>
        <v>772</v>
      </c>
      <c r="F5" s="111">
        <v>60</v>
      </c>
      <c r="G5" s="91">
        <f>E5/F5</f>
        <v>12.866666666666667</v>
      </c>
      <c r="H5" s="134"/>
    </row>
    <row r="6" spans="2:8" x14ac:dyDescent="0.2">
      <c r="B6" s="85" t="s">
        <v>203</v>
      </c>
      <c r="C6" s="109">
        <v>50</v>
      </c>
      <c r="D6" s="140">
        <v>11.11</v>
      </c>
      <c r="E6" s="141">
        <f t="shared" ref="E6:E14" si="0">C6*D6</f>
        <v>555.5</v>
      </c>
      <c r="F6" s="109">
        <v>12</v>
      </c>
      <c r="G6" s="86">
        <f t="shared" ref="G6:G14" si="1">E6/F6</f>
        <v>46.291666666666664</v>
      </c>
      <c r="H6" s="134"/>
    </row>
    <row r="7" spans="2:8" x14ac:dyDescent="0.2">
      <c r="B7" s="87" t="s">
        <v>245</v>
      </c>
      <c r="C7" s="110">
        <v>10</v>
      </c>
      <c r="D7" s="140">
        <v>122.77</v>
      </c>
      <c r="E7" s="141">
        <f t="shared" si="0"/>
        <v>1227.7</v>
      </c>
      <c r="F7" s="110">
        <v>12</v>
      </c>
      <c r="G7" s="86">
        <f t="shared" si="1"/>
        <v>102.30833333333334</v>
      </c>
      <c r="H7" s="134"/>
    </row>
    <row r="8" spans="2:8" x14ac:dyDescent="0.2">
      <c r="B8" s="87" t="s">
        <v>202</v>
      </c>
      <c r="C8" s="110">
        <v>10</v>
      </c>
      <c r="D8" s="140">
        <v>85.8</v>
      </c>
      <c r="E8" s="141">
        <f t="shared" si="0"/>
        <v>858</v>
      </c>
      <c r="F8" s="110">
        <v>30</v>
      </c>
      <c r="G8" s="86">
        <f t="shared" si="1"/>
        <v>28.6</v>
      </c>
      <c r="H8" s="134"/>
    </row>
    <row r="9" spans="2:8" x14ac:dyDescent="0.2">
      <c r="B9" s="88" t="s">
        <v>246</v>
      </c>
      <c r="C9" s="110">
        <v>50</v>
      </c>
      <c r="D9" s="140">
        <v>12.02</v>
      </c>
      <c r="E9" s="141">
        <f t="shared" si="0"/>
        <v>601</v>
      </c>
      <c r="F9" s="110">
        <v>60</v>
      </c>
      <c r="G9" s="86">
        <f t="shared" si="1"/>
        <v>10.016666666666667</v>
      </c>
      <c r="H9" s="134"/>
    </row>
    <row r="10" spans="2:8" x14ac:dyDescent="0.2">
      <c r="B10" s="87" t="s">
        <v>247</v>
      </c>
      <c r="C10" s="110">
        <v>50</v>
      </c>
      <c r="D10" s="140">
        <v>12.46</v>
      </c>
      <c r="E10" s="141">
        <f t="shared" si="0"/>
        <v>623</v>
      </c>
      <c r="F10" s="110">
        <v>12</v>
      </c>
      <c r="G10" s="86">
        <f t="shared" si="1"/>
        <v>51.916666666666664</v>
      </c>
      <c r="H10" s="134"/>
    </row>
    <row r="11" spans="2:8" x14ac:dyDescent="0.2">
      <c r="B11" s="87" t="s">
        <v>248</v>
      </c>
      <c r="C11" s="110">
        <v>15</v>
      </c>
      <c r="D11" s="140">
        <v>89.92</v>
      </c>
      <c r="E11" s="141">
        <f t="shared" si="0"/>
        <v>1348.8</v>
      </c>
      <c r="F11" s="110">
        <v>30</v>
      </c>
      <c r="G11" s="86">
        <f t="shared" si="1"/>
        <v>44.96</v>
      </c>
      <c r="H11" s="134"/>
    </row>
    <row r="12" spans="2:8" x14ac:dyDescent="0.2">
      <c r="B12" s="87" t="s">
        <v>249</v>
      </c>
      <c r="C12" s="110">
        <v>10</v>
      </c>
      <c r="D12" s="137">
        <v>19.739999999999998</v>
      </c>
      <c r="E12" s="141">
        <f t="shared" si="0"/>
        <v>197.39999999999998</v>
      </c>
      <c r="F12" s="110">
        <v>30</v>
      </c>
      <c r="G12" s="86">
        <f t="shared" si="1"/>
        <v>6.5799999999999992</v>
      </c>
      <c r="H12" s="134"/>
    </row>
    <row r="13" spans="2:8" x14ac:dyDescent="0.2">
      <c r="B13" s="87" t="s">
        <v>250</v>
      </c>
      <c r="C13" s="110">
        <v>10</v>
      </c>
      <c r="D13" s="137">
        <v>2.33</v>
      </c>
      <c r="E13" s="141">
        <f t="shared" si="0"/>
        <v>23.3</v>
      </c>
      <c r="F13" s="110">
        <v>30</v>
      </c>
      <c r="G13" s="86">
        <f t="shared" si="1"/>
        <v>0.77666666666666673</v>
      </c>
      <c r="H13" s="134"/>
    </row>
    <row r="14" spans="2:8" ht="13.5" thickBot="1" x14ac:dyDescent="0.25">
      <c r="B14" s="87" t="s">
        <v>251</v>
      </c>
      <c r="C14" s="110">
        <v>2</v>
      </c>
      <c r="D14" s="137">
        <v>721.21</v>
      </c>
      <c r="E14" s="141">
        <f t="shared" si="0"/>
        <v>1442.42</v>
      </c>
      <c r="F14" s="110">
        <v>60</v>
      </c>
      <c r="G14" s="86">
        <f t="shared" si="1"/>
        <v>24.040333333333333</v>
      </c>
      <c r="H14" s="134"/>
    </row>
    <row r="15" spans="2:8" ht="13.5" thickBot="1" x14ac:dyDescent="0.25">
      <c r="B15" s="259" t="s">
        <v>259</v>
      </c>
      <c r="C15" s="259"/>
      <c r="D15" s="259"/>
      <c r="E15" s="259"/>
      <c r="F15" s="259"/>
      <c r="G15" s="83">
        <f>SUM(G5:G14)</f>
        <v>328.35699999999991</v>
      </c>
      <c r="H15" s="135"/>
    </row>
    <row r="16" spans="2:8" ht="13.5" thickBot="1" x14ac:dyDescent="0.25">
      <c r="B16" s="259" t="s">
        <v>260</v>
      </c>
      <c r="C16" s="259"/>
      <c r="D16" s="259"/>
      <c r="E16" s="259"/>
      <c r="F16" s="259"/>
      <c r="G16" s="83">
        <f>G15*12</f>
        <v>3940.2839999999987</v>
      </c>
      <c r="H16" s="135"/>
    </row>
  </sheetData>
  <mergeCells count="2">
    <mergeCell ref="B16:F16"/>
    <mergeCell ref="B15:F1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58DF-ADD4-4BDE-9A8D-F478AB84DD0E}">
  <sheetPr>
    <tabColor rgb="FF00B050"/>
    <pageSetUpPr fitToPage="1"/>
  </sheetPr>
  <dimension ref="B1:H21"/>
  <sheetViews>
    <sheetView showGridLines="0" workbookViewId="0">
      <selection activeCell="B28" sqref="B28"/>
    </sheetView>
  </sheetViews>
  <sheetFormatPr defaultRowHeight="12.75" x14ac:dyDescent="0.2"/>
  <cols>
    <col min="1" max="1" width="3.7109375" customWidth="1"/>
    <col min="2" max="2" width="55.7109375" bestFit="1" customWidth="1"/>
    <col min="3" max="3" width="23" bestFit="1" customWidth="1"/>
    <col min="4" max="5" width="12.42578125" customWidth="1"/>
    <col min="6" max="6" width="11.28515625" customWidth="1"/>
    <col min="7" max="8" width="16.140625" customWidth="1"/>
    <col min="9" max="9" width="30.85546875" customWidth="1"/>
  </cols>
  <sheetData>
    <row r="1" spans="2:8" s="78" customFormat="1" x14ac:dyDescent="0.2"/>
    <row r="2" spans="2:8" s="78" customFormat="1" x14ac:dyDescent="0.2"/>
    <row r="3" spans="2:8" s="78" customFormat="1" ht="13.5" thickBot="1" x14ac:dyDescent="0.25">
      <c r="B3" s="128" t="s">
        <v>196</v>
      </c>
      <c r="C3" s="129"/>
      <c r="D3" s="129"/>
      <c r="E3" s="129"/>
      <c r="F3" s="129"/>
      <c r="G3" s="129"/>
      <c r="H3" s="129"/>
    </row>
    <row r="4" spans="2:8" s="78" customFormat="1" ht="39" thickBot="1" x14ac:dyDescent="0.25">
      <c r="B4" s="94" t="s">
        <v>197</v>
      </c>
      <c r="C4" s="95" t="s">
        <v>181</v>
      </c>
      <c r="D4" s="96" t="s">
        <v>198</v>
      </c>
      <c r="E4" s="96" t="s">
        <v>252</v>
      </c>
      <c r="F4" s="96" t="s">
        <v>182</v>
      </c>
      <c r="G4" s="112" t="s">
        <v>199</v>
      </c>
      <c r="H4" s="112" t="s">
        <v>253</v>
      </c>
    </row>
    <row r="5" spans="2:8" s="78" customFormat="1" x14ac:dyDescent="0.2">
      <c r="B5" s="89" t="s">
        <v>224</v>
      </c>
      <c r="C5" s="90" t="s">
        <v>225</v>
      </c>
      <c r="D5" s="111">
        <v>34</v>
      </c>
      <c r="E5" s="144">
        <v>408</v>
      </c>
      <c r="F5" s="149">
        <v>5.44</v>
      </c>
      <c r="G5" s="146">
        <f>F5*D5</f>
        <v>184.96</v>
      </c>
      <c r="H5" s="91">
        <f>F5*E5</f>
        <v>2219.52</v>
      </c>
    </row>
    <row r="6" spans="2:8" s="78" customFormat="1" x14ac:dyDescent="0.2">
      <c r="B6" s="87" t="s">
        <v>226</v>
      </c>
      <c r="C6" s="92" t="s">
        <v>183</v>
      </c>
      <c r="D6" s="110">
        <v>9</v>
      </c>
      <c r="E6" s="145">
        <v>108</v>
      </c>
      <c r="F6" s="150">
        <v>7.57</v>
      </c>
      <c r="G6" s="147">
        <f t="shared" ref="G6:G18" si="0">F6*D6</f>
        <v>68.13</v>
      </c>
      <c r="H6" s="86">
        <f t="shared" ref="H6:H18" si="1">F6*E6</f>
        <v>817.56000000000006</v>
      </c>
    </row>
    <row r="7" spans="2:8" s="78" customFormat="1" x14ac:dyDescent="0.2">
      <c r="B7" s="88" t="s">
        <v>227</v>
      </c>
      <c r="C7" s="92" t="s">
        <v>183</v>
      </c>
      <c r="D7" s="110">
        <v>3</v>
      </c>
      <c r="E7" s="145">
        <v>36</v>
      </c>
      <c r="F7" s="150">
        <v>3.01</v>
      </c>
      <c r="G7" s="147">
        <f t="shared" si="0"/>
        <v>9.0299999999999994</v>
      </c>
      <c r="H7" s="86">
        <f t="shared" si="1"/>
        <v>108.35999999999999</v>
      </c>
    </row>
    <row r="8" spans="2:8" s="78" customFormat="1" x14ac:dyDescent="0.2">
      <c r="B8" s="87" t="s">
        <v>228</v>
      </c>
      <c r="C8" s="92" t="s">
        <v>183</v>
      </c>
      <c r="D8" s="110">
        <v>7</v>
      </c>
      <c r="E8" s="145">
        <v>84</v>
      </c>
      <c r="F8" s="150">
        <v>4.63</v>
      </c>
      <c r="G8" s="147">
        <f t="shared" si="0"/>
        <v>32.409999999999997</v>
      </c>
      <c r="H8" s="86">
        <f t="shared" si="1"/>
        <v>388.92</v>
      </c>
    </row>
    <row r="9" spans="2:8" s="78" customFormat="1" x14ac:dyDescent="0.2">
      <c r="B9" s="88" t="s">
        <v>229</v>
      </c>
      <c r="C9" s="92" t="s">
        <v>230</v>
      </c>
      <c r="D9" s="110">
        <v>55</v>
      </c>
      <c r="E9" s="145">
        <v>660</v>
      </c>
      <c r="F9" s="150">
        <v>11.18</v>
      </c>
      <c r="G9" s="147">
        <f t="shared" si="0"/>
        <v>614.9</v>
      </c>
      <c r="H9" s="86">
        <f t="shared" si="1"/>
        <v>7378.8</v>
      </c>
    </row>
    <row r="10" spans="2:8" s="78" customFormat="1" x14ac:dyDescent="0.2">
      <c r="B10" s="87" t="s">
        <v>231</v>
      </c>
      <c r="C10" s="92" t="s">
        <v>183</v>
      </c>
      <c r="D10" s="110">
        <v>3</v>
      </c>
      <c r="E10" s="145">
        <v>36</v>
      </c>
      <c r="F10" s="150">
        <v>8.51</v>
      </c>
      <c r="G10" s="147">
        <f t="shared" si="0"/>
        <v>25.53</v>
      </c>
      <c r="H10" s="86">
        <f t="shared" si="1"/>
        <v>306.36</v>
      </c>
    </row>
    <row r="11" spans="2:8" s="78" customFormat="1" x14ac:dyDescent="0.2">
      <c r="B11" s="87" t="s">
        <v>232</v>
      </c>
      <c r="C11" s="92" t="s">
        <v>233</v>
      </c>
      <c r="D11" s="110">
        <v>209</v>
      </c>
      <c r="E11" s="145">
        <v>2508</v>
      </c>
      <c r="F11" s="150">
        <v>4.13</v>
      </c>
      <c r="G11" s="147">
        <f t="shared" si="0"/>
        <v>863.17</v>
      </c>
      <c r="H11" s="86">
        <f t="shared" si="1"/>
        <v>10358.039999999999</v>
      </c>
    </row>
    <row r="12" spans="2:8" s="78" customFormat="1" x14ac:dyDescent="0.2">
      <c r="B12" s="87" t="s">
        <v>234</v>
      </c>
      <c r="C12" s="92" t="s">
        <v>183</v>
      </c>
      <c r="D12" s="110">
        <v>35</v>
      </c>
      <c r="E12" s="145">
        <v>420</v>
      </c>
      <c r="F12" s="150">
        <v>2.14</v>
      </c>
      <c r="G12" s="147">
        <f t="shared" si="0"/>
        <v>74.900000000000006</v>
      </c>
      <c r="H12" s="86">
        <f t="shared" si="1"/>
        <v>898.80000000000007</v>
      </c>
    </row>
    <row r="13" spans="2:8" s="78" customFormat="1" x14ac:dyDescent="0.2">
      <c r="B13" s="87" t="s">
        <v>235</v>
      </c>
      <c r="C13" s="92" t="s">
        <v>183</v>
      </c>
      <c r="D13" s="110">
        <v>16</v>
      </c>
      <c r="E13" s="145">
        <v>192</v>
      </c>
      <c r="F13" s="150">
        <v>1.59</v>
      </c>
      <c r="G13" s="147">
        <f t="shared" si="0"/>
        <v>25.44</v>
      </c>
      <c r="H13" s="86">
        <f t="shared" si="1"/>
        <v>305.28000000000003</v>
      </c>
    </row>
    <row r="14" spans="2:8" s="78" customFormat="1" ht="25.5" x14ac:dyDescent="0.2">
      <c r="B14" s="87" t="s">
        <v>236</v>
      </c>
      <c r="C14" s="92" t="s">
        <v>237</v>
      </c>
      <c r="D14" s="110">
        <v>5</v>
      </c>
      <c r="E14" s="145">
        <v>60</v>
      </c>
      <c r="F14" s="150">
        <v>2.4700000000000002</v>
      </c>
      <c r="G14" s="147">
        <f t="shared" si="0"/>
        <v>12.350000000000001</v>
      </c>
      <c r="H14" s="86">
        <f t="shared" si="1"/>
        <v>148.20000000000002</v>
      </c>
    </row>
    <row r="15" spans="2:8" s="78" customFormat="1" x14ac:dyDescent="0.2">
      <c r="B15" s="87" t="s">
        <v>238</v>
      </c>
      <c r="C15" s="92" t="s">
        <v>183</v>
      </c>
      <c r="D15" s="110">
        <v>2</v>
      </c>
      <c r="E15" s="145">
        <v>24</v>
      </c>
      <c r="F15" s="150">
        <v>4.2</v>
      </c>
      <c r="G15" s="147">
        <f t="shared" si="0"/>
        <v>8.4</v>
      </c>
      <c r="H15" s="86">
        <f t="shared" si="1"/>
        <v>100.80000000000001</v>
      </c>
    </row>
    <row r="16" spans="2:8" s="78" customFormat="1" x14ac:dyDescent="0.2">
      <c r="B16" s="87" t="s">
        <v>239</v>
      </c>
      <c r="C16" s="92" t="s">
        <v>240</v>
      </c>
      <c r="D16" s="110">
        <v>10</v>
      </c>
      <c r="E16" s="145">
        <v>120</v>
      </c>
      <c r="F16" s="150">
        <v>6.62</v>
      </c>
      <c r="G16" s="147">
        <f t="shared" si="0"/>
        <v>66.2</v>
      </c>
      <c r="H16" s="86">
        <f t="shared" si="1"/>
        <v>794.4</v>
      </c>
    </row>
    <row r="17" spans="2:8" s="78" customFormat="1" x14ac:dyDescent="0.2">
      <c r="B17" s="87" t="s">
        <v>241</v>
      </c>
      <c r="C17" s="92" t="s">
        <v>183</v>
      </c>
      <c r="D17" s="110">
        <v>3</v>
      </c>
      <c r="E17" s="145">
        <v>36</v>
      </c>
      <c r="F17" s="150">
        <v>3.07</v>
      </c>
      <c r="G17" s="147">
        <f t="shared" si="0"/>
        <v>9.2099999999999991</v>
      </c>
      <c r="H17" s="86">
        <f t="shared" si="1"/>
        <v>110.52</v>
      </c>
    </row>
    <row r="18" spans="2:8" s="78" customFormat="1" ht="13.5" thickBot="1" x14ac:dyDescent="0.25">
      <c r="B18" s="152" t="s">
        <v>242</v>
      </c>
      <c r="C18" s="153" t="s">
        <v>243</v>
      </c>
      <c r="D18" s="154">
        <v>5</v>
      </c>
      <c r="E18" s="155">
        <v>60</v>
      </c>
      <c r="F18" s="151">
        <v>4.9800000000000004</v>
      </c>
      <c r="G18" s="148">
        <f t="shared" si="0"/>
        <v>24.900000000000002</v>
      </c>
      <c r="H18" s="93">
        <f t="shared" si="1"/>
        <v>298.8</v>
      </c>
    </row>
    <row r="19" spans="2:8" ht="13.5" thickBot="1" x14ac:dyDescent="0.25">
      <c r="B19" s="130" t="s">
        <v>200</v>
      </c>
      <c r="C19" s="131"/>
      <c r="D19" s="131"/>
      <c r="E19" s="131"/>
      <c r="F19" s="156"/>
      <c r="G19" s="142">
        <f>SUM(G5:G18)</f>
        <v>2019.5300000000002</v>
      </c>
      <c r="H19" s="143"/>
    </row>
    <row r="20" spans="2:8" ht="13.5" thickBot="1" x14ac:dyDescent="0.25">
      <c r="B20" s="130" t="s">
        <v>204</v>
      </c>
      <c r="C20" s="131"/>
      <c r="D20" s="131"/>
      <c r="E20" s="131"/>
      <c r="F20" s="131"/>
      <c r="G20" s="142">
        <f>G19*12</f>
        <v>24234.36</v>
      </c>
      <c r="H20" s="143"/>
    </row>
    <row r="21" spans="2:8" x14ac:dyDescent="0.2">
      <c r="B21" s="84"/>
      <c r="C21" s="84"/>
      <c r="D21" s="84"/>
      <c r="E21" s="84"/>
      <c r="F21" s="84"/>
      <c r="G21" s="84"/>
      <c r="H21" s="84"/>
    </row>
  </sheetData>
  <pageMargins left="0.511811024" right="0.511811024" top="0.78740157499999996" bottom="0.78740157499999996" header="0.31496062000000002" footer="0.3149606200000000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Quadro Resumo</vt:lpstr>
      <vt:lpstr>Copeiro</vt:lpstr>
      <vt:lpstr>Uniformes</vt:lpstr>
      <vt:lpstr>Utensilios</vt:lpstr>
      <vt:lpstr>Materiais</vt:lpstr>
      <vt:lpstr>Copeiro!Area_de_impressao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Bruno Silva Fiorillo</cp:lastModifiedBy>
  <cp:lastPrinted>2019-11-04T15:02:54Z</cp:lastPrinted>
  <dcterms:created xsi:type="dcterms:W3CDTF">2010-12-08T17:56:29Z</dcterms:created>
  <dcterms:modified xsi:type="dcterms:W3CDTF">2019-11-27T12:54:14Z</dcterms:modified>
</cp:coreProperties>
</file>