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3.xml" ContentType="application/vnd.ms-excel.threadedcomments+xml"/>
  <Override PartName="/xl/comments6.xml" ContentType="application/vnd.openxmlformats-officedocument.spreadsheetml.comments+xml"/>
  <Override PartName="/xl/threadedComments/threadedComment4.xml" ContentType="application/vnd.ms-excel.threadedcomments+xml"/>
  <Override PartName="/xl/comments7.xml" ContentType="application/vnd.openxmlformats-officedocument.spreadsheetml.comments+xml"/>
  <Override PartName="/xl/threadedComments/threadedComment5.xml" ContentType="application/vnd.ms-excel.threadedcomments+xml"/>
  <Override PartName="/xl/comments8.xml" ContentType="application/vnd.openxmlformats-officedocument.spreadsheetml.comments+xml"/>
  <Override PartName="/xl/threadedComments/threadedComment6.xml" ContentType="application/vnd.ms-excel.threaded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anaaguas.sharepoint.com/sites/SRB101/Documentos Compartilhados/CPISF/Tarifa 2025/Minuta NT e Resolução/Processo SEI/"/>
    </mc:Choice>
  </mc:AlternateContent>
  <xr:revisionPtr revIDLastSave="99" documentId="8_{55C39877-A03F-4E0C-901A-46CFE031F218}" xr6:coauthVersionLast="47" xr6:coauthVersionMax="47" xr10:uidLastSave="{7596F325-AA60-42F8-B0DC-13732BA7ADF9}"/>
  <workbookProtection workbookAlgorithmName="SHA-512" workbookHashValue="997gqg8n1FyvrKHqKs7+I/dcv9g4OF5XeVsA23FvzqxcI6JH5I/R+3rgCuCfuOLEhi4F1V1PgcrVIpnSUOqAsQ==" workbookSaltValue="iOByt0A5uq2U7OF+MJe2xw==" workbookSpinCount="100000" lockStructure="1"/>
  <bookViews>
    <workbookView xWindow="-120" yWindow="-120" windowWidth="29040" windowHeight="15720" tabRatio="924" activeTab="1" xr2:uid="{00000000-000D-0000-FFFF-FFFF00000000}"/>
  </bookViews>
  <sheets>
    <sheet name="custos unitários para atualizar" sheetId="60" r:id="rId1"/>
    <sheet name="Tarifa" sheetId="18" r:id="rId2"/>
    <sheet name="Anexo 1A_CF_ Energia Elétrica" sheetId="58" r:id="rId3"/>
    <sheet name="Anexo1B-CV Energia Elétrica" sheetId="63" r:id="rId4"/>
    <sheet name="Anexo 2_CF_O&amp;M" sheetId="26" r:id="rId5"/>
    <sheet name="Anexo 3_Custos Ambientais" sheetId="44" r:id="rId6"/>
    <sheet name="Anexo 4_CF_FRA" sheetId="48" r:id="rId7"/>
    <sheet name="Anexo 5_Desp Adm" sheetId="54" r:id="rId8"/>
    <sheet name="Anexo 6_Tx Adm" sheetId="8" r:id="rId9"/>
    <sheet name="mão de obra" sheetId="30" state="hidden" r:id="rId10"/>
    <sheet name="Veículos" sheetId="27" state="hidden" r:id="rId11"/>
    <sheet name="Equipamentos" sheetId="31" state="hidden" r:id="rId12"/>
    <sheet name="amoxarifado" sheetId="28" state="hidden" r:id="rId13"/>
    <sheet name="Ferramentas" sheetId="29" state="hidden" r:id="rId14"/>
    <sheet name="Materiais de consumo" sheetId="32" state="hidden" r:id="rId15"/>
    <sheet name="incendio" sheetId="34" state="hidden" r:id="rId16"/>
    <sheet name="automação" sheetId="35" state="hidden" r:id="rId17"/>
    <sheet name="helicoptero" sheetId="36" state="hidden" r:id="rId18"/>
    <sheet name="drone" sheetId="37" state="hidden" r:id="rId19"/>
    <sheet name="geomembranas" sheetId="38" state="hidden" r:id="rId20"/>
    <sheet name="linhas transmissão" sheetId="39" state="hidden" r:id="rId21"/>
    <sheet name="subestações" sheetId="42" state="hidden" r:id="rId22"/>
    <sheet name="baixa tensão" sheetId="43" state="hidden" r:id="rId23"/>
    <sheet name="materiais sobressalentes" sheetId="41" state="hidden" r:id="rId24"/>
    <sheet name="aferição medidores de vazão" sheetId="40" state="hidden" r:id="rId25"/>
    <sheet name="apoio rio Piranhas" sheetId="25" state="hidden" r:id="rId26"/>
    <sheet name="Depreciação" sheetId="56" state="hidden" r:id="rId27"/>
    <sheet name="Detalhe Custos Ambientais" sheetId="45" state="hidden" r:id="rId28"/>
    <sheet name="Custos Administrativos - Materi" sheetId="51" state="hidden" r:id="rId29"/>
    <sheet name="Impostos" sheetId="64" state="hidden" r:id="rId30"/>
    <sheet name="Benefícios" sheetId="65" state="hidden" r:id="rId31"/>
    <sheet name="Execução  Orçamentário " sheetId="66" state="hidden" r:id="rId32"/>
    <sheet name="Auditoria Contabilidade." sheetId="67" state="hidden" r:id="rId33"/>
    <sheet name="TABELA SALARIAL CODEVASF" sheetId="68" state="hidden" r:id="rId34"/>
    <sheet name="SALÁRIOS E ENCARGOS AJUSTADOS" sheetId="69" state="hidden" r:id="rId35"/>
  </sheets>
  <externalReferences>
    <externalReference r:id="rId36"/>
    <externalReference r:id="rId37"/>
    <externalReference r:id="rId3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8" l="1"/>
  <c r="C21" i="18"/>
  <c r="C20" i="18"/>
  <c r="C19" i="18"/>
  <c r="O9" i="30"/>
  <c r="R9" i="30" s="1"/>
  <c r="D29" i="30" l="1"/>
  <c r="J29" i="30" s="1"/>
  <c r="D27" i="30"/>
  <c r="J27" i="30" s="1"/>
  <c r="H6" i="18"/>
  <c r="D30" i="30"/>
  <c r="J30" i="30" s="1"/>
  <c r="D28" i="30"/>
  <c r="J28" i="30" s="1"/>
  <c r="D26" i="30"/>
  <c r="J26" i="30" s="1"/>
  <c r="D25" i="30"/>
  <c r="J25" i="30" s="1"/>
  <c r="D24" i="30"/>
  <c r="J24" i="30" s="1"/>
  <c r="D23" i="30"/>
  <c r="J23" i="30" s="1"/>
  <c r="D22" i="30"/>
  <c r="J22" i="30" s="1"/>
  <c r="D14" i="30"/>
  <c r="D7" i="30"/>
  <c r="F7" i="30" s="1"/>
  <c r="C21" i="26"/>
  <c r="C20" i="26"/>
  <c r="C19" i="26"/>
  <c r="J10" i="31"/>
  <c r="J8" i="31"/>
  <c r="J9" i="31"/>
  <c r="J11" i="31"/>
  <c r="J12" i="31"/>
  <c r="J13" i="31"/>
  <c r="J14" i="31"/>
  <c r="J15" i="31"/>
  <c r="J16" i="31"/>
  <c r="J17" i="31"/>
  <c r="J18" i="31"/>
  <c r="J19" i="31"/>
  <c r="J20" i="31"/>
  <c r="J21" i="31"/>
  <c r="J22" i="31"/>
  <c r="J23" i="31"/>
  <c r="J57" i="31" s="1"/>
  <c r="C9" i="26" s="1"/>
  <c r="J24" i="31"/>
  <c r="J25" i="31"/>
  <c r="J26" i="31"/>
  <c r="J27" i="31"/>
  <c r="J28" i="31"/>
  <c r="J29" i="31"/>
  <c r="J30" i="31"/>
  <c r="J31" i="31"/>
  <c r="J32" i="31"/>
  <c r="J33" i="31"/>
  <c r="J34" i="31"/>
  <c r="J35" i="31"/>
  <c r="J36" i="31"/>
  <c r="J37" i="31"/>
  <c r="J38" i="31"/>
  <c r="J39" i="31"/>
  <c r="J40" i="31"/>
  <c r="J41" i="31"/>
  <c r="J42" i="31"/>
  <c r="J43" i="31"/>
  <c r="J44" i="31"/>
  <c r="J45" i="31"/>
  <c r="J46" i="31"/>
  <c r="J47" i="31"/>
  <c r="J48" i="31"/>
  <c r="J49" i="31"/>
  <c r="J50" i="31"/>
  <c r="J51" i="31"/>
  <c r="J52" i="31"/>
  <c r="J53" i="31"/>
  <c r="J54" i="31"/>
  <c r="J55" i="31"/>
  <c r="J56" i="31"/>
  <c r="J6" i="31"/>
  <c r="G18" i="31"/>
  <c r="G16" i="31"/>
  <c r="G15" i="31"/>
  <c r="G12" i="31"/>
  <c r="G11" i="31"/>
  <c r="G10" i="31"/>
  <c r="G9" i="31"/>
  <c r="E7" i="30" l="1"/>
  <c r="H7" i="30"/>
  <c r="E14" i="30"/>
  <c r="F14" i="30"/>
  <c r="H14" i="30"/>
  <c r="J7" i="30" l="1"/>
  <c r="J14" i="30"/>
  <c r="G8" i="31" l="1"/>
  <c r="F7" i="31"/>
  <c r="G7" i="31" s="1"/>
  <c r="J7" i="31" s="1"/>
  <c r="N17" i="30" l="1"/>
  <c r="O17" i="30"/>
  <c r="H7" i="63"/>
  <c r="E7" i="63"/>
  <c r="C16" i="30" l="1"/>
  <c r="C17" i="30"/>
  <c r="C18" i="30"/>
  <c r="C15" i="30"/>
  <c r="C13" i="30"/>
  <c r="C11" i="30"/>
  <c r="C17" i="27"/>
  <c r="F18" i="27"/>
  <c r="C10" i="27"/>
  <c r="E9" i="27"/>
  <c r="F9" i="27"/>
  <c r="E10" i="27"/>
  <c r="F10" i="27"/>
  <c r="E11" i="27"/>
  <c r="F11" i="27"/>
  <c r="E12" i="27"/>
  <c r="F12" i="27"/>
  <c r="E13" i="27"/>
  <c r="F13" i="27"/>
  <c r="D14" i="27"/>
  <c r="E14" i="27"/>
  <c r="F14" i="27"/>
  <c r="F16" i="27"/>
  <c r="C18" i="58"/>
  <c r="E18" i="58"/>
  <c r="D18" i="58"/>
  <c r="D9" i="18"/>
  <c r="D10" i="18"/>
  <c r="D73" i="69"/>
  <c r="G150" i="68"/>
  <c r="G138" i="68"/>
  <c r="D53" i="69"/>
  <c r="G149" i="68"/>
  <c r="D15" i="69"/>
  <c r="D48" i="69"/>
  <c r="D55" i="69"/>
  <c r="D66" i="69"/>
  <c r="B18" i="54"/>
  <c r="B16" i="54"/>
  <c r="B14" i="54"/>
  <c r="B11" i="54"/>
  <c r="D64" i="69"/>
  <c r="G148" i="68"/>
  <c r="D43" i="69"/>
  <c r="D42" i="69"/>
  <c r="D41" i="69"/>
  <c r="G147" i="68"/>
  <c r="G136" i="68"/>
  <c r="G135" i="68"/>
  <c r="G137" i="68"/>
  <c r="D40" i="69"/>
  <c r="D39" i="69"/>
  <c r="D38" i="69"/>
  <c r="D37" i="69"/>
  <c r="D36" i="69"/>
  <c r="D35" i="69"/>
  <c r="D34" i="69"/>
  <c r="D33" i="69"/>
  <c r="D32" i="69"/>
  <c r="D31" i="69"/>
  <c r="D30" i="69"/>
  <c r="D29" i="69"/>
  <c r="D28" i="69"/>
  <c r="D27" i="69"/>
  <c r="D26" i="69"/>
  <c r="D25" i="69"/>
  <c r="D24" i="69"/>
  <c r="D23" i="69"/>
  <c r="D22" i="69"/>
  <c r="D21" i="69"/>
  <c r="D20" i="69"/>
  <c r="D19" i="69"/>
  <c r="D18" i="69"/>
  <c r="D17" i="69"/>
  <c r="D16" i="69"/>
  <c r="D13" i="69"/>
  <c r="D12" i="69"/>
  <c r="D11" i="69"/>
  <c r="D44" i="69"/>
  <c r="D46" i="69"/>
  <c r="D52" i="69"/>
  <c r="D51" i="69"/>
  <c r="D50" i="69"/>
  <c r="D74" i="69"/>
  <c r="D83" i="69"/>
  <c r="D79" i="69"/>
  <c r="D70" i="69"/>
  <c r="D69" i="69"/>
  <c r="D61" i="69"/>
  <c r="D60" i="69"/>
  <c r="D59" i="69"/>
  <c r="D58" i="69"/>
  <c r="G143" i="68"/>
  <c r="G141" i="68"/>
  <c r="G142" i="68"/>
  <c r="G145" i="68"/>
  <c r="G139" i="68"/>
  <c r="G134" i="68"/>
  <c r="G133" i="68"/>
  <c r="G132" i="68"/>
  <c r="D57" i="69"/>
  <c r="D72" i="69"/>
  <c r="D82" i="69"/>
  <c r="D81" i="69"/>
  <c r="D80" i="69"/>
  <c r="D78" i="69"/>
  <c r="D77" i="69"/>
  <c r="D71" i="69"/>
  <c r="D68" i="69"/>
  <c r="D67" i="69"/>
  <c r="D63" i="69"/>
  <c r="D56" i="69"/>
  <c r="D45" i="69"/>
  <c r="D49" i="69"/>
  <c r="D10" i="69"/>
  <c r="D9" i="69"/>
  <c r="D8" i="69"/>
  <c r="G144" i="68"/>
  <c r="G146" i="68"/>
  <c r="G140" i="68"/>
  <c r="B27" i="60"/>
  <c r="B14" i="60"/>
  <c r="C13" i="37"/>
  <c r="C12" i="37"/>
  <c r="C6" i="37"/>
  <c r="C8" i="37" s="1"/>
  <c r="C5" i="37"/>
  <c r="C7" i="37" s="1"/>
  <c r="C14" i="37" s="1"/>
  <c r="C16" i="37" s="1"/>
  <c r="C3" i="37"/>
  <c r="C15" i="36"/>
  <c r="C14" i="36"/>
  <c r="C10" i="36"/>
  <c r="C17" i="36" s="1"/>
  <c r="C19" i="36" s="1"/>
  <c r="C9" i="36"/>
  <c r="C16" i="36" s="1"/>
  <c r="C18" i="36" s="1"/>
  <c r="C8" i="36"/>
  <c r="C7" i="36"/>
  <c r="C5" i="36"/>
  <c r="C31" i="30" l="1"/>
  <c r="O16" i="18"/>
  <c r="C15" i="37"/>
  <c r="C17" i="37" s="1"/>
  <c r="L13" i="37" l="1"/>
  <c r="L12" i="37"/>
  <c r="L7" i="37"/>
  <c r="L14" i="37" s="1"/>
  <c r="L16" i="37" s="1"/>
  <c r="L6" i="37"/>
  <c r="L8" i="37" s="1"/>
  <c r="L5" i="37"/>
  <c r="L3" i="37"/>
  <c r="L15" i="37" s="1"/>
  <c r="L17" i="37" s="1"/>
  <c r="K16" i="36"/>
  <c r="K18" i="36" s="1"/>
  <c r="K15" i="36"/>
  <c r="K14" i="36"/>
  <c r="K10" i="36"/>
  <c r="K17" i="36" s="1"/>
  <c r="K19" i="36" s="1"/>
  <c r="K9" i="36"/>
  <c r="K8" i="36"/>
  <c r="K7" i="36"/>
  <c r="K5" i="36"/>
  <c r="F11" i="25" l="1"/>
  <c r="P20" i="65"/>
  <c r="P50" i="66"/>
  <c r="H22" i="60"/>
  <c r="F22" i="60"/>
  <c r="F80" i="51"/>
  <c r="F12" i="51"/>
  <c r="G12" i="65"/>
  <c r="P25" i="65" l="1"/>
  <c r="E8" i="65" s="1"/>
  <c r="H8" i="65" s="1"/>
  <c r="V9" i="51" l="1"/>
  <c r="I39" i="44"/>
  <c r="I38" i="44"/>
  <c r="P12" i="29" l="1"/>
  <c r="G7" i="34" l="1"/>
  <c r="P31" i="66" l="1"/>
  <c r="G83" i="69" l="1"/>
  <c r="H83" i="69" s="1"/>
  <c r="I83" i="69" s="1"/>
  <c r="G82" i="69"/>
  <c r="H82" i="69" s="1"/>
  <c r="I82" i="69" s="1"/>
  <c r="G81" i="69"/>
  <c r="H81" i="69" s="1"/>
  <c r="I81" i="69" s="1"/>
  <c r="G80" i="69"/>
  <c r="H80" i="69" s="1"/>
  <c r="I80" i="69" s="1"/>
  <c r="G79" i="69"/>
  <c r="H79" i="69" s="1"/>
  <c r="I79" i="69" s="1"/>
  <c r="G78" i="69"/>
  <c r="H78" i="69" s="1"/>
  <c r="I78" i="69" s="1"/>
  <c r="G77" i="69"/>
  <c r="H77" i="69" s="1"/>
  <c r="I77" i="69" s="1"/>
  <c r="G76" i="69"/>
  <c r="H76" i="69" s="1"/>
  <c r="I76" i="69" s="1"/>
  <c r="G75" i="69"/>
  <c r="H75" i="69" s="1"/>
  <c r="I75" i="69" s="1"/>
  <c r="G74" i="69"/>
  <c r="H74" i="69" s="1"/>
  <c r="I74" i="69" s="1"/>
  <c r="G73" i="69"/>
  <c r="H73" i="69" s="1"/>
  <c r="I73" i="69" s="1"/>
  <c r="G72" i="69"/>
  <c r="H72" i="69" s="1"/>
  <c r="I72" i="69" s="1"/>
  <c r="G71" i="69"/>
  <c r="H71" i="69" s="1"/>
  <c r="I71" i="69" s="1"/>
  <c r="G70" i="69"/>
  <c r="H70" i="69" s="1"/>
  <c r="I70" i="69" s="1"/>
  <c r="G69" i="69"/>
  <c r="H69" i="69" s="1"/>
  <c r="I69" i="69" s="1"/>
  <c r="G68" i="69"/>
  <c r="H68" i="69" s="1"/>
  <c r="I68" i="69" s="1"/>
  <c r="G67" i="69"/>
  <c r="H67" i="69" s="1"/>
  <c r="I67" i="69" s="1"/>
  <c r="G66" i="69"/>
  <c r="H66" i="69" s="1"/>
  <c r="I66" i="69" s="1"/>
  <c r="G64" i="69"/>
  <c r="H64" i="69" s="1"/>
  <c r="I64" i="69" s="1"/>
  <c r="G63" i="69"/>
  <c r="H63" i="69" s="1"/>
  <c r="I63" i="69" s="1"/>
  <c r="G61" i="69"/>
  <c r="H61" i="69" s="1"/>
  <c r="I61" i="69" s="1"/>
  <c r="G60" i="69"/>
  <c r="H60" i="69" s="1"/>
  <c r="I60" i="69" s="1"/>
  <c r="G59" i="69"/>
  <c r="H59" i="69" s="1"/>
  <c r="I59" i="69" s="1"/>
  <c r="G58" i="69"/>
  <c r="H58" i="69" s="1"/>
  <c r="I58" i="69" s="1"/>
  <c r="G57" i="69"/>
  <c r="H57" i="69" s="1"/>
  <c r="I57" i="69" s="1"/>
  <c r="G56" i="69"/>
  <c r="H56" i="69" s="1"/>
  <c r="I56" i="69" s="1"/>
  <c r="G55" i="69"/>
  <c r="H55" i="69" s="1"/>
  <c r="I55" i="69" s="1"/>
  <c r="G53" i="69"/>
  <c r="H53" i="69" s="1"/>
  <c r="I53" i="69" s="1"/>
  <c r="G52" i="69"/>
  <c r="H52" i="69" s="1"/>
  <c r="I52" i="69" s="1"/>
  <c r="G51" i="69"/>
  <c r="H51" i="69" s="1"/>
  <c r="I51" i="69" s="1"/>
  <c r="G50" i="69"/>
  <c r="H50" i="69" s="1"/>
  <c r="I50" i="69" s="1"/>
  <c r="G49" i="69"/>
  <c r="H49" i="69" s="1"/>
  <c r="I49" i="69" s="1"/>
  <c r="G48" i="69"/>
  <c r="H48" i="69" s="1"/>
  <c r="I48" i="69" s="1"/>
  <c r="G46" i="69"/>
  <c r="H46" i="69" s="1"/>
  <c r="I46" i="69" s="1"/>
  <c r="G45" i="69"/>
  <c r="H45" i="69" s="1"/>
  <c r="I45" i="69" s="1"/>
  <c r="G44" i="69"/>
  <c r="H44" i="69" s="1"/>
  <c r="I44" i="69" s="1"/>
  <c r="G43" i="69"/>
  <c r="H43" i="69" s="1"/>
  <c r="I43" i="69" s="1"/>
  <c r="G42" i="69"/>
  <c r="H42" i="69" s="1"/>
  <c r="I42" i="69" s="1"/>
  <c r="G41" i="69"/>
  <c r="H41" i="69" s="1"/>
  <c r="I41" i="69" s="1"/>
  <c r="G40" i="69"/>
  <c r="H40" i="69" s="1"/>
  <c r="I40" i="69" s="1"/>
  <c r="G39" i="69"/>
  <c r="H39" i="69" s="1"/>
  <c r="I39" i="69" s="1"/>
  <c r="G38" i="69"/>
  <c r="H38" i="69" s="1"/>
  <c r="I38" i="69" s="1"/>
  <c r="G37" i="69"/>
  <c r="H37" i="69" s="1"/>
  <c r="I37" i="69" s="1"/>
  <c r="G36" i="69"/>
  <c r="H36" i="69" s="1"/>
  <c r="I36" i="69" s="1"/>
  <c r="G35" i="69"/>
  <c r="H35" i="69" s="1"/>
  <c r="I35" i="69" s="1"/>
  <c r="G34" i="69"/>
  <c r="H34" i="69" s="1"/>
  <c r="I34" i="69" s="1"/>
  <c r="G33" i="69"/>
  <c r="H33" i="69" s="1"/>
  <c r="I33" i="69" s="1"/>
  <c r="G32" i="69"/>
  <c r="H32" i="69" s="1"/>
  <c r="I32" i="69" s="1"/>
  <c r="G31" i="69"/>
  <c r="H31" i="69" s="1"/>
  <c r="I31" i="69" s="1"/>
  <c r="G30" i="69"/>
  <c r="H30" i="69" s="1"/>
  <c r="I30" i="69" s="1"/>
  <c r="G29" i="69"/>
  <c r="H29" i="69" s="1"/>
  <c r="I29" i="69" s="1"/>
  <c r="G28" i="69"/>
  <c r="H28" i="69" s="1"/>
  <c r="I28" i="69" s="1"/>
  <c r="G27" i="69"/>
  <c r="H27" i="69" s="1"/>
  <c r="I27" i="69" s="1"/>
  <c r="G26" i="69"/>
  <c r="H26" i="69" s="1"/>
  <c r="I26" i="69" s="1"/>
  <c r="G25" i="69"/>
  <c r="H25" i="69" s="1"/>
  <c r="I25" i="69" s="1"/>
  <c r="G24" i="69"/>
  <c r="H24" i="69" s="1"/>
  <c r="I24" i="69" s="1"/>
  <c r="G23" i="69"/>
  <c r="H23" i="69" s="1"/>
  <c r="I23" i="69" s="1"/>
  <c r="G22" i="69"/>
  <c r="H22" i="69" s="1"/>
  <c r="I22" i="69" s="1"/>
  <c r="G21" i="69"/>
  <c r="H21" i="69" s="1"/>
  <c r="I21" i="69" s="1"/>
  <c r="G20" i="69"/>
  <c r="H20" i="69" s="1"/>
  <c r="I20" i="69" s="1"/>
  <c r="G19" i="69"/>
  <c r="H19" i="69" s="1"/>
  <c r="I19" i="69" s="1"/>
  <c r="G18" i="69"/>
  <c r="H18" i="69" s="1"/>
  <c r="I18" i="69" s="1"/>
  <c r="G17" i="69"/>
  <c r="H17" i="69" s="1"/>
  <c r="I17" i="69" s="1"/>
  <c r="G16" i="69"/>
  <c r="H16" i="69" s="1"/>
  <c r="I16" i="69" s="1"/>
  <c r="G15" i="69"/>
  <c r="H15" i="69" s="1"/>
  <c r="I15" i="69" s="1"/>
  <c r="G13" i="69"/>
  <c r="H13" i="69" s="1"/>
  <c r="I13" i="69" s="1"/>
  <c r="G12" i="69"/>
  <c r="H12" i="69" s="1"/>
  <c r="I12" i="69" s="1"/>
  <c r="G11" i="69"/>
  <c r="H11" i="69" s="1"/>
  <c r="I11" i="69" s="1"/>
  <c r="G10" i="69"/>
  <c r="H10" i="69" s="1"/>
  <c r="I10" i="69" s="1"/>
  <c r="G9" i="69"/>
  <c r="H9" i="69" s="1"/>
  <c r="I9" i="69" s="1"/>
  <c r="F8" i="69"/>
  <c r="G8" i="69" s="1"/>
  <c r="H8" i="69" s="1"/>
  <c r="I8" i="69" s="1"/>
  <c r="P49" i="66"/>
  <c r="P48" i="66"/>
  <c r="P47" i="66"/>
  <c r="P41" i="66"/>
  <c r="P40" i="66"/>
  <c r="P39" i="66"/>
  <c r="P38" i="66"/>
  <c r="P32" i="66"/>
  <c r="P25" i="66"/>
  <c r="P24" i="66"/>
  <c r="F9" i="51" s="1"/>
  <c r="B9" i="54" s="1"/>
  <c r="P17" i="66"/>
  <c r="F10" i="51" s="1"/>
  <c r="B12" i="54" s="1"/>
  <c r="P12" i="66"/>
  <c r="P11" i="66"/>
  <c r="P10" i="66"/>
  <c r="P9" i="66"/>
  <c r="P24" i="65"/>
  <c r="E9" i="65" s="1"/>
  <c r="H9" i="65" s="1"/>
  <c r="P23" i="65"/>
  <c r="E12" i="65" s="1"/>
  <c r="H12" i="65" s="1"/>
  <c r="P22" i="65"/>
  <c r="P21" i="65"/>
  <c r="E10" i="65" s="1"/>
  <c r="H10" i="65" s="1"/>
  <c r="E11" i="65"/>
  <c r="H11" i="65" s="1"/>
  <c r="H15" i="65"/>
  <c r="B6" i="54" s="1"/>
  <c r="P13" i="66" l="1"/>
  <c r="P26" i="66"/>
  <c r="P33" i="66"/>
  <c r="F8" i="51" s="1"/>
  <c r="B8" i="54" s="1"/>
  <c r="P52" i="66"/>
  <c r="F13" i="51" s="1"/>
  <c r="B17" i="54" s="1"/>
  <c r="P42" i="66"/>
  <c r="F11" i="51" s="1"/>
  <c r="B15" i="54" s="1"/>
  <c r="H84" i="69"/>
  <c r="I84" i="69"/>
  <c r="F5" i="51" l="1"/>
  <c r="B10" i="54" s="1"/>
  <c r="B5" i="54"/>
  <c r="F4" i="51"/>
  <c r="B13" i="54" s="1"/>
  <c r="O6" i="18" l="1"/>
  <c r="M16" i="18" s="1"/>
  <c r="O7" i="18"/>
  <c r="O17" i="18" s="1"/>
  <c r="O8" i="18"/>
  <c r="O9" i="18"/>
  <c r="M10" i="18"/>
  <c r="N10" i="18"/>
  <c r="O10" i="18" l="1"/>
  <c r="D15" i="63" l="1"/>
  <c r="J15" i="63" s="1"/>
  <c r="I15" i="63"/>
  <c r="M15" i="63"/>
  <c r="I16" i="63"/>
  <c r="J16" i="63"/>
  <c r="F16" i="63" s="1"/>
  <c r="M16" i="63"/>
  <c r="N16" i="63" s="1"/>
  <c r="O16" i="63" s="1"/>
  <c r="I17" i="63"/>
  <c r="J17" i="63"/>
  <c r="F17" i="63" s="1"/>
  <c r="M17" i="63"/>
  <c r="N17" i="63" s="1"/>
  <c r="O17" i="63" s="1"/>
  <c r="C18" i="63"/>
  <c r="E18" i="63"/>
  <c r="D20" i="63"/>
  <c r="J20" i="63" s="1"/>
  <c r="I20" i="63"/>
  <c r="M20" i="63"/>
  <c r="D21" i="63"/>
  <c r="J21" i="63" s="1"/>
  <c r="I21" i="63"/>
  <c r="M21" i="63"/>
  <c r="I22" i="63"/>
  <c r="J22" i="63"/>
  <c r="F22" i="63" s="1"/>
  <c r="M22" i="63"/>
  <c r="N22" i="63" s="1"/>
  <c r="O22" i="63" s="1"/>
  <c r="I23" i="63"/>
  <c r="J23" i="63"/>
  <c r="F23" i="63" s="1"/>
  <c r="M23" i="63"/>
  <c r="N23" i="63" s="1"/>
  <c r="O23" i="63" s="1"/>
  <c r="I24" i="63"/>
  <c r="J24" i="63"/>
  <c r="F24" i="63" s="1"/>
  <c r="M24" i="63"/>
  <c r="N24" i="63" s="1"/>
  <c r="O24" i="63" s="1"/>
  <c r="I25" i="63"/>
  <c r="J25" i="63"/>
  <c r="F25" i="63" s="1"/>
  <c r="M25" i="63"/>
  <c r="N25" i="63" s="1"/>
  <c r="O25" i="63" s="1"/>
  <c r="C26" i="63"/>
  <c r="E26" i="63"/>
  <c r="F26" i="63" s="1"/>
  <c r="E7" i="58"/>
  <c r="D7" i="58"/>
  <c r="C7" i="58"/>
  <c r="B7" i="58"/>
  <c r="F4" i="8"/>
  <c r="F5" i="8" s="1"/>
  <c r="F18" i="63" l="1"/>
  <c r="O18" i="63"/>
  <c r="N20" i="63"/>
  <c r="O20" i="63" s="1"/>
  <c r="E19" i="63"/>
  <c r="N21" i="63"/>
  <c r="O21" i="63" s="1"/>
  <c r="E27" i="63"/>
  <c r="O26" i="63"/>
  <c r="N15" i="63"/>
  <c r="O15" i="63" s="1"/>
  <c r="F15" i="63"/>
  <c r="F19" i="63" s="1"/>
  <c r="F21" i="63"/>
  <c r="F20" i="63"/>
  <c r="K15" i="63" l="1"/>
  <c r="K21" i="63"/>
  <c r="K24" i="63"/>
  <c r="K17" i="63"/>
  <c r="K22" i="63"/>
  <c r="K20" i="63"/>
  <c r="K25" i="63"/>
  <c r="K23" i="63"/>
  <c r="K16" i="63"/>
  <c r="F27" i="63"/>
  <c r="O27" i="63"/>
  <c r="O28" i="63" l="1"/>
  <c r="A7" i="63" s="1"/>
  <c r="C7" i="63" s="1"/>
  <c r="E4" i="8"/>
  <c r="G4" i="8" s="1"/>
  <c r="J7" i="63" l="1"/>
  <c r="I7" i="63"/>
  <c r="F7" i="63"/>
  <c r="C8" i="63"/>
  <c r="E5" i="8"/>
  <c r="G7" i="63" l="1"/>
  <c r="K7" i="63" s="1"/>
  <c r="D12" i="18"/>
  <c r="D11" i="18"/>
  <c r="C13" i="18"/>
  <c r="H16" i="18" l="1"/>
  <c r="F8" i="63"/>
  <c r="O19" i="18"/>
  <c r="M19" i="18"/>
  <c r="O18" i="18"/>
  <c r="M18" i="18"/>
  <c r="F14" i="51"/>
  <c r="B7" i="54" s="1"/>
  <c r="B19" i="54" s="1"/>
  <c r="B21" i="54" s="1"/>
  <c r="B19" i="58" l="1"/>
  <c r="H30" i="44"/>
  <c r="H28" i="44"/>
  <c r="H26" i="44"/>
  <c r="H48" i="44"/>
  <c r="H44" i="44"/>
  <c r="H43" i="44"/>
  <c r="H37" i="44"/>
  <c r="I37" i="44" s="1"/>
  <c r="H29" i="44"/>
  <c r="H27" i="44"/>
  <c r="H25" i="44"/>
  <c r="G4" i="48"/>
  <c r="I24" i="56"/>
  <c r="I65" i="56"/>
  <c r="G25" i="25"/>
  <c r="G13" i="25"/>
  <c r="C8" i="40"/>
  <c r="F7" i="43"/>
  <c r="G11" i="42"/>
  <c r="F9" i="39"/>
  <c r="H18" i="37"/>
  <c r="H21" i="36"/>
  <c r="H5" i="35"/>
  <c r="D5" i="32"/>
  <c r="H7" i="29"/>
  <c r="D7" i="29" s="1"/>
  <c r="D5" i="28"/>
  <c r="C58" i="31"/>
  <c r="C7" i="38"/>
  <c r="C6" i="38"/>
  <c r="C34" i="25"/>
  <c r="N24" i="30"/>
  <c r="N31" i="30"/>
  <c r="D9" i="30"/>
  <c r="N23" i="30"/>
  <c r="N22" i="30"/>
  <c r="O7" i="30"/>
  <c r="O8" i="30"/>
  <c r="O10" i="30"/>
  <c r="O11" i="30"/>
  <c r="O6" i="30"/>
  <c r="D20" i="30"/>
  <c r="D19" i="30"/>
  <c r="D21" i="30"/>
  <c r="D12" i="30"/>
  <c r="D10" i="30"/>
  <c r="D6" i="30"/>
  <c r="D13" i="30"/>
  <c r="D11" i="30"/>
  <c r="D8" i="30"/>
  <c r="D5" i="30"/>
  <c r="D4" i="30"/>
  <c r="D16" i="30"/>
  <c r="D17" i="30"/>
  <c r="D18" i="30"/>
  <c r="D15" i="30"/>
  <c r="F106" i="29" l="1"/>
  <c r="F86" i="29"/>
  <c r="K6" i="54" l="1"/>
  <c r="I25" i="44"/>
  <c r="I26" i="44"/>
  <c r="I27" i="44"/>
  <c r="I28" i="44"/>
  <c r="I29" i="44"/>
  <c r="I30" i="44"/>
  <c r="I40" i="44"/>
  <c r="G43" i="44"/>
  <c r="I43" i="44" s="1"/>
  <c r="G44" i="44"/>
  <c r="I44" i="44" s="1"/>
  <c r="I48" i="44"/>
  <c r="I49" i="44" s="1"/>
  <c r="I52" i="44"/>
  <c r="I53" i="44"/>
  <c r="I54" i="44"/>
  <c r="I55" i="44"/>
  <c r="I56" i="44"/>
  <c r="I57" i="44"/>
  <c r="I58" i="44"/>
  <c r="I62" i="44"/>
  <c r="I63" i="44"/>
  <c r="I64" i="44"/>
  <c r="I65" i="44"/>
  <c r="I66" i="44"/>
  <c r="I67" i="44"/>
  <c r="I68" i="44"/>
  <c r="I69" i="44"/>
  <c r="I70" i="44"/>
  <c r="I73" i="44"/>
  <c r="I74" i="44"/>
  <c r="I75" i="44"/>
  <c r="I76" i="44"/>
  <c r="I77" i="44"/>
  <c r="I81" i="44"/>
  <c r="I82" i="44"/>
  <c r="I83" i="44"/>
  <c r="I84" i="44"/>
  <c r="I85" i="44"/>
  <c r="I89" i="44"/>
  <c r="I90" i="44"/>
  <c r="I91" i="44"/>
  <c r="I92" i="44"/>
  <c r="I93" i="44"/>
  <c r="I94" i="44"/>
  <c r="I95" i="44"/>
  <c r="I96" i="44"/>
  <c r="I97" i="44"/>
  <c r="I98" i="44"/>
  <c r="I102" i="44"/>
  <c r="I103" i="44"/>
  <c r="I105" i="44"/>
  <c r="I107" i="44"/>
  <c r="I108" i="44"/>
  <c r="I109" i="44"/>
  <c r="I110" i="44"/>
  <c r="I111" i="44"/>
  <c r="I112" i="44"/>
  <c r="G9" i="48"/>
  <c r="I114" i="44" l="1"/>
  <c r="C12" i="44" s="1"/>
  <c r="I99" i="44"/>
  <c r="C11" i="44" s="1"/>
  <c r="I79" i="44"/>
  <c r="C9" i="44" s="1"/>
  <c r="I60" i="44"/>
  <c r="C7" i="44" s="1"/>
  <c r="I31" i="44"/>
  <c r="I33" i="44" s="1"/>
  <c r="I71" i="44"/>
  <c r="C8" i="44" s="1"/>
  <c r="I86" i="44"/>
  <c r="C10" i="44" s="1"/>
  <c r="I45" i="44"/>
  <c r="I4" i="8"/>
  <c r="C11" i="8" s="1"/>
  <c r="B13" i="18"/>
  <c r="D13" i="18" l="1"/>
  <c r="D14" i="18" s="1"/>
  <c r="I117" i="44"/>
  <c r="I32" i="44"/>
  <c r="I34" i="44" s="1"/>
  <c r="G5" i="8"/>
  <c r="E19" i="58"/>
  <c r="D19" i="58"/>
  <c r="C19" i="58"/>
  <c r="I5" i="8" l="1"/>
  <c r="C10" i="8" s="1"/>
  <c r="C9" i="8" s="1"/>
  <c r="C8" i="8" s="1"/>
  <c r="F19" i="58"/>
  <c r="B12" i="58" s="1"/>
  <c r="C12" i="58" l="1"/>
  <c r="D12" i="58" l="1"/>
  <c r="A7" i="58" l="1"/>
  <c r="F7" i="58" s="1"/>
  <c r="H17" i="18"/>
  <c r="H18" i="18" s="1"/>
  <c r="F71" i="56" l="1"/>
  <c r="I72" i="56" s="1"/>
  <c r="C37" i="26" s="1"/>
  <c r="F63" i="56"/>
  <c r="I63" i="56" s="1"/>
  <c r="F62" i="56"/>
  <c r="I62" i="56" s="1"/>
  <c r="F61" i="56"/>
  <c r="I61" i="56" s="1"/>
  <c r="F60" i="56"/>
  <c r="I60" i="56" s="1"/>
  <c r="F59" i="56"/>
  <c r="I59" i="56" s="1"/>
  <c r="F58" i="56"/>
  <c r="I58" i="56" s="1"/>
  <c r="F57" i="56"/>
  <c r="I57" i="56" s="1"/>
  <c r="F56" i="56"/>
  <c r="I56" i="56" s="1"/>
  <c r="F55" i="56"/>
  <c r="I55" i="56" s="1"/>
  <c r="F54" i="56"/>
  <c r="I54" i="56" s="1"/>
  <c r="F53" i="56"/>
  <c r="I53" i="56" s="1"/>
  <c r="F52" i="56"/>
  <c r="I52" i="56" s="1"/>
  <c r="F51" i="56"/>
  <c r="I51" i="56" s="1"/>
  <c r="F50" i="56"/>
  <c r="I50" i="56" s="1"/>
  <c r="F49" i="56"/>
  <c r="I49" i="56" s="1"/>
  <c r="F48" i="56"/>
  <c r="I48" i="56" s="1"/>
  <c r="F47" i="56"/>
  <c r="I47" i="56" s="1"/>
  <c r="F46" i="56"/>
  <c r="I46" i="56" s="1"/>
  <c r="F45" i="56"/>
  <c r="I45" i="56" s="1"/>
  <c r="F44" i="56"/>
  <c r="I44" i="56" s="1"/>
  <c r="F43" i="56"/>
  <c r="I43" i="56" s="1"/>
  <c r="F42" i="56"/>
  <c r="I42" i="56" s="1"/>
  <c r="F41" i="56"/>
  <c r="I41" i="56" s="1"/>
  <c r="F40" i="56"/>
  <c r="I40" i="56" s="1"/>
  <c r="F39" i="56"/>
  <c r="I39" i="56" s="1"/>
  <c r="F38" i="56"/>
  <c r="I38" i="56" s="1"/>
  <c r="F37" i="56"/>
  <c r="I37" i="56" s="1"/>
  <c r="F36" i="56"/>
  <c r="I36" i="56" s="1"/>
  <c r="F35" i="56"/>
  <c r="I35" i="56" s="1"/>
  <c r="F34" i="56"/>
  <c r="I34" i="56" s="1"/>
  <c r="F33" i="56"/>
  <c r="I33" i="56" s="1"/>
  <c r="F32" i="56"/>
  <c r="I32" i="56" s="1"/>
  <c r="F31" i="56"/>
  <c r="I31" i="56" s="1"/>
  <c r="F30" i="56"/>
  <c r="I30" i="56" s="1"/>
  <c r="F29" i="56"/>
  <c r="F22" i="56"/>
  <c r="I22" i="56" s="1"/>
  <c r="F21" i="56"/>
  <c r="I21" i="56" s="1"/>
  <c r="F20" i="56"/>
  <c r="I20" i="56" s="1"/>
  <c r="F19" i="56"/>
  <c r="I19" i="56" s="1"/>
  <c r="F18" i="56"/>
  <c r="I18" i="56" s="1"/>
  <c r="F17" i="56"/>
  <c r="I17" i="56" s="1"/>
  <c r="F16" i="56"/>
  <c r="I16" i="56" s="1"/>
  <c r="F15" i="56"/>
  <c r="I15" i="56" s="1"/>
  <c r="F14" i="56"/>
  <c r="I14" i="56" s="1"/>
  <c r="F13" i="56"/>
  <c r="I13" i="56" s="1"/>
  <c r="F12" i="56"/>
  <c r="I12" i="56" s="1"/>
  <c r="F11" i="56"/>
  <c r="I11" i="56" s="1"/>
  <c r="F10" i="56"/>
  <c r="I10" i="56" s="1"/>
  <c r="F9" i="56"/>
  <c r="I9" i="56" s="1"/>
  <c r="F8" i="56"/>
  <c r="I8" i="56" s="1"/>
  <c r="F7" i="56"/>
  <c r="I7" i="56" s="1"/>
  <c r="F6" i="56"/>
  <c r="F23" i="56" l="1"/>
  <c r="F64" i="56"/>
  <c r="I6" i="56"/>
  <c r="I23" i="56" s="1"/>
  <c r="I25" i="56" s="1"/>
  <c r="C36" i="26" s="1"/>
  <c r="I29" i="56"/>
  <c r="I64" i="56" s="1"/>
  <c r="I66" i="56" s="1"/>
  <c r="C35" i="26" s="1"/>
  <c r="I74" i="56" l="1"/>
  <c r="K7" i="54" l="1"/>
  <c r="G17" i="48"/>
  <c r="I18" i="48"/>
  <c r="I19" i="48"/>
  <c r="I20" i="48"/>
  <c r="I21" i="48"/>
  <c r="I22" i="48"/>
  <c r="I23" i="48"/>
  <c r="I24" i="48"/>
  <c r="G25" i="48"/>
  <c r="I26" i="48"/>
  <c r="I27" i="48"/>
  <c r="I28" i="48"/>
  <c r="I29" i="48"/>
  <c r="I30" i="48"/>
  <c r="I31" i="48"/>
  <c r="I32" i="48"/>
  <c r="I33" i="48"/>
  <c r="I34" i="48"/>
  <c r="I35" i="48"/>
  <c r="I36" i="48"/>
  <c r="G37" i="48"/>
  <c r="I38" i="48"/>
  <c r="I39" i="48"/>
  <c r="I40" i="48"/>
  <c r="I41" i="48"/>
  <c r="I42" i="48"/>
  <c r="I43" i="48"/>
  <c r="I44" i="48"/>
  <c r="I45" i="48"/>
  <c r="I46" i="48"/>
  <c r="I47" i="48"/>
  <c r="I48" i="48"/>
  <c r="I49" i="48"/>
  <c r="I50" i="48"/>
  <c r="I51" i="48"/>
  <c r="I52" i="48"/>
  <c r="I53" i="48"/>
  <c r="I54" i="48"/>
  <c r="I55" i="48"/>
  <c r="I56" i="48"/>
  <c r="I57" i="48"/>
  <c r="B68" i="48" l="1"/>
  <c r="B66" i="48"/>
  <c r="K5" i="54"/>
  <c r="B64" i="48"/>
  <c r="B72" i="48"/>
  <c r="B73" i="48"/>
  <c r="B71" i="48"/>
  <c r="B65" i="48"/>
  <c r="B67" i="48"/>
  <c r="B70" i="48"/>
  <c r="B69" i="48"/>
  <c r="I17" i="48"/>
  <c r="I25" i="48"/>
  <c r="I37" i="48"/>
  <c r="G58" i="48"/>
  <c r="B75" i="48" l="1"/>
  <c r="G3" i="48" s="1"/>
  <c r="G5" i="48" s="1"/>
  <c r="G6" i="48" s="1"/>
  <c r="I58" i="48"/>
  <c r="D75" i="48"/>
  <c r="C74" i="48" l="1"/>
  <c r="C65" i="48"/>
  <c r="G8" i="48"/>
  <c r="C69" i="48"/>
  <c r="C71" i="48"/>
  <c r="C68" i="48"/>
  <c r="C72" i="48"/>
  <c r="C73" i="48"/>
  <c r="C64" i="48"/>
  <c r="C66" i="48"/>
  <c r="C70" i="48"/>
  <c r="C67" i="48"/>
  <c r="C75" i="48" l="1"/>
  <c r="B6" i="48"/>
  <c r="C4" i="44"/>
  <c r="C6" i="44"/>
  <c r="B4" i="48" l="1"/>
  <c r="B10" i="48"/>
  <c r="C10" i="48" s="1"/>
  <c r="D6" i="48"/>
  <c r="D8" i="48" s="1"/>
  <c r="B13" i="48"/>
  <c r="C13" i="48" s="1"/>
  <c r="B12" i="48"/>
  <c r="C12" i="48" s="1"/>
  <c r="B11" i="48"/>
  <c r="C11" i="48" s="1"/>
  <c r="C3" i="44"/>
  <c r="C5" i="44"/>
  <c r="C14" i="48" l="1"/>
  <c r="C13" i="44"/>
  <c r="C14" i="44" s="1"/>
  <c r="C15" i="44" s="1"/>
  <c r="C16" i="44" s="1"/>
  <c r="C17" i="44" s="1"/>
  <c r="H4" i="18" s="1"/>
  <c r="F3" i="43" l="1"/>
  <c r="F4" i="43"/>
  <c r="D5" i="43"/>
  <c r="G4" i="42"/>
  <c r="G5" i="42"/>
  <c r="G6" i="42"/>
  <c r="G7" i="42"/>
  <c r="G8" i="42"/>
  <c r="E9" i="42"/>
  <c r="C8" i="41"/>
  <c r="C10" i="41" s="1"/>
  <c r="C13" i="41"/>
  <c r="C21" i="41"/>
  <c r="C22" i="41"/>
  <c r="C32" i="41"/>
  <c r="C33" i="41"/>
  <c r="C5" i="40"/>
  <c r="C6" i="40"/>
  <c r="F3" i="39"/>
  <c r="F4" i="39"/>
  <c r="F5" i="39"/>
  <c r="F6" i="39"/>
  <c r="H5" i="38"/>
  <c r="C9" i="38" s="1"/>
  <c r="C11" i="38" s="1"/>
  <c r="G11" i="35"/>
  <c r="C7" i="35" s="1"/>
  <c r="B6" i="34"/>
  <c r="B8" i="34" s="1"/>
  <c r="G11" i="32"/>
  <c r="G12" i="32"/>
  <c r="G13" i="32"/>
  <c r="G14" i="32"/>
  <c r="G15" i="32"/>
  <c r="G16" i="32"/>
  <c r="G17" i="32"/>
  <c r="G18" i="32"/>
  <c r="G19" i="32"/>
  <c r="G20" i="32"/>
  <c r="G21" i="32"/>
  <c r="G22" i="32"/>
  <c r="G23" i="32"/>
  <c r="G24" i="32"/>
  <c r="G25" i="32"/>
  <c r="G26" i="32"/>
  <c r="G27" i="32"/>
  <c r="G28" i="32"/>
  <c r="G29" i="32"/>
  <c r="G30" i="32"/>
  <c r="G31" i="32"/>
  <c r="G32" i="32"/>
  <c r="G33" i="32"/>
  <c r="G34" i="32"/>
  <c r="G35" i="32"/>
  <c r="F36" i="32"/>
  <c r="G41" i="32"/>
  <c r="G42" i="32"/>
  <c r="G43" i="32"/>
  <c r="G44" i="32"/>
  <c r="G45" i="32"/>
  <c r="G46" i="32"/>
  <c r="G47" i="32"/>
  <c r="G48" i="32"/>
  <c r="G49" i="32"/>
  <c r="G50" i="32"/>
  <c r="G51" i="32"/>
  <c r="G52" i="32"/>
  <c r="G53" i="32"/>
  <c r="G54" i="32"/>
  <c r="G55" i="32"/>
  <c r="G56" i="32"/>
  <c r="G57" i="32"/>
  <c r="G58" i="32"/>
  <c r="G59" i="32"/>
  <c r="G60" i="32"/>
  <c r="G61" i="32"/>
  <c r="G62" i="32"/>
  <c r="G63" i="32"/>
  <c r="G64" i="32"/>
  <c r="G65" i="32"/>
  <c r="G66" i="32"/>
  <c r="G67" i="32"/>
  <c r="G68" i="32"/>
  <c r="G69" i="32"/>
  <c r="F70" i="32"/>
  <c r="G6" i="31"/>
  <c r="G13" i="31"/>
  <c r="G14" i="31"/>
  <c r="G17"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E4" i="30"/>
  <c r="F4" i="30"/>
  <c r="G4" i="30"/>
  <c r="H4" i="30"/>
  <c r="E5" i="30"/>
  <c r="F5" i="30"/>
  <c r="G5" i="30"/>
  <c r="H5" i="30"/>
  <c r="I5" i="30"/>
  <c r="E6" i="30"/>
  <c r="F6" i="30"/>
  <c r="R6" i="30"/>
  <c r="E8" i="30"/>
  <c r="F8" i="30"/>
  <c r="H8" i="30"/>
  <c r="R7" i="30"/>
  <c r="E9" i="30"/>
  <c r="F9" i="30"/>
  <c r="H9" i="30"/>
  <c r="R8" i="30"/>
  <c r="E10" i="30"/>
  <c r="F10" i="30"/>
  <c r="H10" i="30"/>
  <c r="E11" i="30"/>
  <c r="F11" i="30"/>
  <c r="H11" i="30"/>
  <c r="R10" i="30"/>
  <c r="E12" i="30"/>
  <c r="F12" i="30"/>
  <c r="H12" i="30"/>
  <c r="R11" i="30"/>
  <c r="E13" i="30"/>
  <c r="F13" i="30"/>
  <c r="H13" i="30"/>
  <c r="E15" i="30"/>
  <c r="F15" i="30"/>
  <c r="H15" i="30"/>
  <c r="E16" i="30"/>
  <c r="F16" i="30"/>
  <c r="H16" i="30"/>
  <c r="E17" i="30"/>
  <c r="F17" i="30"/>
  <c r="H17" i="30"/>
  <c r="E18" i="30"/>
  <c r="F18" i="30"/>
  <c r="H18" i="30"/>
  <c r="P17" i="30"/>
  <c r="E19" i="30"/>
  <c r="F19" i="30"/>
  <c r="G19" i="30"/>
  <c r="H19" i="30"/>
  <c r="E20" i="30"/>
  <c r="F20" i="30"/>
  <c r="G20" i="30"/>
  <c r="H20" i="30"/>
  <c r="I20" i="30"/>
  <c r="E21" i="30"/>
  <c r="F21" i="30"/>
  <c r="P22" i="30"/>
  <c r="P23" i="30"/>
  <c r="P24" i="30"/>
  <c r="N32" i="30"/>
  <c r="F25" i="29"/>
  <c r="D2" i="29" s="1"/>
  <c r="I26" i="29"/>
  <c r="I27" i="29"/>
  <c r="I28" i="29"/>
  <c r="I29" i="29"/>
  <c r="I30" i="29"/>
  <c r="I31" i="29"/>
  <c r="I32" i="29"/>
  <c r="I33" i="29"/>
  <c r="I34" i="29"/>
  <c r="I35" i="29"/>
  <c r="I36" i="29"/>
  <c r="I37" i="29"/>
  <c r="I38" i="29"/>
  <c r="I39" i="29"/>
  <c r="I40" i="29"/>
  <c r="I41" i="29"/>
  <c r="I42" i="29"/>
  <c r="I43" i="29"/>
  <c r="I44" i="29"/>
  <c r="I45" i="29"/>
  <c r="I46" i="29"/>
  <c r="I47" i="29"/>
  <c r="I48" i="29"/>
  <c r="I49" i="29"/>
  <c r="I50" i="29"/>
  <c r="I51" i="29"/>
  <c r="F52" i="29"/>
  <c r="F80" i="29"/>
  <c r="I81" i="29"/>
  <c r="I82" i="29"/>
  <c r="I83" i="29"/>
  <c r="I84" i="29"/>
  <c r="I85" i="29"/>
  <c r="I86" i="29"/>
  <c r="I87" i="29"/>
  <c r="I88" i="29"/>
  <c r="I89" i="29"/>
  <c r="I90" i="29"/>
  <c r="I91" i="29"/>
  <c r="I92" i="29"/>
  <c r="I93" i="29"/>
  <c r="I94" i="29"/>
  <c r="I95" i="29"/>
  <c r="I96" i="29"/>
  <c r="I97" i="29"/>
  <c r="I98" i="29"/>
  <c r="I99" i="29"/>
  <c r="I100" i="29"/>
  <c r="I101" i="29"/>
  <c r="I102" i="29"/>
  <c r="I103" i="29"/>
  <c r="I104" i="29"/>
  <c r="I105" i="29"/>
  <c r="I106" i="29"/>
  <c r="I107" i="29"/>
  <c r="I108" i="29"/>
  <c r="I109" i="29"/>
  <c r="I110" i="29"/>
  <c r="I111" i="29"/>
  <c r="I112" i="29"/>
  <c r="I113" i="29"/>
  <c r="I114" i="29"/>
  <c r="I115" i="29"/>
  <c r="F116" i="29"/>
  <c r="G13" i="28"/>
  <c r="G14" i="28"/>
  <c r="G15" i="28"/>
  <c r="G16" i="28"/>
  <c r="G17" i="28"/>
  <c r="G18" i="28"/>
  <c r="G19" i="28"/>
  <c r="G20" i="28"/>
  <c r="G21" i="28"/>
  <c r="G22" i="28"/>
  <c r="G23" i="28"/>
  <c r="G24" i="28"/>
  <c r="G25" i="28"/>
  <c r="G26" i="28"/>
  <c r="G27" i="28"/>
  <c r="G28" i="28"/>
  <c r="G29" i="28"/>
  <c r="G30" i="28"/>
  <c r="G31" i="28"/>
  <c r="G32" i="28"/>
  <c r="G33" i="28"/>
  <c r="G34" i="28"/>
  <c r="G35" i="28"/>
  <c r="G36" i="28"/>
  <c r="G37" i="28"/>
  <c r="G38" i="28"/>
  <c r="G39" i="28"/>
  <c r="G40" i="28"/>
  <c r="G41" i="28"/>
  <c r="G42" i="28"/>
  <c r="G43" i="28"/>
  <c r="G44" i="28"/>
  <c r="G45" i="28"/>
  <c r="G46" i="28"/>
  <c r="G47" i="28"/>
  <c r="G48" i="28"/>
  <c r="G49" i="28"/>
  <c r="G50" i="28"/>
  <c r="G51" i="28"/>
  <c r="G52" i="28"/>
  <c r="G53" i="28"/>
  <c r="G54" i="28"/>
  <c r="G55" i="28"/>
  <c r="G56" i="28"/>
  <c r="G57" i="28"/>
  <c r="G64" i="28"/>
  <c r="G65" i="28"/>
  <c r="G66" i="28"/>
  <c r="G67" i="28"/>
  <c r="G68" i="28"/>
  <c r="G69" i="28"/>
  <c r="G70" i="2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102" i="28"/>
  <c r="G103" i="28"/>
  <c r="G104" i="28"/>
  <c r="G105" i="28"/>
  <c r="G106" i="28"/>
  <c r="G107" i="28"/>
  <c r="G108" i="28"/>
  <c r="F115" i="28"/>
  <c r="F116" i="28" s="1"/>
  <c r="F117" i="28"/>
  <c r="I117" i="28" s="1"/>
  <c r="F118" i="28"/>
  <c r="I118" i="28" s="1"/>
  <c r="F119" i="28"/>
  <c r="I119" i="28" s="1"/>
  <c r="F120" i="28"/>
  <c r="I120" i="28" s="1"/>
  <c r="F121" i="28"/>
  <c r="I121" i="28" s="1"/>
  <c r="F122" i="28"/>
  <c r="I122" i="28" s="1"/>
  <c r="F123" i="28"/>
  <c r="I123" i="28" s="1"/>
  <c r="F124" i="28"/>
  <c r="I124" i="28" s="1"/>
  <c r="F125" i="28"/>
  <c r="I125" i="28" s="1"/>
  <c r="F126" i="28"/>
  <c r="I126" i="28" s="1"/>
  <c r="F127" i="28"/>
  <c r="I127" i="28" s="1"/>
  <c r="F128" i="28"/>
  <c r="I128" i="28" s="1"/>
  <c r="F129" i="28"/>
  <c r="I129" i="28" s="1"/>
  <c r="F130" i="28"/>
  <c r="I130" i="28" s="1"/>
  <c r="F131" i="28"/>
  <c r="I131" i="28" s="1"/>
  <c r="F132" i="28"/>
  <c r="I132" i="28" s="1"/>
  <c r="F141" i="28"/>
  <c r="F142" i="28" s="1"/>
  <c r="F143" i="28"/>
  <c r="I143" i="28" s="1"/>
  <c r="F144" i="28"/>
  <c r="I144" i="28" s="1"/>
  <c r="F145" i="28"/>
  <c r="I145" i="28" s="1"/>
  <c r="F146" i="28"/>
  <c r="I146" i="28" s="1"/>
  <c r="F147" i="28"/>
  <c r="I147" i="28" s="1"/>
  <c r="F148" i="28"/>
  <c r="I148" i="28" s="1"/>
  <c r="F149" i="28"/>
  <c r="I149" i="28" s="1"/>
  <c r="F150" i="28"/>
  <c r="I150" i="28" s="1"/>
  <c r="F151" i="28"/>
  <c r="I151" i="28" s="1"/>
  <c r="F152" i="28"/>
  <c r="I152" i="28" s="1"/>
  <c r="F153" i="28"/>
  <c r="I153" i="28" s="1"/>
  <c r="F154" i="28"/>
  <c r="I154" i="28" s="1"/>
  <c r="F155" i="28"/>
  <c r="I155" i="28" s="1"/>
  <c r="F156" i="28"/>
  <c r="I156" i="28" s="1"/>
  <c r="F157" i="28"/>
  <c r="I157" i="28" s="1"/>
  <c r="F158" i="28"/>
  <c r="I158" i="28" s="1"/>
  <c r="F159" i="28"/>
  <c r="I159" i="28" s="1"/>
  <c r="C4" i="27"/>
  <c r="D5" i="25"/>
  <c r="F5" i="25" s="1"/>
  <c r="E10" i="25"/>
  <c r="F10" i="25" s="1"/>
  <c r="G10" i="25" s="1"/>
  <c r="C17" i="25"/>
  <c r="C19" i="25"/>
  <c r="C20" i="25" s="1"/>
  <c r="C23" i="25"/>
  <c r="D31" i="25"/>
  <c r="E31" i="25" s="1"/>
  <c r="M4" i="25" s="1"/>
  <c r="C32" i="26" s="1"/>
  <c r="J6" i="30" l="1"/>
  <c r="J10" i="30"/>
  <c r="C24" i="25"/>
  <c r="C25" i="25" s="1"/>
  <c r="G26" i="25" s="1"/>
  <c r="C7" i="40"/>
  <c r="C9" i="40" s="1"/>
  <c r="C22" i="26" s="1"/>
  <c r="J12" i="30"/>
  <c r="F53" i="29"/>
  <c r="F5" i="43"/>
  <c r="F6" i="43" s="1"/>
  <c r="F8" i="43" s="1"/>
  <c r="J16" i="30"/>
  <c r="J8" i="30"/>
  <c r="J5" i="30"/>
  <c r="G4" i="36"/>
  <c r="J4" i="30"/>
  <c r="D9" i="29"/>
  <c r="I52" i="29"/>
  <c r="D4" i="29" s="1"/>
  <c r="C29" i="26"/>
  <c r="C30" i="26" s="1"/>
  <c r="I116" i="29"/>
  <c r="D5" i="29" s="1"/>
  <c r="J21" i="30"/>
  <c r="J11" i="30"/>
  <c r="G2" i="37"/>
  <c r="C15" i="41"/>
  <c r="F3" i="41" s="1"/>
  <c r="F7" i="39"/>
  <c r="F8" i="39" s="1"/>
  <c r="F10" i="39" s="1"/>
  <c r="C23" i="41"/>
  <c r="G9" i="42"/>
  <c r="G10" i="42" s="1"/>
  <c r="G12" i="42" s="1"/>
  <c r="D3" i="28"/>
  <c r="F6" i="34"/>
  <c r="G6" i="34"/>
  <c r="N33" i="30"/>
  <c r="J20" i="30"/>
  <c r="J18" i="30"/>
  <c r="B13" i="34"/>
  <c r="G109" i="28"/>
  <c r="J15" i="30"/>
  <c r="G70" i="32"/>
  <c r="D3" i="32" s="1"/>
  <c r="F133" i="28"/>
  <c r="F134" i="28" s="1"/>
  <c r="J9" i="30"/>
  <c r="J19" i="30"/>
  <c r="J17" i="30"/>
  <c r="G58" i="28"/>
  <c r="J13" i="30"/>
  <c r="G36" i="32"/>
  <c r="D2" i="32" s="1"/>
  <c r="K8" i="54"/>
  <c r="F160" i="28"/>
  <c r="C34" i="41"/>
  <c r="F117" i="29"/>
  <c r="G11" i="25"/>
  <c r="G12" i="25" s="1"/>
  <c r="G14" i="25" s="1"/>
  <c r="C10" i="38"/>
  <c r="C12" i="38" s="1"/>
  <c r="C15" i="38" s="1"/>
  <c r="F3" i="38" s="1"/>
  <c r="F7" i="37"/>
  <c r="F2" i="37"/>
  <c r="F4" i="36"/>
  <c r="F9" i="36"/>
  <c r="G9" i="36" s="1"/>
  <c r="C13" i="35"/>
  <c r="C16" i="35"/>
  <c r="C8" i="35"/>
  <c r="G57" i="31"/>
  <c r="P18" i="30"/>
  <c r="P19" i="30" s="1"/>
  <c r="E5" i="25"/>
  <c r="D3" i="29"/>
  <c r="D6" i="29" s="1"/>
  <c r="D8" i="29" s="1"/>
  <c r="C11" i="26" s="1"/>
  <c r="I133" i="28"/>
  <c r="I160" i="28"/>
  <c r="C3" i="27"/>
  <c r="C5" i="27" s="1"/>
  <c r="G5" i="25"/>
  <c r="J31" i="30" l="1"/>
  <c r="C8" i="26"/>
  <c r="J103" i="29"/>
  <c r="J42" i="29"/>
  <c r="H22" i="36"/>
  <c r="C16" i="26" s="1"/>
  <c r="C27" i="26"/>
  <c r="J86" i="29"/>
  <c r="J106" i="29"/>
  <c r="D7" i="28"/>
  <c r="C28" i="26" s="1"/>
  <c r="G3" i="41"/>
  <c r="H3" i="41" s="1"/>
  <c r="H19" i="37"/>
  <c r="C17" i="26" s="1"/>
  <c r="D4" i="32"/>
  <c r="D6" i="32" s="1"/>
  <c r="C12" i="26" s="1"/>
  <c r="H32" i="31"/>
  <c r="H6" i="29"/>
  <c r="H8" i="29" s="1"/>
  <c r="D2" i="28"/>
  <c r="D4" i="28" s="1"/>
  <c r="D6" i="28" s="1"/>
  <c r="C10" i="26" s="1"/>
  <c r="H5" i="25"/>
  <c r="I5" i="25" s="1"/>
  <c r="M3" i="25" s="1"/>
  <c r="C23" i="26" s="1"/>
  <c r="C38" i="41"/>
  <c r="C31" i="26" s="1"/>
  <c r="N34" i="30"/>
  <c r="N35" i="30" s="1"/>
  <c r="N36" i="30" s="1"/>
  <c r="N37" i="30" s="1"/>
  <c r="O5" i="30" s="1"/>
  <c r="R5" i="30" s="1"/>
  <c r="F161" i="28"/>
  <c r="H6" i="34"/>
  <c r="G8" i="34" s="1"/>
  <c r="C14" i="26" s="1"/>
  <c r="G13" i="34"/>
  <c r="F13" i="34"/>
  <c r="H35" i="31"/>
  <c r="H48" i="31"/>
  <c r="H51" i="31"/>
  <c r="H9" i="31"/>
  <c r="H14" i="31"/>
  <c r="H46" i="31"/>
  <c r="H19" i="31"/>
  <c r="C16" i="38"/>
  <c r="G3" i="38" s="1"/>
  <c r="H3" i="38" s="1"/>
  <c r="C18" i="26" s="1"/>
  <c r="C17" i="35"/>
  <c r="C14" i="35"/>
  <c r="C15" i="35" s="1"/>
  <c r="H16" i="31"/>
  <c r="H21" i="31"/>
  <c r="H37" i="31"/>
  <c r="H41" i="31"/>
  <c r="H49" i="31"/>
  <c r="H53" i="31"/>
  <c r="H12" i="31"/>
  <c r="H17" i="31"/>
  <c r="H18" i="31"/>
  <c r="H22" i="31"/>
  <c r="H26" i="31"/>
  <c r="H30" i="31"/>
  <c r="H54" i="31"/>
  <c r="H11" i="31"/>
  <c r="H15" i="31"/>
  <c r="H25" i="31"/>
  <c r="H29" i="31"/>
  <c r="H33" i="31"/>
  <c r="H45" i="31"/>
  <c r="H23" i="31"/>
  <c r="H39" i="31"/>
  <c r="H55" i="31"/>
  <c r="H20" i="31"/>
  <c r="H36" i="31"/>
  <c r="H52" i="31"/>
  <c r="H34" i="31"/>
  <c r="H50" i="31"/>
  <c r="H7" i="31"/>
  <c r="H27" i="31"/>
  <c r="H43" i="31"/>
  <c r="H8" i="31"/>
  <c r="H24" i="31"/>
  <c r="H40" i="31"/>
  <c r="H56" i="31"/>
  <c r="H38" i="31"/>
  <c r="H13" i="31"/>
  <c r="H31" i="31"/>
  <c r="H47" i="31"/>
  <c r="H10" i="31"/>
  <c r="H28" i="31"/>
  <c r="H44" i="31"/>
  <c r="H6" i="31"/>
  <c r="H42" i="31"/>
  <c r="P20" i="30"/>
  <c r="D8" i="28"/>
  <c r="C39" i="26" s="1"/>
  <c r="H10" i="18" s="1"/>
  <c r="J32" i="30" l="1"/>
  <c r="H13" i="34"/>
  <c r="I6" i="31"/>
  <c r="I7" i="31" s="1"/>
  <c r="I8" i="31" s="1"/>
  <c r="I9" i="31" s="1"/>
  <c r="I10" i="31" s="1"/>
  <c r="I11" i="31" s="1"/>
  <c r="I12" i="31" s="1"/>
  <c r="I13" i="31" s="1"/>
  <c r="I14" i="31" s="1"/>
  <c r="I15" i="31" s="1"/>
  <c r="I16" i="31" s="1"/>
  <c r="I17" i="31" s="1"/>
  <c r="I18" i="31" s="1"/>
  <c r="I19" i="31" s="1"/>
  <c r="I20" i="31" s="1"/>
  <c r="I21" i="31" s="1"/>
  <c r="I22" i="31" s="1"/>
  <c r="I23" i="31" s="1"/>
  <c r="I24" i="31" s="1"/>
  <c r="I25" i="31" s="1"/>
  <c r="I26" i="31" s="1"/>
  <c r="I27" i="31" s="1"/>
  <c r="I28" i="31" s="1"/>
  <c r="I29" i="31" s="1"/>
  <c r="I30" i="31" s="1"/>
  <c r="I31" i="31" s="1"/>
  <c r="I32" i="31" s="1"/>
  <c r="I33" i="31" s="1"/>
  <c r="I34" i="31" s="1"/>
  <c r="I35" i="31" s="1"/>
  <c r="I36" i="31" s="1"/>
  <c r="I37" i="31" s="1"/>
  <c r="I38" i="31" s="1"/>
  <c r="I39" i="31" s="1"/>
  <c r="I40" i="31" s="1"/>
  <c r="I41" i="31" s="1"/>
  <c r="I42" i="31" s="1"/>
  <c r="I43" i="31" s="1"/>
  <c r="I44" i="31" s="1"/>
  <c r="I45" i="31" s="1"/>
  <c r="I46" i="31" s="1"/>
  <c r="I47" i="31" s="1"/>
  <c r="I48" i="31" s="1"/>
  <c r="I49" i="31" s="1"/>
  <c r="I50" i="31" s="1"/>
  <c r="I51" i="31" s="1"/>
  <c r="I52" i="31" s="1"/>
  <c r="I53" i="31" s="1"/>
  <c r="I54" i="31" s="1"/>
  <c r="I55" i="31" s="1"/>
  <c r="I56" i="31" s="1"/>
  <c r="H57" i="31"/>
  <c r="H4" i="35"/>
  <c r="H6" i="35" s="1"/>
  <c r="C15" i="26" s="1"/>
  <c r="F24" i="35"/>
  <c r="P21" i="30"/>
  <c r="P25" i="30" s="1"/>
  <c r="P26" i="30" s="1"/>
  <c r="O4" i="30" s="1"/>
  <c r="R4" i="30" s="1"/>
  <c r="R12" i="30" s="1"/>
  <c r="J33" i="30" s="1"/>
  <c r="J34" i="30" l="1"/>
  <c r="C7" i="26" s="1"/>
  <c r="C13" i="26" s="1"/>
  <c r="C24" i="26" l="1"/>
  <c r="C5" i="26" s="1"/>
  <c r="H3" i="18" s="1"/>
  <c r="C33" i="26"/>
  <c r="K4" i="54" l="1"/>
  <c r="C21" i="54"/>
  <c r="H8" i="18"/>
  <c r="C5" i="8" l="1"/>
  <c r="C4" i="8" s="1"/>
  <c r="C3" i="8" l="1"/>
  <c r="H9" i="18" s="1"/>
  <c r="H11" i="18" l="1"/>
  <c r="I11" i="18" l="1"/>
  <c r="I4" i="18"/>
  <c r="I6" i="18"/>
  <c r="I5" i="18"/>
  <c r="I10" i="18"/>
  <c r="I3" i="18"/>
  <c r="I7" i="18"/>
  <c r="F7" i="64"/>
  <c r="I8" i="18"/>
  <c r="I9" i="18"/>
  <c r="F10" i="64" l="1"/>
  <c r="H7" i="64" s="1"/>
  <c r="H12" i="18" s="1"/>
  <c r="H23" i="18" s="1"/>
  <c r="B22" i="18" l="1"/>
  <c r="B21" i="18"/>
  <c r="B32" i="18" s="1"/>
  <c r="B19" i="18"/>
  <c r="B20" i="18"/>
  <c r="B31" i="18" s="1"/>
  <c r="B42" i="18"/>
  <c r="B43" i="18"/>
  <c r="B44" i="18"/>
  <c r="B41" i="18"/>
  <c r="H26" i="18"/>
  <c r="B3" i="18"/>
  <c r="B45" i="18" l="1"/>
  <c r="D45" i="18" s="1"/>
  <c r="B33" i="18"/>
  <c r="F8" i="64"/>
  <c r="F11" i="64" s="1"/>
  <c r="F13" i="64" s="1"/>
  <c r="I16" i="18"/>
  <c r="I17" i="18"/>
  <c r="B23" i="18" l="1"/>
  <c r="B24" i="18" s="1"/>
  <c r="B30" i="18"/>
  <c r="H8" i="64"/>
  <c r="H19" i="18" s="1"/>
  <c r="I18" i="18"/>
  <c r="B34" i="18" l="1"/>
  <c r="B35" i="18" s="1"/>
  <c r="H24" i="18"/>
  <c r="C43" i="18" l="1"/>
  <c r="D43" i="18" s="1"/>
  <c r="C41" i="18"/>
  <c r="C44" i="18"/>
  <c r="D44" i="18" s="1"/>
  <c r="C42" i="18"/>
  <c r="D42" i="18" s="1"/>
  <c r="H25" i="18"/>
  <c r="H28" i="18" s="1"/>
  <c r="H27" i="18"/>
  <c r="B4" i="18"/>
  <c r="C45" i="18" l="1"/>
  <c r="D41" i="18"/>
  <c r="C31" i="18"/>
  <c r="D31" i="18" s="1"/>
  <c r="D21" i="18"/>
  <c r="C33" i="18"/>
  <c r="D19" i="18"/>
  <c r="D33" i="18"/>
  <c r="D20" i="18"/>
  <c r="B5" i="18"/>
  <c r="D22" i="18" l="1"/>
  <c r="C32" i="18"/>
  <c r="D32" i="18" s="1"/>
  <c r="C23" i="18"/>
  <c r="C30" i="18"/>
  <c r="D30" i="18" s="1"/>
  <c r="C24" i="18" l="1"/>
  <c r="C34" i="18" s="1"/>
  <c r="D23" i="18"/>
  <c r="D24" i="18" s="1"/>
  <c r="B25" i="18" l="1"/>
  <c r="C25" i="18"/>
  <c r="D34" i="18"/>
  <c r="D35" i="18" s="1"/>
  <c r="C3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tc={44AF65D4-2152-4967-B201-F0FF6C5D9745}</author>
    <author>tc={3F1AEE98-EFF3-4340-B162-C02EDBA2BB81}</author>
  </authors>
  <commentList>
    <comment ref="A17" authorId="0" shapeId="0" xr:uid="{44AF65D4-2152-4967-B201-F0FF6C5D9745}">
      <text>
        <t>[Comentário encadeado]
Sua versão do Excel permite que você leia este comentário encadeado, no entanto, as edições serão removidas se o arquivo for aberto em uma versão mais recente do Excel. Saiba mais: https://go.microsoft.com/fwlink/?linkid=870924
Comentário:
    RESOLUÇÃO HOMOLOGATÓRIA Nº 3.349 DE 16 DE JULHO DE 2024
Responder:
    Checar se está adequado.
Responder:
    Inclui ICMS?</t>
      </text>
    </comment>
    <comment ref="A18" authorId="1" shapeId="0" xr:uid="{3F1AEE98-EFF3-4340-B162-C02EDBA2BB81}">
      <text>
        <t>[Comentário encadeado]
Sua versão do Excel permite que você leia este comentário encadeado, no entanto, as edições serão removidas se o arquivo for aberto em uma versão mais recente do Excel. Saiba mais: https://go.microsoft.com/fwlink/?linkid=870924
Comentário:
    Atualizar conforme CUST com o ONS (aditivos)</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Usuário do Windows</author>
  </authors>
  <commentList>
    <comment ref="C13" authorId="0" shapeId="0" xr:uid="{91519EB3-DBDB-4839-B6A9-E427D00D8E3C}">
      <text>
        <r>
          <rPr>
            <b/>
            <sz val="9"/>
            <color indexed="81"/>
            <rFont val="Segoe UI"/>
            <family val="2"/>
          </rPr>
          <t>Usuário do Windows:</t>
        </r>
        <r>
          <rPr>
            <sz val="9"/>
            <color indexed="81"/>
            <rFont val="Segoe UI"/>
            <family val="2"/>
          </rPr>
          <t xml:space="preserve">
alterei, o original era 52,14 semanas por ano</t>
        </r>
      </text>
    </comment>
    <comment ref="K13" authorId="0" shapeId="0" xr:uid="{5F29C6CC-D029-4D1D-8650-44EDCD41A3E3}">
      <text>
        <r>
          <rPr>
            <b/>
            <sz val="9"/>
            <color indexed="81"/>
            <rFont val="Segoe UI"/>
            <family val="2"/>
          </rPr>
          <t>Usuário do Windows:</t>
        </r>
        <r>
          <rPr>
            <sz val="9"/>
            <color indexed="81"/>
            <rFont val="Segoe UI"/>
            <family val="2"/>
          </rPr>
          <t xml:space="preserve">
alterei, o original era 52,14 semanas por ano</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Usuário do Windows</author>
  </authors>
  <commentList>
    <comment ref="C22" authorId="0" shapeId="0" xr:uid="{00000000-0006-0000-1900-000001000000}">
      <text>
        <r>
          <rPr>
            <b/>
            <sz val="9"/>
            <color indexed="81"/>
            <rFont val="Segoe UI"/>
            <family val="2"/>
          </rPr>
          <t>Usuário do Windows:</t>
        </r>
        <r>
          <rPr>
            <sz val="9"/>
            <color indexed="81"/>
            <rFont val="Segoe UI"/>
            <family val="2"/>
          </rPr>
          <t xml:space="preserve">
alterei, o original era 52,14 semanas por ano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tc={CF07694B-28EB-4404-B13E-05258066E966}</author>
    <author>tc={78BF3B45-E951-45B0-953F-FF9F90187C01}</author>
    <author>tc={069DA446-E2CE-4289-B28C-00EFBBA1CD04}</author>
    <author>tc={98307867-23DC-4567-B36D-A524DE339ED8}</author>
    <author>tc={DC5A425C-91E9-4B77-91FE-926EE6E24EAB}</author>
    <author>tc={E53E5432-F719-49C9-9444-56900D67D660}</author>
  </authors>
  <commentList>
    <comment ref="A7" authorId="0" shapeId="0" xr:uid="{CF07694B-28EB-4404-B13E-05258066E966}">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Consumo "teórico". Baseado na vazão proporcional e coeficiente de eficiência normalizado. </t>
      </text>
    </comment>
    <comment ref="B7" authorId="1" shapeId="0" xr:uid="{78BF3B45-E951-45B0-953F-FF9F90187C01}">
      <text>
        <t>[Comentário encadeado]
Sua versão do Excel permite que você leia este comentário encadeado, no entanto, as edições serão removidas se o arquivo for aberto em uma versão mais recente do Excel. Saiba mais: https://go.microsoft.com/fwlink/?linkid=870924
Comentário:
    Dois últimos anos de operação do PISF</t>
      </text>
    </comment>
    <comment ref="E7" authorId="2" shapeId="0" xr:uid="{069DA446-E2CE-4289-B28C-00EFBBA1CD04}">
      <text>
        <t>[Comentário encadeado]
Sua versão do Excel permite que você leia este comentário encadeado, no entanto, as edições serão removidas se o arquivo for aberto em uma versão mais recente do Excel. Saiba mais: https://go.microsoft.com/fwlink/?linkid=870924
Comentário:
    CORRIGIDO PELO IPCA ANUALMENTE (CONTRATO CHESF) CALCULAR ICMS POR DENTRO.
Responder:
    Até nov/24, com ICMS, daria 116,11
Responder:
    Lei 14.182/2021 - § 6º  Em adição ao aporte especificado no caput deste artigo, as concessionárias de geração de energia elétrica localizadas nas bacias do Rio São Francisco, cujos contratos de concessão sejam afetados por esta Lei, deverão disponibilizar energia elétrica em um montante anual de 85 MWmed (oitenta e cinco megawatts médios), pelo prazo de 20 (vinte) anos, a partir da data de publicação desta Lei, pelo preço de R$ 80,00/MWh (oitenta reais por megawatt-hora), a ser corrigido pelo IPCA, ou por outro índice que vier a substituí-lo, por meio de contrato específico diretamente ao Operador Federal das instalações do PISF.</t>
      </text>
    </comment>
    <comment ref="A11" authorId="3" shapeId="0" xr:uid="{98307867-23DC-4567-B36D-A524DE339ED8}">
      <text>
        <t>[Comentário encadeado]
Sua versão do Excel permite que você leia este comentário encadeado, no entanto, as edições serão removidas se o arquivo for aberto em uma versão mais recente do Excel. Saiba mais: https://go.microsoft.com/fwlink/?linkid=870924
Comentário:
    RESOLUÇÃO HOMOLOGATÓRIA Nº 3.426, DE 10 DE DEZEMBRO DE 2024</t>
      </text>
    </comment>
    <comment ref="B11" authorId="4" shapeId="0" xr:uid="{DC5A425C-91E9-4B77-91FE-926EE6E24EAB}">
      <text>
        <t>[Comentário encadeado]
Sua versão do Excel permite que você leia este comentário encadeado, no entanto, as edições serão removidas se o arquivo for aberto em uma versão mais recente do Excel. Saiba mais: https://go.microsoft.com/fwlink/?linkid=870924
Comentário:
    ANEEL aprova quotas de custeio e energia elétrica do Proinfa para 2025 com custo médio de R$ 543,56/MWh — Agência Nacional de Energia Elétrica</t>
      </text>
    </comment>
    <comment ref="L14" authorId="5" shapeId="0" xr:uid="{E53E5432-F719-49C9-9444-56900D67D660}">
      <text>
        <t>[Comentário encadeado]
Sua versão do Excel permite que você leia este comentário encadeado, no entanto, as edições serão removidas se o arquivo for aberto em uma versão mais recente do Excel. Saiba mais: https://go.microsoft.com/fwlink/?linkid=870924
Comentário:
    Atualizado conforme PGA 2025 desconsiderando restrições do Art. 8º (assinatura dos contrato)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Usuário do Windows</author>
  </authors>
  <commentList>
    <comment ref="H23" authorId="0" shapeId="0" xr:uid="{00000000-0006-0000-0500-000001000000}">
      <text>
        <r>
          <rPr>
            <b/>
            <sz val="9"/>
            <color indexed="81"/>
            <rFont val="Segoe UI"/>
            <family val="2"/>
          </rPr>
          <t>Usuário do Windows:</t>
        </r>
        <r>
          <rPr>
            <sz val="9"/>
            <color indexed="81"/>
            <rFont val="Segoe UI"/>
            <family val="2"/>
          </rPr>
          <t xml:space="preserve">
tabela de preços de consultoria do DNIT</t>
        </r>
      </text>
    </comment>
    <comment ref="H48" authorId="0" shapeId="0" xr:uid="{00000000-0006-0000-0500-000002000000}">
      <text>
        <r>
          <rPr>
            <b/>
            <sz val="9"/>
            <color indexed="81"/>
            <rFont val="Segoe UI"/>
            <family val="2"/>
          </rPr>
          <t>Usuário do Windows:</t>
        </r>
        <r>
          <rPr>
            <sz val="9"/>
            <color indexed="81"/>
            <rFont val="Segoe UI"/>
            <family val="2"/>
          </rPr>
          <t xml:space="preserve">
tabela de preços de consultoria do DNIT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Usuário do Windows</author>
  </authors>
  <commentList>
    <comment ref="G3" authorId="0" shapeId="0" xr:uid="{00000000-0006-0000-0600-000001000000}">
      <text>
        <r>
          <rPr>
            <b/>
            <sz val="9"/>
            <color indexed="81"/>
            <rFont val="Segoe UI"/>
            <family val="2"/>
          </rPr>
          <t>Usuário do Windows:</t>
        </r>
        <r>
          <rPr>
            <sz val="9"/>
            <color indexed="81"/>
            <rFont val="Segoe UI"/>
            <family val="2"/>
          </rPr>
          <t xml:space="preserve">
Esse valor tem que ser confirmado</t>
        </r>
      </text>
    </comment>
    <comment ref="F10" authorId="0" shapeId="0" xr:uid="{00000000-0006-0000-0600-000002000000}">
      <text>
        <r>
          <rPr>
            <b/>
            <sz val="9"/>
            <color indexed="81"/>
            <rFont val="Segoe UI"/>
            <family val="2"/>
          </rPr>
          <t>Usuário do Windows:</t>
        </r>
        <r>
          <rPr>
            <sz val="9"/>
            <color indexed="81"/>
            <rFont val="Segoe UI"/>
            <family val="2"/>
          </rPr>
          <t xml:space="preserve">
TJLP</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tc={BE090EA1-0538-486C-BFA2-FBFCC8B28746}</author>
  </authors>
  <commentList>
    <comment ref="B3" authorId="0" shapeId="0" xr:uid="{BE090EA1-0538-486C-BFA2-FBFCC8B28746}">
      <text>
        <t>[Comentário encadeado]
Sua versão do Excel permite que você leia este comentário encadeado, no entanto, as edições serão removidas se o arquivo for aberto em uma versão mais recente do Excel. Saiba mais: https://go.microsoft.com/fwlink/?linkid=870924
Comentário:
    Atualizar!</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tc={5F427B67-8DCF-493D-9806-2F7F2A2C40A0}</author>
  </authors>
  <commentList>
    <comment ref="D7" authorId="0" shapeId="0" xr:uid="{5F427B67-8DCF-493D-9806-2F7F2A2C40A0}">
      <text>
        <t>[Comentário encadeado]
Sua versão do Excel permite que você leia este comentário encadeado, no entanto, as edições serão removidas se o arquivo for aberto em uma versão mais recente do Excel. Saiba mais: https://go.microsoft.com/fwlink/?linkid=870924
Comentário:
    Mantido preço tabela</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tc={37A6BA9E-8327-425A-9D0F-BB5D9E85D211}</author>
  </authors>
  <commentList>
    <comment ref="D8" authorId="0" shapeId="0" xr:uid="{37A6BA9E-8327-425A-9D0F-BB5D9E85D211}">
      <text>
        <t>[Comentário encadeado]
Sua versão do Excel permite que você leia este comentário encadeado, no entanto, as edições serão removidas se o arquivo for aberto em uma versão mais recente do Excel. Saiba mais: https://go.microsoft.com/fwlink/?linkid=870924
Comentário:
    SEM BDI</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tc={4504A6D3-1143-46ED-B36F-4AD6718E75AB}</author>
    <author>tc={88BE724E-035E-4099-9C27-CD30FC02A41F}</author>
    <author>tc={6F2B9B5E-B7E3-48DB-8150-8D307CC33150}</author>
    <author>tc={F2DAE348-DA98-4BCB-8BDD-46BC2065B478}</author>
    <author>tc={7A9495AD-81AD-426B-99F5-F9424399A87F}</author>
    <author>tc={0260F082-CA4F-4F33-BF44-B429E8A1B753}</author>
    <author>tc={AADE7172-A698-41E2-9233-F5A308E8CEC7}</author>
    <author>tc={2663CCF9-1CD7-4E40-A717-1852FBC0BCBC}</author>
    <author>tc={CEDA2D07-8445-4E43-80B4-0770EBCBD3D2}</author>
    <author>tc={1EBDD57E-94B9-4FCB-9D31-CE77797DCA41}</author>
  </authors>
  <commentList>
    <comment ref="C6" authorId="0" shapeId="0" xr:uid="{4504A6D3-1143-46ED-B36F-4AD6718E75AB}">
      <text>
        <t>[Comentário encadeado]
Sua versão do Excel permite que você leia este comentário encadeado, no entanto, as edições serão removidas se o arquivo for aberto em uma versão mais recente do Excel. Saiba mais: https://go.microsoft.com/fwlink/?linkid=870924
Comentário:
    Contemplado no item "Escavadeiras hidráulicas"</t>
      </text>
    </comment>
    <comment ref="B7" authorId="1" shapeId="0" xr:uid="{88BE724E-035E-4099-9C27-CD30FC02A41F}">
      <text>
        <t>[Comentário encadeado]
Sua versão do Excel permite que você leia este comentário encadeado, no entanto, as edições serão removidas se o arquivo for aberto em uma versão mais recente do Excel. Saiba mais: https://go.microsoft.com/fwlink/?linkid=870924
Comentário:
    Descrição modificada para agrupar diversos portes de escavadeiras hidráulicas. Preço médio.</t>
      </text>
    </comment>
    <comment ref="F7" authorId="2" shapeId="0" xr:uid="{6F2B9B5E-B7E3-48DB-8150-8D307CC33150}">
      <text>
        <t>[Comentário encadeado]
Sua versão do Excel permite que você leia este comentário encadeado, no entanto, as edições serão removidas se o arquivo for aberto em uma versão mais recente do Excel. Saiba mais: https://go.microsoft.com/fwlink/?linkid=870924
Comentário:
    Preço Médio para os diversos tipos</t>
      </text>
    </comment>
    <comment ref="B8" authorId="3" shapeId="0" xr:uid="{F2DAE348-DA98-4BCB-8BDD-46BC2065B478}">
      <text>
        <t>[Comentário encadeado]
Sua versão do Excel permite que você leia este comentário encadeado, no entanto, as edições serão removidas se o arquivo for aberto em uma versão mais recente do Excel. Saiba mais: https://go.microsoft.com/fwlink/?linkid=870924
Comentário:
    Descrição modificada para agrupar diversos portes de escavadeiras hidráulicas. Preço médio.</t>
      </text>
    </comment>
    <comment ref="F8" authorId="4" shapeId="0" xr:uid="{7A9495AD-81AD-426B-99F5-F9424399A87F}">
      <text>
        <t>[Comentário encadeado]
Sua versão do Excel permite que você leia este comentário encadeado, no entanto, as edições serão removidas se o arquivo for aberto em uma versão mais recente do Excel. Saiba mais: https://go.microsoft.com/fwlink/?linkid=870924
Comentário:
    Preço Médio para os diversos tipos</t>
      </text>
    </comment>
    <comment ref="B11" authorId="5" shapeId="0" xr:uid="{0260F082-CA4F-4F33-BF44-B429E8A1B753}">
      <text>
        <t>[Comentário encadeado]
Sua versão do Excel permite que você leia este comentário encadeado, no entanto, as edições serão removidas se o arquivo for aberto em uma versão mais recente do Excel. Saiba mais: https://go.microsoft.com/fwlink/?linkid=870924
Comentário:
    Descrição modificada para adequar ao item nos contratos.</t>
      </text>
    </comment>
    <comment ref="B12" authorId="6" shapeId="0" xr:uid="{AADE7172-A698-41E2-9233-F5A308E8CEC7}">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Descrição modificada para agrupar diversos portes de escavadeiras hidráulicas. Preço médio.
</t>
      </text>
    </comment>
    <comment ref="C13" authorId="7" shapeId="0" xr:uid="{2663CCF9-1CD7-4E40-A717-1852FBC0BCBC}">
      <text>
        <t>[Comentário encadeado]
Sua versão do Excel permite que você leia este comentário encadeado, no entanto, as edições serão removidas se o arquivo for aberto em uma versão mais recente do Excel. Saiba mais: https://go.microsoft.com/fwlink/?linkid=870924
Comentário:
    Contemplado no item "retroescavadeiras"</t>
      </text>
    </comment>
    <comment ref="C14" authorId="8" shapeId="0" xr:uid="{CEDA2D07-8445-4E43-80B4-0770EBCBD3D2}">
      <text>
        <t>[Comentário encadeado]
Sua versão do Excel permite que você leia este comentário encadeado, no entanto, as edições serão removidas se o arquivo for aberto em uma versão mais recente do Excel. Saiba mais: https://go.microsoft.com/fwlink/?linkid=870924
Comentário:
    Contemplado no item Grupo Gerador</t>
      </text>
    </comment>
    <comment ref="C20" authorId="9" shapeId="0" xr:uid="{1EBDD57E-94B9-4FCB-9D31-CE77797DCA41}">
      <text>
        <t>[Comentário encadeado]
Sua versão do Excel permite que você leia este comentário encadeado, no entanto, as edições serão removidas se o arquivo for aberto em uma versão mais recente do Excel. Saiba mais: https://go.microsoft.com/fwlink/?linkid=870924
Comentário:
    Contemplado no item "Grupo Gerador"</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Usuário do Windows</author>
  </authors>
  <commentList>
    <comment ref="B7" authorId="0" shapeId="0" xr:uid="{00000000-0006-0000-0F00-000001000000}">
      <text>
        <r>
          <rPr>
            <b/>
            <sz val="9"/>
            <color indexed="81"/>
            <rFont val="Segoe UI"/>
            <family val="2"/>
          </rPr>
          <t>Usuário do Windows:</t>
        </r>
        <r>
          <rPr>
            <sz val="9"/>
            <color indexed="81"/>
            <rFont val="Segoe UI"/>
            <family val="2"/>
          </rPr>
          <t xml:space="preserve">
alterei aqui, era 15% o original</t>
        </r>
      </text>
    </comment>
    <comment ref="B12" authorId="0" shapeId="0" xr:uid="{00000000-0006-0000-0F00-000002000000}">
      <text>
        <r>
          <rPr>
            <b/>
            <sz val="9"/>
            <color indexed="81"/>
            <rFont val="Segoe UI"/>
            <family val="2"/>
          </rPr>
          <t>Usuário do Windows:</t>
        </r>
        <r>
          <rPr>
            <sz val="9"/>
            <color indexed="81"/>
            <rFont val="Segoe UI"/>
            <family val="2"/>
          </rPr>
          <t xml:space="preserve">
alterei aqui, era 10 anos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C:\Users\cintia.araujo\Desktop\Tarifa PISF\1\Análise custos OM Petry.xlsx" keepAlive="1" name="Análise custos OM Petry" type="5" refreshedVersion="5">
    <dbPr connection="Provider=Microsoft.ACE.OLEDB.12.0;User ID=Admin;Data Source=C:\Users\cintia.araujo\Desktop\Tarifa PISF\1\Análise custos OM Petry.xlsx;Mode=Share Deny Write;Extended Properties=&quot;HDR=YES;&quot;;Jet OLEDB:System database=&quot;&quot;;Jet OLEDB:Registry Path=&quot;&quot;;Jet OLEDB:Engine Type=3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Veículos$" commandType="3"/>
  </connection>
</connections>
</file>

<file path=xl/sharedStrings.xml><?xml version="1.0" encoding="utf-8"?>
<sst xmlns="http://schemas.openxmlformats.org/spreadsheetml/2006/main" count="3045" uniqueCount="1568">
  <si>
    <t>ITENS QUE DEVEM SER ATUALIZADOS POR TABELAS OFICIAIS OU ESTIMADOS</t>
  </si>
  <si>
    <t>Os itens abaixo têm seus preços como referência nos cálculos dos custos de O&amp;M. Atualizando-os nesta planilha, automaticamente atualizará nas demais.</t>
  </si>
  <si>
    <t>VAZÕES BOMBEADAS</t>
  </si>
  <si>
    <t>Item</t>
  </si>
  <si>
    <t>Preço unitário</t>
  </si>
  <si>
    <t>Mês de referência</t>
  </si>
  <si>
    <t>Fonte da informação</t>
  </si>
  <si>
    <t>Eixo Leste</t>
  </si>
  <si>
    <t>Vazão média de bombeamento (m³/s)</t>
  </si>
  <si>
    <t>Eixo Norte</t>
  </si>
  <si>
    <t>Variação IGP-M desde dez/2017</t>
  </si>
  <si>
    <t>até OUTUBRO de 2024</t>
  </si>
  <si>
    <t>site cálculo exato, variação de um índice financeiro desde dezembro 2017 (esta data inicial deve ser fixa)</t>
  </si>
  <si>
    <t>ATUALIZADO</t>
  </si>
  <si>
    <t>EBV-1</t>
  </si>
  <si>
    <t>EBI-1</t>
  </si>
  <si>
    <t>Cotação de 1 US$</t>
  </si>
  <si>
    <t>Banco Central - preço dólar venda em 31/10/2024</t>
  </si>
  <si>
    <t>EBV-2</t>
  </si>
  <si>
    <t>EBI-2</t>
  </si>
  <si>
    <t>Consultor especial - P8060</t>
  </si>
  <si>
    <t>tabela de consultoria do DNIT - SICRO</t>
  </si>
  <si>
    <t>EBV-3</t>
  </si>
  <si>
    <t>EBI-3</t>
  </si>
  <si>
    <t>Engenheiro Profissional sênior - P8067</t>
  </si>
  <si>
    <t>EBV-4</t>
  </si>
  <si>
    <t>Engenheiro Profissional pleno - P8066</t>
  </si>
  <si>
    <t>EBV-5</t>
  </si>
  <si>
    <t>Engenheiro Profissional júnior - P8065</t>
  </si>
  <si>
    <t>EBV-6</t>
  </si>
  <si>
    <t>Técnico de Segurança do Trabalho - P8151 (antes Técnico Pleno - P8151)</t>
  </si>
  <si>
    <t>Técnico de Obras - P8147 (antes Técnico Auxiliar - P8147)</t>
  </si>
  <si>
    <t>Técnico Mecânico Mergulhador</t>
  </si>
  <si>
    <t>salário de mergulhador no site www.glassdoor.com.br</t>
  </si>
  <si>
    <t>Auxiliar Administrativo - P026 (antes Auxiliar de Escritório - P8026)</t>
  </si>
  <si>
    <t>Vigias</t>
  </si>
  <si>
    <t>código 34345 da tabela SINAPI insumos não desonerado. Salário mensal = R$ 16,24/hr *8 hrs/dia*22 dias/mês</t>
  </si>
  <si>
    <t>Auxiliar - P8025 (antes Serventes / contínuos - P8025)</t>
  </si>
  <si>
    <t xml:space="preserve">Mão de obra auxiliar eventual </t>
  </si>
  <si>
    <t>código 88316 da tabela SINAPI Composições sintético não desonerado para Pernambuco</t>
  </si>
  <si>
    <t>Soldador</t>
  </si>
  <si>
    <t>código 88317 da tabela SINAPI Composições sintético não desonerado para Pernambuco</t>
  </si>
  <si>
    <t>Mestre de Obras</t>
  </si>
  <si>
    <t>código 90780 da tabela SINAPI Composições sintético não desonerado para Pernambuco</t>
  </si>
  <si>
    <t>Pedreiro</t>
  </si>
  <si>
    <t>código 88309 da tabela SINAPI Composições sintético não desonerado para Pernambuco</t>
  </si>
  <si>
    <t>Pintor</t>
  </si>
  <si>
    <t>código 88310 da tabela SINAPI Composições sintético não desonerado para Pernambuco</t>
  </si>
  <si>
    <t>Auxiliar de Pedreiro</t>
  </si>
  <si>
    <t>código 88242 da tabela SINAPI Composições sintético não desonerado para Pernambuco</t>
  </si>
  <si>
    <t>Passagens aéreas BSB - PISF - BSB</t>
  </si>
  <si>
    <t>jan-nov/24 (média ida e volta)</t>
  </si>
  <si>
    <t>ANAC &gt; Dados e Estatisticas &gt; Mercado do transporte aéreo &gt; tárifas aéreas &gt; painel &gt; origem e destino + período (jan até período de referência) (média de ida e volta)</t>
  </si>
  <si>
    <t>BSB - JUAZEIRO DO NORTE</t>
  </si>
  <si>
    <t>JUAZEIRO DO NORTE - BSB</t>
  </si>
  <si>
    <t>BSB - PETROLINA</t>
  </si>
  <si>
    <t>PETROLINA - BSB</t>
  </si>
  <si>
    <t>Passagem terrestre BSB - SR Codevasf - BSB ida e volta C/P0/P1/P2</t>
  </si>
  <si>
    <t>estimado- valor atualizado pela inflação do ano de 2022 (5,79%)</t>
  </si>
  <si>
    <t>NÃO UTILIZADO</t>
  </si>
  <si>
    <t>Passagem terrestre  SR Codevasf - Área de atuação ida e volta</t>
  </si>
  <si>
    <t>Diárias</t>
  </si>
  <si>
    <t>Decreto 11.872/2023 - Anexo I alínea d da Tabela - https://www.in.gov.br/en/web/dou/-/decreto-n-11.872-de-29-de-dezembro-de-2023-534996945</t>
  </si>
  <si>
    <t>Aluguel veículo 4 x 4 sem motorista - diária</t>
  </si>
  <si>
    <t>estimado - valor atualizado pela inflação acumulada de jan/23 a nov/24 (9,11%) - https://www.ibge.gov.br/explica/inflacao.php</t>
  </si>
  <si>
    <t>Aluguel veículo 4 x 4 sem motorista 140 a 165 CV - mês - E8891</t>
  </si>
  <si>
    <t xml:space="preserve">tabela de consultoria do DNIT - SICRO --&gt; (66 horas op *81,87)+(116,49 horas improd. * 22,61) = </t>
  </si>
  <si>
    <t>Fornecimento e aplicação da geomembrana</t>
  </si>
  <si>
    <t xml:space="preserve">não tem na tabela SINAPI de 2020 e 2021, só 2019. Portanto foi realizada uma relação entre o preço da composição e do insumo da Geomembrana em 2019, e com o preço do insumo em 2020 foi estimado o custo da composição em 2020. o preço foi mantido em 2021 - valor atualizado pela inflação acumulada (IPCA) de jan/23 a nov/24 (9,11%) </t>
  </si>
  <si>
    <t>Geogrelha nos taludes</t>
  </si>
  <si>
    <t xml:space="preserve">estimado - valor atualizado pela inflação acumulada (IPCA) de jan/23 a nov/24 (9,11%) </t>
  </si>
  <si>
    <t>Receita anual - parcela fixa</t>
  </si>
  <si>
    <t>Tarifa PGA 2025</t>
  </si>
  <si>
    <t>(R$/m³)</t>
  </si>
  <si>
    <t>Componentes</t>
  </si>
  <si>
    <t xml:space="preserve">R$ </t>
  </si>
  <si>
    <t xml:space="preserve">Percentual </t>
  </si>
  <si>
    <t>Disponibilidade</t>
  </si>
  <si>
    <t>Operação e Manutenção</t>
  </si>
  <si>
    <t>Cenário de referência</t>
  </si>
  <si>
    <t>Consumo</t>
  </si>
  <si>
    <t>Custos Ambientais</t>
  </si>
  <si>
    <t>Estados</t>
  </si>
  <si>
    <t>Vazão Disponibilizada (m³/s)</t>
  </si>
  <si>
    <t>Soma  (m³/s)</t>
  </si>
  <si>
    <t>Fundo de Reposição de Ativos</t>
  </si>
  <si>
    <t>Despesas Administrativas</t>
  </si>
  <si>
    <t>CE</t>
  </si>
  <si>
    <t>Vazão Demandada (m³/s)</t>
  </si>
  <si>
    <t>Cobrança pelo Uso dos Recursos Hídricos</t>
  </si>
  <si>
    <t>PB</t>
  </si>
  <si>
    <t>Energia Elétrica - Parcela Fixa</t>
  </si>
  <si>
    <t>PE</t>
  </si>
  <si>
    <t>Taxa de Administração - Parcela Fixa</t>
  </si>
  <si>
    <t>RN</t>
  </si>
  <si>
    <t>Depreciação</t>
  </si>
  <si>
    <t>Total</t>
  </si>
  <si>
    <t>Subtotal</t>
  </si>
  <si>
    <t>Total com Impostos</t>
  </si>
  <si>
    <t>Percentuais para cálculo da Tarifa Disponibilidade conforme Anexo I dos contratos</t>
  </si>
  <si>
    <t>Receita anual - parcela variável</t>
  </si>
  <si>
    <t>% para TD</t>
  </si>
  <si>
    <t>Observação</t>
  </si>
  <si>
    <t>Vazões para cálculo TD</t>
  </si>
  <si>
    <t>Energia Elétrica - Parcela Variável</t>
  </si>
  <si>
    <t>-</t>
  </si>
  <si>
    <t>Valor a ser pago</t>
  </si>
  <si>
    <t xml:space="preserve">Receita Requerida Anual </t>
  </si>
  <si>
    <t>Taxa de Administração - Parcela Variável</t>
  </si>
  <si>
    <t>Contrato da PB não prevê</t>
  </si>
  <si>
    <t>Fixa</t>
  </si>
  <si>
    <t>Variável</t>
  </si>
  <si>
    <t xml:space="preserve">Total </t>
  </si>
  <si>
    <t>R$</t>
  </si>
  <si>
    <t>Parcela Fixa da Receita Requerida</t>
  </si>
  <si>
    <t>Parcela Variável da Receita Requerida</t>
  </si>
  <si>
    <t>Receita Requerida Total</t>
  </si>
  <si>
    <t>União</t>
  </si>
  <si>
    <t>z</t>
  </si>
  <si>
    <t>LEGENDA</t>
  </si>
  <si>
    <t>valores atualizados</t>
  </si>
  <si>
    <t xml:space="preserve">valores corrigidos monetariamente </t>
  </si>
  <si>
    <t>CUSTO FIXO DA ENERGIA ELÉTRICA - TABELA RESUMO</t>
  </si>
  <si>
    <t>Demanda</t>
  </si>
  <si>
    <t>Custo total conexão (R$)</t>
  </si>
  <si>
    <t>Gestão da comercialização da EE</t>
  </si>
  <si>
    <t>Serviços bancários</t>
  </si>
  <si>
    <t>Taxas associativas</t>
  </si>
  <si>
    <t>Custo Fixo de Energia Elétrica Total (R$)</t>
  </si>
  <si>
    <t>COMPONENTE 1 DO CUSTO FIXO - DEMANDA</t>
  </si>
  <si>
    <t>EUST (R$)</t>
  </si>
  <si>
    <t>CCG ONS (R$)</t>
  </si>
  <si>
    <t>Custo total demanda (R$)</t>
  </si>
  <si>
    <t>Adotado ANA</t>
  </si>
  <si>
    <t>Cálculo do EUST anual</t>
  </si>
  <si>
    <t>Eixo Norte - Bom Nome</t>
  </si>
  <si>
    <t>Eixo Leste - Floresta</t>
  </si>
  <si>
    <t>Soma</t>
  </si>
  <si>
    <t>Ponta</t>
  </si>
  <si>
    <t>Fora de Ponta</t>
  </si>
  <si>
    <t>TUST (R$/KW)</t>
  </si>
  <si>
    <t>RESOLUÇÃO HOMOLOGATÓRIA Nº 3.349 DE 16 DE JULHO DE 2024</t>
  </si>
  <si>
    <t>MUST (KW)</t>
  </si>
  <si>
    <t>areh20243349_2.pdf</t>
  </si>
  <si>
    <t>EUST anual (R$)</t>
  </si>
  <si>
    <t>MUST 2025¹</t>
  </si>
  <si>
    <t>¹8º aditivo contrato CUST 029/2014</t>
  </si>
  <si>
    <t>Obs: Redução nas TUST ciclo 2024-2025</t>
  </si>
  <si>
    <t>Valor final energia elétrica corrigido pelo IPCA</t>
  </si>
  <si>
    <t>Alíquota ICMS PE</t>
  </si>
  <si>
    <t>IPCA 12 meses</t>
  </si>
  <si>
    <t>Preço Energia (t-1)</t>
  </si>
  <si>
    <t>CUSTO VARIÁVEL DA ENERGIA ELÉTRICA - TABELA RESUMO</t>
  </si>
  <si>
    <t xml:space="preserve">Consumo Estimado(MWh/ano) </t>
  </si>
  <si>
    <t>Perda Total</t>
  </si>
  <si>
    <t>Consumo com perdas (MWh/ano)</t>
  </si>
  <si>
    <t>Consumo do ramal do agreste (% do total)</t>
  </si>
  <si>
    <t>Preço Unitário Energia Elétrica (R$/MWh)</t>
  </si>
  <si>
    <t>Preço do Consumo Anual de Energia Elétrica (R$)</t>
  </si>
  <si>
    <t>ICMS ("por dentro")</t>
  </si>
  <si>
    <t>CDE (R$)</t>
  </si>
  <si>
    <t>PROINFA (R$)</t>
  </si>
  <si>
    <t>ESS (R$)</t>
  </si>
  <si>
    <t>Custo Variável de Energia Elétrica Total (R$)</t>
  </si>
  <si>
    <t>VALORES DOS ENCARGOS SETORIAIS</t>
  </si>
  <si>
    <t>*Apesar de previstos no CUST são tratados como custo variável, pois são calculados sobre a energia consumida.</t>
  </si>
  <si>
    <t>CDE *(R$/MWh)</t>
  </si>
  <si>
    <t>PROINFA** (R$/MWh)</t>
  </si>
  <si>
    <t>ESS (R$/MWh)</t>
  </si>
  <si>
    <t>RESOLUÇÃO HOMOLOGATÓRIA ANEEL Nº 3.426 e Nº 3.422</t>
  </si>
  <si>
    <t>https://www2.aneel.gov.br/cedoc/reh20243422ti.pdf</t>
  </si>
  <si>
    <t>Cálculo do Consumo Anual</t>
  </si>
  <si>
    <t>PISF</t>
  </si>
  <si>
    <t>Eixo</t>
  </si>
  <si>
    <t>H (mca)</t>
  </si>
  <si>
    <t>Vazão por bomba (m3/s)</t>
  </si>
  <si>
    <t>Pot kW</t>
  </si>
  <si>
    <t>Pot máxima</t>
  </si>
  <si>
    <t>rend motor</t>
  </si>
  <si>
    <t>efic bomb cat</t>
  </si>
  <si>
    <t>efic total cat</t>
  </si>
  <si>
    <t>efici calc total</t>
  </si>
  <si>
    <t>CEN</t>
  </si>
  <si>
    <t>Vazão proporcional m3/s</t>
  </si>
  <si>
    <t>Volume mensal m3</t>
  </si>
  <si>
    <t>nº horas/mês</t>
  </si>
  <si>
    <t>Consumo mensal MWh</t>
  </si>
  <si>
    <t>B1 - 6842cv</t>
  </si>
  <si>
    <t>N - 2 bombas</t>
  </si>
  <si>
    <t>B2 - 12160cv</t>
  </si>
  <si>
    <t>B3 - 17201cv</t>
  </si>
  <si>
    <t>Serviços auxiliares Eixo Norte</t>
  </si>
  <si>
    <t>TOTAL</t>
  </si>
  <si>
    <t>BV1 - 6680cv</t>
  </si>
  <si>
    <t>L - 2 bombas</t>
  </si>
  <si>
    <t>BV2 - 4664cv</t>
  </si>
  <si>
    <t>BV3  - 6781cv</t>
  </si>
  <si>
    <t>BV4 - 6329cv</t>
  </si>
  <si>
    <t>BV5 - 2842cv</t>
  </si>
  <si>
    <t>BV6 - 4319cv</t>
  </si>
  <si>
    <t>Serviços auxiliares Eixo Leste</t>
  </si>
  <si>
    <t>TOTAL MENSAL</t>
  </si>
  <si>
    <t>TOTAL ANUAL</t>
  </si>
  <si>
    <t>RESUMO CUSTOS DE OPERAÇÃO E MANUTENÇÃO</t>
  </si>
  <si>
    <t>Operacional Fixo (Independe de Bombeamento)</t>
  </si>
  <si>
    <t>R$/ano</t>
  </si>
  <si>
    <t>Operação e Manutenção (Tercerizada)</t>
  </si>
  <si>
    <t>Mão de Obra (E.Bs e Canais)</t>
  </si>
  <si>
    <t>Veículos</t>
  </si>
  <si>
    <t>Equipamentos</t>
  </si>
  <si>
    <t>Canteiros/Mobilização/Almoxarifado</t>
  </si>
  <si>
    <t>Ferramentas</t>
  </si>
  <si>
    <t>Materiais de consumo</t>
  </si>
  <si>
    <t>Taxas Administração e BDI</t>
  </si>
  <si>
    <t>Sistema de Proteção e Combate a Incêndio</t>
  </si>
  <si>
    <t>Sistemas de Automação (Hardware e Software)</t>
  </si>
  <si>
    <t>Inspeção Aérea por Helicoptero</t>
  </si>
  <si>
    <t>Linha foi zerada</t>
  </si>
  <si>
    <t>Inspeção Aérea por Drone</t>
  </si>
  <si>
    <t>Reparos na Infraestrutura Civil (Geomembrana e Geogrelha)</t>
  </si>
  <si>
    <t>Linhas de Transmissão</t>
  </si>
  <si>
    <t xml:space="preserve">Subestações  </t>
  </si>
  <si>
    <t>Trafos e Linhas de Média e Baixa Tensão</t>
  </si>
  <si>
    <t>Aferição de Medidores de vazão</t>
  </si>
  <si>
    <t>Fiscalização Rio Piranhas</t>
  </si>
  <si>
    <t>Reserva para Despesas Emergenciais</t>
  </si>
  <si>
    <t>Investimentos</t>
  </si>
  <si>
    <t xml:space="preserve">Ferramentas </t>
  </si>
  <si>
    <t xml:space="preserve">Canteiros/Mobilização/Almoxarifado </t>
  </si>
  <si>
    <t>Sistema de Proteção e Controle de Incêndio</t>
  </si>
  <si>
    <t>B.D.I de 19,6 % para aquisição</t>
  </si>
  <si>
    <t>Materiais/ Peças sobressalentes</t>
  </si>
  <si>
    <t>Medidores de vazão para fiscalização do Rio Piranhas</t>
  </si>
  <si>
    <t>OBS</t>
  </si>
  <si>
    <t>Equipes</t>
  </si>
  <si>
    <t>item atualizado pelos custos unitários</t>
  </si>
  <si>
    <t>Passagens</t>
  </si>
  <si>
    <t xml:space="preserve"> Manutenção e adm do escritório de apoio </t>
  </si>
  <si>
    <t>item atualizado pela variação do IGP-M</t>
  </si>
  <si>
    <t>Canteiro para manutenção das áreas em recuperação</t>
  </si>
  <si>
    <t>Equipamentos de escritório de campo</t>
  </si>
  <si>
    <t>Serviços gráficos / computação</t>
  </si>
  <si>
    <t>Análises laboratoriais</t>
  </si>
  <si>
    <t>Manutenção das áreas em recuperação referentes ao PRAD</t>
  </si>
  <si>
    <t>Subtotal 1</t>
  </si>
  <si>
    <t>Remuneração da Empresa - Lucro (10% subt 1 + subt 2)</t>
  </si>
  <si>
    <t>Subtotal 2</t>
  </si>
  <si>
    <t>Despesas Fiscais (13,96% de subtotal 2)</t>
  </si>
  <si>
    <t xml:space="preserve"> MANUTENÇÃO OPERACIONAL</t>
  </si>
  <si>
    <t>DISCRIMINAÇÃO</t>
  </si>
  <si>
    <t>UND</t>
  </si>
  <si>
    <t>QTD</t>
  </si>
  <si>
    <r>
      <t xml:space="preserve">CUSTOS </t>
    </r>
    <r>
      <rPr>
        <b/>
        <vertAlign val="superscript"/>
        <sz val="8"/>
        <rFont val="Arial"/>
        <family val="2"/>
      </rPr>
      <t>2</t>
    </r>
  </si>
  <si>
    <t>UNT</t>
  </si>
  <si>
    <t>Consultor - 1 profissional 2 meses e 2 profissionais 1,5 mês</t>
  </si>
  <si>
    <t>mês</t>
  </si>
  <si>
    <t>Coordenador Geral - Profissional sênior 1 profissional</t>
  </si>
  <si>
    <t>Profissional Pleno - 7 profissionais</t>
  </si>
  <si>
    <t>Profissional Médio - 33 profissionais</t>
  </si>
  <si>
    <t>Técnico Pleno - 32 profissionais</t>
  </si>
  <si>
    <t>Ajudante Administrativo - 11 profissionais</t>
  </si>
  <si>
    <t>Encargos Sociais  (77,25%)</t>
  </si>
  <si>
    <t>Custo de administração (20%)</t>
  </si>
  <si>
    <t>Total dos custos equipes</t>
  </si>
  <si>
    <t>Passagem aérea BSB - SR Codevasf - BSB ida e volta C/P0/P1/P2</t>
  </si>
  <si>
    <t>und</t>
  </si>
  <si>
    <t>Total dos custos passagens</t>
  </si>
  <si>
    <t>C/P0/P1/P2</t>
  </si>
  <si>
    <t>T1</t>
  </si>
  <si>
    <t>1    VEÍCULOS</t>
  </si>
  <si>
    <t>1.1 Aluguel de veículos 4x4 - Tipo Caminhonete 5 veículos</t>
  </si>
  <si>
    <t>Total dos custos e dos preços dos veículos</t>
  </si>
  <si>
    <t xml:space="preserve">2     MANUTENÇÃO E ADMINISTRAÇÃO DO ESCRITÓRIO DE APOIO </t>
  </si>
  <si>
    <t>2.1 Aluguel de escritório com mobiliário</t>
  </si>
  <si>
    <t>2.2 Telefone</t>
  </si>
  <si>
    <t>2.3 Energia elétrica</t>
  </si>
  <si>
    <t>2.4 água  e esgoto</t>
  </si>
  <si>
    <t>2.5 Material de limpeza</t>
  </si>
  <si>
    <t>2.6 Internet</t>
  </si>
  <si>
    <t>2.7 Material de escritório</t>
  </si>
  <si>
    <t>Total dos custos e dos preços da manut. e adm. do escrit.  de apoio</t>
  </si>
  <si>
    <t>3    CANTEIRO PARA MANUTENÇÃO DAS ÁREAS EM RECUPERAÇÃO</t>
  </si>
  <si>
    <t>Fornecimento e Instalação de Contêiner Metálico Escritório com sanitário Interno (2,30x6,00x2,30)</t>
  </si>
  <si>
    <t>unid</t>
  </si>
  <si>
    <t>Fornecimento e Instalação de Contêiner Metálico Modulo Sanitário (2,30x6,00x2,30) 04 vasos, 02 mictórios e 02 pias</t>
  </si>
  <si>
    <t>Fornecimento e Instalação de Contêiner Metálico Almoxarifado</t>
  </si>
  <si>
    <t>Refeitório e cozinha</t>
  </si>
  <si>
    <t>m2</t>
  </si>
  <si>
    <t>Infraestrutura de água</t>
  </si>
  <si>
    <t>Infraestrutura de energia</t>
  </si>
  <si>
    <t>Delimitação do Canteiro</t>
  </si>
  <si>
    <t>Regularização da Superfície do Terreno</t>
  </si>
  <si>
    <t xml:space="preserve">Sinalização </t>
  </si>
  <si>
    <t>Total dos custos e dos preços da manut. e adm. do canteiro</t>
  </si>
  <si>
    <t xml:space="preserve">3     EQUIPAMENTOS </t>
  </si>
  <si>
    <t>3.1 Notebook (P0, P1, P2 e T1) - (Core i7, 4Gb RAM, 1Tb)</t>
  </si>
  <si>
    <t>3.2 Impressora Multifuncional Colorida</t>
  </si>
  <si>
    <t>3.3 Máquina fotográfica (16.1MP, 8Gb de memória)</t>
  </si>
  <si>
    <t>3.4 GPS</t>
  </si>
  <si>
    <t>3.5 Data Show</t>
  </si>
  <si>
    <t>Total dos custos e dos preços dos equip. de apoio em Brasília/DF</t>
  </si>
  <si>
    <t>4     SERVIÇOS GRÁFICOS</t>
  </si>
  <si>
    <t>4.1 Relatórios Mensais do Contrato</t>
  </si>
  <si>
    <t>unid.</t>
  </si>
  <si>
    <t>4.2 Relatórios de atividades dos profissionais (média = 50 folhas)</t>
  </si>
  <si>
    <t>4.3 Impressão de Material de Divulgação (Folders - formato: a) aberto 15,0 x 59,5cm; b) fechado 15,0 x 15,0cm - em papel Couche Liso)</t>
  </si>
  <si>
    <t>4.4 Confecção de Faixas/Banners</t>
  </si>
  <si>
    <t>4.5 Impressão de Cartilhas para Ações de Educação Ambiental (média = 50 folhas)</t>
  </si>
  <si>
    <t>Total dos custos e dos preços dos serv. gráficos/computação</t>
  </si>
  <si>
    <t>5     ANÁLISES LABORATORIAIS</t>
  </si>
  <si>
    <t xml:space="preserve">5.1 ÁGUA </t>
  </si>
  <si>
    <t>Cloro</t>
  </si>
  <si>
    <t>Turbidez</t>
  </si>
  <si>
    <t>pH</t>
  </si>
  <si>
    <t>Cor</t>
  </si>
  <si>
    <t>Ferro</t>
  </si>
  <si>
    <t>Mn</t>
  </si>
  <si>
    <t>Flúor</t>
  </si>
  <si>
    <t>Al</t>
  </si>
  <si>
    <t>Coli AF</t>
  </si>
  <si>
    <t>Coli AB</t>
  </si>
  <si>
    <t>Total dos custos e das análises laboratoriais</t>
  </si>
  <si>
    <t>6. Serviços Gerais - Manutenção das áreas em recuperação referentes ao PRAD</t>
  </si>
  <si>
    <t>Manutenção de Viveiros</t>
  </si>
  <si>
    <t>Instalação (capacidade de 150 mil mudas)</t>
  </si>
  <si>
    <t>Unid.</t>
  </si>
  <si>
    <t>Manutenção</t>
  </si>
  <si>
    <t>Coleta e Multiplicação de Sementes</t>
  </si>
  <si>
    <t>Serviços de Coleta e Multiplicação de Sementes</t>
  </si>
  <si>
    <t>Abertura de Covas para mudas (40cm x 40cm x 40cm) - previsão de replantio de 30%</t>
  </si>
  <si>
    <t>Plantio de Mudas para revegetação, inclusive adubação (incluindo adubo orgânico, NPK e calcário), tutoramento de mudas, fornecimento e transporte de mudas e materiais</t>
  </si>
  <si>
    <t>Ressemeadura de extrato herbáceo - 10% de ressemeadura</t>
  </si>
  <si>
    <t>ha</t>
  </si>
  <si>
    <t>Plantio de espécies herbáceas em taludes e calhas de drenagem , inclusive adubação, fornecimento e transporte de mudas e materiais</t>
  </si>
  <si>
    <t>Controle de pragas mediante aplicação de formicidas e cupinicidas, inclusive fornecimento e transporte de materiais (área de 5,76ha)</t>
  </si>
  <si>
    <t>Capina, controle de crescimento e podas das plantas (área de 5,76 ha)</t>
  </si>
  <si>
    <t>Total dos custos e dos serviços gerais</t>
  </si>
  <si>
    <t>taxa</t>
  </si>
  <si>
    <t>R$ Investimento</t>
  </si>
  <si>
    <t>Outros Custos Fixos - total</t>
  </si>
  <si>
    <t>Variação IGP-M</t>
  </si>
  <si>
    <t>Seguros</t>
  </si>
  <si>
    <t>Valor atualizado</t>
  </si>
  <si>
    <t>Fundo de reposição de Ativos</t>
  </si>
  <si>
    <t>VF</t>
  </si>
  <si>
    <t>Cobrança pelo uso da água</t>
  </si>
  <si>
    <t>VP</t>
  </si>
  <si>
    <t>Reserva para despesas emergenciais</t>
  </si>
  <si>
    <t>PMT</t>
  </si>
  <si>
    <t>diferença</t>
  </si>
  <si>
    <t>Período (em anos)</t>
  </si>
  <si>
    <t>Tx juros composição do fundo</t>
  </si>
  <si>
    <t>VALOR INVESTIDO EM EQUIPAMENTOS - EIXOS NORTE E LESTE</t>
  </si>
  <si>
    <t>Macro serviço</t>
  </si>
  <si>
    <t>Contrato</t>
  </si>
  <si>
    <t>Empresa</t>
  </si>
  <si>
    <t>Escopo dos equipamentos fornecidos</t>
  </si>
  <si>
    <t>Data do Orçamento de Referência</t>
  </si>
  <si>
    <t>Total investido em equipamentos e montagem à P0</t>
  </si>
  <si>
    <t>Fator de correção IGPM para dezembro de 2017</t>
  </si>
  <si>
    <t>Valor corrigido para janeiro de 2018</t>
  </si>
  <si>
    <t>MOTOBOMBAS</t>
  </si>
  <si>
    <t>Bombas</t>
  </si>
  <si>
    <t>21/2007-MI</t>
  </si>
  <si>
    <t>Cons. KSB/SULZER - KSB BOMBAS HIDRÁULICAS S.A</t>
  </si>
  <si>
    <t>Fornecimento de motores, painéis e bombas para a EBV-2, EBV-5 e EBV-6</t>
  </si>
  <si>
    <t>Leste</t>
  </si>
  <si>
    <t>8/2007-MI</t>
  </si>
  <si>
    <t>Fornecimento de motores, painéis e bombas para a EBI-1</t>
  </si>
  <si>
    <t>Norte</t>
  </si>
  <si>
    <t>Fornecimento de motores, painéis e bombas para a EBV-1, EBV-3 e EBV-4</t>
  </si>
  <si>
    <t>10/2007-MI</t>
  </si>
  <si>
    <t>ALSTON HYDRO ENERGIA</t>
  </si>
  <si>
    <t>Fornecimento de motores, painéis e bombas para a EBI-2 e EBI-3</t>
  </si>
  <si>
    <t>25/2011</t>
  </si>
  <si>
    <t>Mendes Junior</t>
  </si>
  <si>
    <t>Montagem de equipamentos das Estações EBI-1, 2 e 3 (tubulação, motobombas e paineis elétricos)</t>
  </si>
  <si>
    <t>47/2013</t>
  </si>
  <si>
    <t>SA Paulista /SOMAGUE</t>
  </si>
  <si>
    <t>Montagem de equipamentos das Estações EBV-1, 2,3,4,5 e 6 (tubulação, motobombas e paineis elétricos)</t>
  </si>
  <si>
    <t>Comportas e grades</t>
  </si>
  <si>
    <t>45/2012</t>
  </si>
  <si>
    <t>Serveng</t>
  </si>
  <si>
    <t>Montagem de equipamentos mecânicos das barragens da meta 2Norte</t>
  </si>
  <si>
    <t>HIDROMECÂNICOS</t>
  </si>
  <si>
    <t>Adutora</t>
  </si>
  <si>
    <t>09/2009-MI</t>
  </si>
  <si>
    <t>G.M 5 INDUSTRIA E COMERCIO LTDA/ENATEC</t>
  </si>
  <si>
    <t>Fornecimento de tubulação para o Eixo Leste</t>
  </si>
  <si>
    <t>adutora</t>
  </si>
  <si>
    <t>10/2009-MI</t>
  </si>
  <si>
    <t>Fornecimento de tubulação para o Eixo Norte</t>
  </si>
  <si>
    <t>13/2009-MI</t>
  </si>
  <si>
    <t>ENERG POWER S/A - EMALTO - LTDA</t>
  </si>
  <si>
    <t>Comportas e Grades do Eixo Norte</t>
  </si>
  <si>
    <t>Pontes rolantes, pórticos e talhas</t>
  </si>
  <si>
    <t>14/2009-MI</t>
  </si>
  <si>
    <t>ENERG POWER S/A - SERMATE  LTDA</t>
  </si>
  <si>
    <t>Pontes rolantes e Pórticos das EB's do Eixo Norte</t>
  </si>
  <si>
    <t>71/2014-MI</t>
  </si>
  <si>
    <t>G.M 5 INDUSTRIA E COMERCIO LTDA</t>
  </si>
  <si>
    <t>Fornecimento de tubulação da 2ª adutora e complementares para o Eixo Leste</t>
  </si>
  <si>
    <t>válvulas</t>
  </si>
  <si>
    <t>81/2014-MI</t>
  </si>
  <si>
    <t>ENERG POWER S/A</t>
  </si>
  <si>
    <t>Válvula complementares do Eixo leste</t>
  </si>
  <si>
    <t>65/2014-MI</t>
  </si>
  <si>
    <t>Talhas das TUD's do Eixo Leste e Norte</t>
  </si>
  <si>
    <t>Norte e Leste</t>
  </si>
  <si>
    <t>05/2009-MI</t>
  </si>
  <si>
    <t>BAUMA</t>
  </si>
  <si>
    <t>Pontes rolantes e Pórticos das EB's do Eixo Leste</t>
  </si>
  <si>
    <t>06/2009-MI</t>
  </si>
  <si>
    <t>Hydrostec</t>
  </si>
  <si>
    <t>Válvulas do Eixo Leste</t>
  </si>
  <si>
    <t>07/2009-MI</t>
  </si>
  <si>
    <t>Válvulas do Eixo Norte</t>
  </si>
  <si>
    <t>08/2009-MI</t>
  </si>
  <si>
    <t>Comportas e Grades do Eixo Leste</t>
  </si>
  <si>
    <t>PACOTE ELÉTRICO</t>
  </si>
  <si>
    <t>linha distribuição</t>
  </si>
  <si>
    <t>27/2014</t>
  </si>
  <si>
    <t>CONTROL CONSTRUÇÕES LTDA</t>
  </si>
  <si>
    <t>Linhas de distribuição do Eixo Norte</t>
  </si>
  <si>
    <t>28/2014</t>
  </si>
  <si>
    <t>Linhas de distribuição do Eixo Leste</t>
  </si>
  <si>
    <t>linha de transmissão</t>
  </si>
  <si>
    <t>38/2009-MI</t>
  </si>
  <si>
    <t>SCHAHIN ENGENHARIA S.A</t>
  </si>
  <si>
    <t xml:space="preserve"> Linha de Transmissão, em 230 kV, para o Eixo Norte</t>
  </si>
  <si>
    <t>41/2009-MI</t>
  </si>
  <si>
    <t>Linha de Transmissão, em 230 kV, para o Eixo Leste</t>
  </si>
  <si>
    <t>11/2014 - MI</t>
  </si>
  <si>
    <t>PROCABLE ENERGIA E TELECOMUNICACOES S/A</t>
  </si>
  <si>
    <t>Remanescente da linha de Transmissão do Eixo Leste</t>
  </si>
  <si>
    <t>subestação</t>
  </si>
  <si>
    <t>40/2009</t>
  </si>
  <si>
    <t>TOSHIBA SISTEMAS DE TRANSMISSÃO E DISTRIBUIÇÃO S.A - 40/2009</t>
  </si>
  <si>
    <t>Subestações do N1, N2 e N3 do Eixo Norte</t>
  </si>
  <si>
    <t>82/2013</t>
  </si>
  <si>
    <t>TOSHIBA SISTEMAS DE TRANSMISSÃO E DISTRIBUIÇÃO S.A - 82/2013 L</t>
  </si>
  <si>
    <t>Remanescente das subestações  N1, N2 e N3 do Eixo Norte</t>
  </si>
  <si>
    <t>TOSHIBA SISTEMAS DE TRANSMISSÃO E DISTRIBUIÇÃO S.A - 82/2013 N</t>
  </si>
  <si>
    <t>Remanescente das subestações  EO, E1 , E2, E3 e E4 do Eixo Leste</t>
  </si>
  <si>
    <t>estação de bombeamento</t>
  </si>
  <si>
    <t>20/2010-MI</t>
  </si>
  <si>
    <t>VORAX ACIONAMENTOS E AUTOMAÇÃO LTDA</t>
  </si>
  <si>
    <t>Softstarter das estações de bombeamento do Eixo Leste</t>
  </si>
  <si>
    <t>73/2013-MI</t>
  </si>
  <si>
    <t>WEG DRIVES &amp; CONTROLS - AUTOMACAO LTDA</t>
  </si>
  <si>
    <t>SoftStarter da Estação de Bombeamento EBl-1 , do Eixo Norte</t>
  </si>
  <si>
    <t>72/2013-MI</t>
  </si>
  <si>
    <t>VORAX ACIONAMENTOS E AUTOMACAO LTDA</t>
  </si>
  <si>
    <t>SoftStarter da Estação de Bombeamento EBl-2, do Eixo Norte</t>
  </si>
  <si>
    <t>71/2013-MI</t>
  </si>
  <si>
    <t>Softstarter da Estação de Bombeamento EBI-3, do Eixo Norte</t>
  </si>
  <si>
    <t>automação</t>
  </si>
  <si>
    <t>16/2010-MI</t>
  </si>
  <si>
    <t>VECTOR SISTEMAS DE AUTOMAÇÃO LTDA</t>
  </si>
  <si>
    <t>Sistema Digital de Supervisão e Controle - SDSC e Sistema de Telecomunicações do Eixo Norte</t>
  </si>
  <si>
    <t>13/2010-MI</t>
  </si>
  <si>
    <t>Sistema Digital de Supervisão e Controle - SDSC e Sistema de Telecomunicações do Eixo Leste</t>
  </si>
  <si>
    <t>65/2014</t>
  </si>
  <si>
    <t>Talhas das TUD's do Eixo  Norte</t>
  </si>
  <si>
    <t>Talhas das TUD's do Eixo Leste</t>
  </si>
  <si>
    <t>70/2014</t>
  </si>
  <si>
    <t xml:space="preserve">TARGET SERVICOS ELETRICOS ESPECIALIZADOS </t>
  </si>
  <si>
    <t>Quadros de distribuição de corrente alternada-QDCA, para EBs do Eixo Leste</t>
  </si>
  <si>
    <t>05/2015</t>
  </si>
  <si>
    <t>Remanescente da linha de transmissão do Eixo Norte</t>
  </si>
  <si>
    <t>31/2015</t>
  </si>
  <si>
    <t>JPW ENGENHARIA ELETRICA LTDA</t>
  </si>
  <si>
    <t>Implantação das subestações E5 e E6</t>
  </si>
  <si>
    <t>32/2015</t>
  </si>
  <si>
    <t>Implantação do bay da subestação E4</t>
  </si>
  <si>
    <t>* Foram descontados dos custos totais do contrato os valores referentes à projeto, obras civis (como fundações e estrutras físicas definitivas), sendo contabilizado apenas aqueles relativos ao fornecimento, montagem e comissionamento dos equipamentos.</t>
  </si>
  <si>
    <t>Valor</t>
  </si>
  <si>
    <t>Percentual em relação ao total</t>
  </si>
  <si>
    <t>Vida útil</t>
  </si>
  <si>
    <t>Fonte</t>
  </si>
  <si>
    <t>Estudo de vida útil e Taxa de Depreciação, ANEEL, pag 254</t>
  </si>
  <si>
    <t>Estudo de vida útil e Taxa de Depreciação, ANEEL, pag 176</t>
  </si>
  <si>
    <t>Estudo de vida útil e Taxa de Depreciação, ANEEL, pag 561</t>
  </si>
  <si>
    <t>Estudo de vida útil e Taxa de Depreciação, ANEEL, pag 186 (condutores) e 269 (estruturas)</t>
  </si>
  <si>
    <t>Estudo de vida útil e Taxa de Depreciação, ANEEL, pag 245</t>
  </si>
  <si>
    <t>Estudo de vida útil e Taxa de Depreciação, ANEEL, pag 343</t>
  </si>
  <si>
    <t>Estudo de vida útil e Taxa de Depreciação, ANEEL, pag 181 (condutor) e pag 262 (estruturas)</t>
  </si>
  <si>
    <t>Estudo de vida útil e Taxa de Depreciação, ANEEL, pag 327</t>
  </si>
  <si>
    <t>Sistema de proteção e combate à incêndio</t>
  </si>
  <si>
    <t>Adotado pela ANA</t>
  </si>
  <si>
    <t>Adotado</t>
  </si>
  <si>
    <t>anos</t>
  </si>
  <si>
    <t>Resumo do valor considerado razoável pela Ana para o 1º ano de operação</t>
  </si>
  <si>
    <t xml:space="preserve">Despesas </t>
  </si>
  <si>
    <t>Valor R$</t>
  </si>
  <si>
    <t>ANA 2024</t>
  </si>
  <si>
    <t>ANA 2023</t>
  </si>
  <si>
    <t>ANA2022</t>
  </si>
  <si>
    <t>ANA 2021</t>
  </si>
  <si>
    <t>ANA 2020</t>
  </si>
  <si>
    <t>ANA 2019</t>
  </si>
  <si>
    <t>ANA 2018</t>
  </si>
  <si>
    <t>Despesas Adm. Mão de Obra Própria</t>
  </si>
  <si>
    <t>Despesas Administrativas - total</t>
  </si>
  <si>
    <t>Salários +Encargos+Gratificação natalina + 1/3 férias</t>
  </si>
  <si>
    <t>Salários</t>
  </si>
  <si>
    <t>Benefícios</t>
  </si>
  <si>
    <t>Materiais e Serviços:</t>
  </si>
  <si>
    <t>Material e Serviços</t>
  </si>
  <si>
    <t>Comunicação</t>
  </si>
  <si>
    <t>Serviços de auditoria independente</t>
  </si>
  <si>
    <t>Água e Eletricidade</t>
  </si>
  <si>
    <t>Diárias e Passagens</t>
  </si>
  <si>
    <t>Mobiliário</t>
  </si>
  <si>
    <t>Papelaria</t>
  </si>
  <si>
    <t>Escritórios, estacionamento e manutenção, e segurança predial  limpeza predial</t>
  </si>
  <si>
    <t>Seguro Predial</t>
  </si>
  <si>
    <t>Tecnologia da Informação</t>
  </si>
  <si>
    <t>Exames periódicos</t>
  </si>
  <si>
    <t>Veículos e combustível</t>
  </si>
  <si>
    <t>Auditoria independente</t>
  </si>
  <si>
    <t xml:space="preserve">Subtotal </t>
  </si>
  <si>
    <t>Taxa de Administração (TA = TAf + TAv)</t>
  </si>
  <si>
    <t>ICMS - 25% ("por dentro")</t>
  </si>
  <si>
    <t>CV sem encargos</t>
  </si>
  <si>
    <t>Taxa de Administração Fixa (TAf)</t>
  </si>
  <si>
    <t>CF - FRA - COB</t>
  </si>
  <si>
    <t>% PTAf</t>
  </si>
  <si>
    <t>Fator Z</t>
  </si>
  <si>
    <t>Taxa de Administração Variável (TAv)</t>
  </si>
  <si>
    <t>Cálculo Tav</t>
  </si>
  <si>
    <t>CVreg sem encargos</t>
  </si>
  <si>
    <t>% PTAv</t>
  </si>
  <si>
    <t>Profissional</t>
  </si>
  <si>
    <t>Quantidade</t>
  </si>
  <si>
    <t>Salários (R$/mês) (a)</t>
  </si>
  <si>
    <t>Encargos (R$/mês) (b)</t>
  </si>
  <si>
    <t>Benefícios (R$/mês) (c)</t>
  </si>
  <si>
    <t>TURNO/Hora Extras (R$/mês) (d)</t>
  </si>
  <si>
    <t>Periculosidade (R$/mês)      (e)</t>
  </si>
  <si>
    <t>Adicional Noturno (R$/mês)             (f)</t>
  </si>
  <si>
    <t>Total (R$/ano) (g)</t>
  </si>
  <si>
    <t>MÃO DE OBRA DE CONTRATAÇÃO EVENTUAL</t>
  </si>
  <si>
    <t>Cod Sinapi</t>
  </si>
  <si>
    <t>Unidade</t>
  </si>
  <si>
    <t>Operador de estação de bombeamento diurno</t>
  </si>
  <si>
    <t>Consultoria</t>
  </si>
  <si>
    <t>R$/h</t>
  </si>
  <si>
    <t>Operador de estação de bombeamento noturno</t>
  </si>
  <si>
    <t>Mergulhador profissional em mecânica</t>
  </si>
  <si>
    <t>R$/dia</t>
  </si>
  <si>
    <t>Auxiliar de serviços gerais</t>
  </si>
  <si>
    <t>88316 - C</t>
  </si>
  <si>
    <t>88317 - C</t>
  </si>
  <si>
    <t>fórmula corrigida para multiplicar por 8 ao invés de 12</t>
  </si>
  <si>
    <t>90780 - C</t>
  </si>
  <si>
    <t>Auxiliar de mecânica</t>
  </si>
  <si>
    <t>88309 - C</t>
  </si>
  <si>
    <t>Técnico em eletrotécnica ou mecatrônica</t>
  </si>
  <si>
    <t>88310 - C</t>
  </si>
  <si>
    <t>Auxiliar de mecatrônica</t>
  </si>
  <si>
    <t>88242 - C</t>
  </si>
  <si>
    <t>Memória de cálculo hora consultoria</t>
  </si>
  <si>
    <t>custo unitário</t>
  </si>
  <si>
    <t>quantidade</t>
  </si>
  <si>
    <t>Hora consultor</t>
  </si>
  <si>
    <t>Vigias diurno</t>
  </si>
  <si>
    <t>Encargos sociais - 20%</t>
  </si>
  <si>
    <t>Vigias noturno</t>
  </si>
  <si>
    <t>Custo administrativo - 30%</t>
  </si>
  <si>
    <t>Leiturista</t>
  </si>
  <si>
    <t>Remuneração da empresa - 12%</t>
  </si>
  <si>
    <t>Despesas Fiscais</t>
  </si>
  <si>
    <t>Treinamento - 1,50%</t>
  </si>
  <si>
    <t>Passagens SP - PISF - SP</t>
  </si>
  <si>
    <t>Mão de obra eventual</t>
  </si>
  <si>
    <t>Aluguel veículo 4 x 4</t>
  </si>
  <si>
    <t>Custo horário para 40 horas</t>
  </si>
  <si>
    <t>Memória de cálculo mergulhador</t>
  </si>
  <si>
    <t>Salário mensal mergulhador</t>
  </si>
  <si>
    <t>Encargos sociais - 84%</t>
  </si>
  <si>
    <t>Custo diário</t>
  </si>
  <si>
    <t>Engenheiros</t>
  </si>
  <si>
    <t>VEÍCULO PARA O&amp;M</t>
  </si>
  <si>
    <t>R$/ANO</t>
  </si>
  <si>
    <t>VEÍCULO</t>
  </si>
  <si>
    <t>COMBUSTÍVEL</t>
  </si>
  <si>
    <t>TOTAL VEÍCULOS PARA O&amp;M</t>
  </si>
  <si>
    <t>PREÇO</t>
  </si>
  <si>
    <t>UNITÁRIO MENSAL (R$)</t>
  </si>
  <si>
    <t xml:space="preserve"> TOTAL MENSAL (R$)</t>
  </si>
  <si>
    <t xml:space="preserve"> TOTAL ANUAL (R$)</t>
  </si>
  <si>
    <t>Pick up 4x4 Cabine Dupla</t>
  </si>
  <si>
    <t>Motocicleta mínimo 150cc adequada para terrenos carroçável com equipamentos de segurança</t>
  </si>
  <si>
    <t>Automóvel no mínimo 1.6 com 5 lugares</t>
  </si>
  <si>
    <t>Caminhão capacidade carga 4000kg cabine dupla com carroceria longa</t>
  </si>
  <si>
    <t>Sem informação</t>
  </si>
  <si>
    <t>Ônibus com 45 lugares - 218CV (com motorista - incluindo combustível e manutenção)</t>
  </si>
  <si>
    <t>Não previsto na metodologia</t>
  </si>
  <si>
    <t>Veículo - van com motorista - tipo furgão (E8887) - Operativo + Improdutivo</t>
  </si>
  <si>
    <t>Combustível</t>
  </si>
  <si>
    <t>SubTotal</t>
  </si>
  <si>
    <t>Variação IGP-M dez/2017 a out/2022</t>
  </si>
  <si>
    <t>Valor atualizado para out 2018</t>
  </si>
  <si>
    <t>Tabela DNIT-SICRO</t>
  </si>
  <si>
    <t>Código</t>
  </si>
  <si>
    <t>Tipo</t>
  </si>
  <si>
    <t>Custo unitário (R$ / un)</t>
  </si>
  <si>
    <t>Produtivo</t>
  </si>
  <si>
    <t>Improdutivo</t>
  </si>
  <si>
    <t>E8889</t>
  </si>
  <si>
    <t>Veículo leve - 53 kW (sem motorista)</t>
  </si>
  <si>
    <t>hora</t>
  </si>
  <si>
    <t>E8890</t>
  </si>
  <si>
    <t>Veículo leve - 53 kW (com motorista)</t>
  </si>
  <si>
    <t>E8891</t>
  </si>
  <si>
    <t>Veículo leve picape 4 x 4 com capacidade de 1,10 t - 147 kW (sem motorista)</t>
  </si>
  <si>
    <t>E8888</t>
  </si>
  <si>
    <t>Veículo tipo van furgão com capacidade de 1,38 t - 100 kW (sem motorista)</t>
  </si>
  <si>
    <t>E8887</t>
  </si>
  <si>
    <t>Veículo tipo van furgão com capacidade de 1,38 t - 100 kW (com motorista)</t>
  </si>
  <si>
    <t>ANA</t>
  </si>
  <si>
    <t>ESPECIFICAÇÃO DO EQUIPAMENTO</t>
  </si>
  <si>
    <t>QUANT.</t>
  </si>
  <si>
    <t>UNIDADE</t>
  </si>
  <si>
    <t>PREÇO DIA (R$)</t>
  </si>
  <si>
    <t>PREÇO TOTAL (R$)</t>
  </si>
  <si>
    <t>%</t>
  </si>
  <si>
    <t>% ACUMULADA</t>
  </si>
  <si>
    <t>Escavadeira hidráulica médio porte (Potencia mínima 140 hp)</t>
  </si>
  <si>
    <t>Diária</t>
  </si>
  <si>
    <t>Trator de esteira D6</t>
  </si>
  <si>
    <t>Caminhão com guindaste veicular para 4000 kg</t>
  </si>
  <si>
    <t>Retroescavadeira 4x2 (Potencia mínima 75 hp)</t>
  </si>
  <si>
    <t>Gerador 250 KVA</t>
  </si>
  <si>
    <t>Moto niveladora (Potencia mínima 140 hp)</t>
  </si>
  <si>
    <t>Cavalo mecânico com prancha de capacidade para transporte das máquinas</t>
  </si>
  <si>
    <r>
      <t>Caminhão reduzido caçamba 6 m</t>
    </r>
    <r>
      <rPr>
        <vertAlign val="superscript"/>
        <sz val="8"/>
        <rFont val="Arial"/>
        <family val="2"/>
      </rPr>
      <t>3</t>
    </r>
  </si>
  <si>
    <t>Compressor 400 pcm</t>
  </si>
  <si>
    <t>Carregadeira de esteira (Potencia mínima 150 hp)</t>
  </si>
  <si>
    <t>Gerador 100 KVA</t>
  </si>
  <si>
    <t>Empilhadeira sobre pneus 2500 kg</t>
  </si>
  <si>
    <t>Compressor 300 pcm</t>
  </si>
  <si>
    <t>Gerador 50 KVA</t>
  </si>
  <si>
    <t>Gerador 15 KVA</t>
  </si>
  <si>
    <t>Gerador 30 KVA</t>
  </si>
  <si>
    <t>Compressor 180 pcm</t>
  </si>
  <si>
    <t>Carregadeira de pneus (Potencia mínima 120 hp)</t>
  </si>
  <si>
    <t>Caminhão pipa para 12000 litros</t>
  </si>
  <si>
    <t>Gerador 4 KVA</t>
  </si>
  <si>
    <t>Gerador 7 KVA</t>
  </si>
  <si>
    <t>Gerador 10 KVA</t>
  </si>
  <si>
    <t>Martelo manual pneumático de 30 Kg</t>
  </si>
  <si>
    <t>Bomba draga autoescovante 3” x 3”/ 4” x 4” diesel</t>
  </si>
  <si>
    <t>Moto bomba 4” diesel</t>
  </si>
  <si>
    <t>Caminhão trucado para carregamento das máquinas</t>
  </si>
  <si>
    <t>km</t>
  </si>
  <si>
    <t>Adicional de quilometragem para uso nos itens 10 a 14</t>
  </si>
  <si>
    <t>Km</t>
  </si>
  <si>
    <t>Máquina de solda 402 amperes trifásica</t>
  </si>
  <si>
    <t>Bomba submersa 2” / 3”/ 4” bc/ 30h 220/380 trifásica</t>
  </si>
  <si>
    <t>Bomba de hidrojato 4” x 3” trifásica 10 cv</t>
  </si>
  <si>
    <t>Máquina de solda 325 amperes trifásica</t>
  </si>
  <si>
    <t>Compactadora percussão – Elétrico (Trifásico/monofásico)</t>
  </si>
  <si>
    <t>Bomba de drenagem 2”</t>
  </si>
  <si>
    <t>Bomba submersa 2”</t>
  </si>
  <si>
    <t>Máquina de solda 250 amperes monofásica</t>
  </si>
  <si>
    <t>Bomba de drenagem av 25 sem motor</t>
  </si>
  <si>
    <t>Compactadora percussão - Gasolina</t>
  </si>
  <si>
    <t>Placa Vibratória - Gasolina</t>
  </si>
  <si>
    <t>Placa Vibratória - Elétrica</t>
  </si>
  <si>
    <t>Betoneira diesel ou gasolina carregador mínimo de 500 L</t>
  </si>
  <si>
    <t>Perfuratriz manual pneumática de 30 Kg</t>
  </si>
  <si>
    <t>Betoneira diesel ou gasolina carregador mínimo de 320 L</t>
  </si>
  <si>
    <t>Betoneira elétrica com carregador mínimo de 500 L</t>
  </si>
  <si>
    <t>Betoneira elétrica com carregador mínimo de 320 L</t>
  </si>
  <si>
    <t>Vibrador diesel ou gasolina com chicote</t>
  </si>
  <si>
    <t>Andaime tubular 1,00 x 1,00 m</t>
  </si>
  <si>
    <t>Andaime tubular 1,50 x 1,00 m</t>
  </si>
  <si>
    <t>Almoxarifados/Mobilização</t>
  </si>
  <si>
    <t>Material de consumo (custeio)</t>
  </si>
  <si>
    <t>Mobiliários e Escritórios (Custeio)</t>
  </si>
  <si>
    <t>Total de despesas de custeio</t>
  </si>
  <si>
    <t>Total de despesas de investimento</t>
  </si>
  <si>
    <t>Total de despesas de depreciação</t>
  </si>
  <si>
    <t>MATERIAL DE CONSUMO PESSOAL E DE ESCRITÓRIO PARA ESTAÇÃO DE BOMBEAMENTO</t>
  </si>
  <si>
    <t>ITEM</t>
  </si>
  <si>
    <t>DESCRIÇÃO</t>
  </si>
  <si>
    <t>UNITÁRIO (R$)</t>
  </si>
  <si>
    <t xml:space="preserve"> TOTAL (R$)</t>
  </si>
  <si>
    <t>Açúcar</t>
  </si>
  <si>
    <t>Kg</t>
  </si>
  <si>
    <t xml:space="preserve">Água mineral </t>
  </si>
  <si>
    <t>Galão 20 lts</t>
  </si>
  <si>
    <t xml:space="preserve">Café torrado e moído </t>
  </si>
  <si>
    <t>Pac. c/ 250g</t>
  </si>
  <si>
    <t>Caneta esferográfica azul</t>
  </si>
  <si>
    <t>Cartucho colorido para impressora</t>
  </si>
  <si>
    <t>Cartucho preto para impressora</t>
  </si>
  <si>
    <t>CD RW</t>
  </si>
  <si>
    <t>Clips nº 4</t>
  </si>
  <si>
    <t>Caixa c/100</t>
  </si>
  <si>
    <t>Clips nº 8</t>
  </si>
  <si>
    <t>Cola Tenaz</t>
  </si>
  <si>
    <t>Copo descartável 300ml</t>
  </si>
  <si>
    <t>Centena</t>
  </si>
  <si>
    <t>Copo descartável 50ml</t>
  </si>
  <si>
    <t xml:space="preserve">Corretivo a base d’água </t>
  </si>
  <si>
    <t>Unid. c/18ml</t>
  </si>
  <si>
    <t>Desinfetante</t>
  </si>
  <si>
    <t>Unid.c/1000ml</t>
  </si>
  <si>
    <t>Álcool</t>
  </si>
  <si>
    <t>Detergente 500 ml</t>
  </si>
  <si>
    <t>Envelope de papel tamanho grande – 40 cm</t>
  </si>
  <si>
    <t>Pac. c/100</t>
  </si>
  <si>
    <t>Envelope de papel tamanho médio – 35 cm</t>
  </si>
  <si>
    <t>Envelope de papel tamanho pequeno – 30 cm</t>
  </si>
  <si>
    <t>Grampeador grande de mesa P/40F</t>
  </si>
  <si>
    <t>Perfurador de papel 2 furos até 30 fls</t>
  </si>
  <si>
    <t>Esponja</t>
  </si>
  <si>
    <t>Estilete 18mm</t>
  </si>
  <si>
    <t>Fita adesiva 48/100</t>
  </si>
  <si>
    <t>Fita adesiva transparente</t>
  </si>
  <si>
    <t>Pac. c/ 3 unid.</t>
  </si>
  <si>
    <t>Fita crepe branca 45x50mm</t>
  </si>
  <si>
    <t>Flanela</t>
  </si>
  <si>
    <t>Grampo 26/6</t>
  </si>
  <si>
    <t>Caixa c/ 1000</t>
  </si>
  <si>
    <t>Lápis</t>
  </si>
  <si>
    <t>Livro de ata com 100 páginas numeradas</t>
  </si>
  <si>
    <t>Marca texto</t>
  </si>
  <si>
    <t>Caixa c/12</t>
  </si>
  <si>
    <t>Pano de chão</t>
  </si>
  <si>
    <t>Papel toalha</t>
  </si>
  <si>
    <t>Pano de prato</t>
  </si>
  <si>
    <t>Pasta arquivo AZ Ofício</t>
  </si>
  <si>
    <t>Pasta suspensa</t>
  </si>
  <si>
    <t>Régua 30cm Acrílico Cristal</t>
  </si>
  <si>
    <t>Papel A4</t>
  </si>
  <si>
    <t>Resma</t>
  </si>
  <si>
    <t>Papel higiênico</t>
  </si>
  <si>
    <t>Rolo</t>
  </si>
  <si>
    <t>Sabão em pó 500 g</t>
  </si>
  <si>
    <t>Caixa</t>
  </si>
  <si>
    <t>Rodo de borracha</t>
  </si>
  <si>
    <t>Vassoura</t>
  </si>
  <si>
    <t>Sabonete 90g</t>
  </si>
  <si>
    <t>Fardamento incluindo vigilância</t>
  </si>
  <si>
    <t xml:space="preserve">Kit </t>
  </si>
  <si>
    <t xml:space="preserve">EPIs (luvas, abafadores, capacetes, botas, etc.) </t>
  </si>
  <si>
    <t>TOTAL CUSTEIO</t>
  </si>
  <si>
    <t>MATERIAL DE CONSUMO PESSOAL E DE ESCRITÓRIO PARA O CANAL</t>
  </si>
  <si>
    <t xml:space="preserve">ORÇAMENTO MÓVEIS E EQUIPAMENTOS DOS ESCRITÓRIOS das Ebs </t>
  </si>
  <si>
    <r>
      <t>Ref. NCM/ outros</t>
    </r>
    <r>
      <rPr>
        <b/>
        <sz val="12"/>
        <color rgb="FF000000"/>
        <rFont val="Arial"/>
        <family val="2"/>
      </rPr>
      <t xml:space="preserve"> *</t>
    </r>
  </si>
  <si>
    <t>Vida útil anos</t>
  </si>
  <si>
    <t>Depreciação anual</t>
  </si>
  <si>
    <t>TOTAL (R$)</t>
  </si>
  <si>
    <t>Jogo de utensílios para cozinha</t>
  </si>
  <si>
    <t>SUBTOTAL CUSTEIO</t>
  </si>
  <si>
    <t>Notebook para operação da EB, chefia e fiscalização</t>
  </si>
  <si>
    <t>IN SRF nº 4/85</t>
  </si>
  <si>
    <t>Computador completo operação da oficina, vigilância e administração</t>
  </si>
  <si>
    <t>Impressora multifuncional</t>
  </si>
  <si>
    <t>Câmera fotográfica digital</t>
  </si>
  <si>
    <t>Sistema de radiocomunicação</t>
  </si>
  <si>
    <t>GPS</t>
  </si>
  <si>
    <t>Geladeira</t>
  </si>
  <si>
    <t>Fogão com botijão de gás</t>
  </si>
  <si>
    <t>Forno Micro ondas</t>
  </si>
  <si>
    <t>Mesa de refeitório 10 lugares c/cadeiras</t>
  </si>
  <si>
    <t>Mesa de reunião</t>
  </si>
  <si>
    <t>Cadeira de escritório</t>
  </si>
  <si>
    <t>Mesa de escritório</t>
  </si>
  <si>
    <t>Armário de escritório</t>
  </si>
  <si>
    <t>Armário para vestiário</t>
  </si>
  <si>
    <t>Bebedouro</t>
  </si>
  <si>
    <t>SUBTOTAL INVESTIMENTOS</t>
  </si>
  <si>
    <t>Custeio: depreciação</t>
  </si>
  <si>
    <t>*</t>
  </si>
  <si>
    <t>IN SRF 162/98 - ANEXO I - NCM - Bens Relacionados na Nomenclatura Comum do Mercosul</t>
  </si>
  <si>
    <t>ORÇAMENTO MÓVEIS E EQUIPAMENTOS DOS ESCRITÓRIOS E OFICINAS DO CANAL (Todos os canteiros)</t>
  </si>
  <si>
    <t>Ref. NCM</t>
  </si>
  <si>
    <t>01 conjunto de utensílios para cozinha</t>
  </si>
  <si>
    <t xml:space="preserve">Sistema de Radiocomunicação </t>
  </si>
  <si>
    <t>Mesa de refeitório 10 lugares c/ cadeiras</t>
  </si>
  <si>
    <t>Condicionador de ar</t>
  </si>
  <si>
    <t>Armário para vestiário c/16 portas</t>
  </si>
  <si>
    <r>
      <t>TOTAL</t>
    </r>
    <r>
      <rPr>
        <b/>
        <sz val="9"/>
        <rFont val="Calibri"/>
        <family val="2"/>
      </rPr>
      <t xml:space="preserve"> </t>
    </r>
  </si>
  <si>
    <t>Ferramentas para EB</t>
  </si>
  <si>
    <t>Ferramentas para Canais/Canteiros</t>
  </si>
  <si>
    <t>Depreciação ferramentas EB</t>
  </si>
  <si>
    <t>Depreciação ferramentas Canais/Canteiros</t>
  </si>
  <si>
    <t>TOTAL DE CUSTEIO EM FERRAMENTAS</t>
  </si>
  <si>
    <t>TOTAL DEPRECIAÇÃO FERRAMENTAS</t>
  </si>
  <si>
    <t>Variação IGP-M dez/2017 a out/2024</t>
  </si>
  <si>
    <t>TOTAL DE INVESTIMENTOS</t>
  </si>
  <si>
    <t xml:space="preserve">FERRAMENTAS PARA ESTAÇÃO DE BOMBEAMENTO </t>
  </si>
  <si>
    <t>consumo</t>
  </si>
  <si>
    <t>Balde de 20 L milimitrado</t>
  </si>
  <si>
    <t>Bastão de manobra – 6 m</t>
  </si>
  <si>
    <t>Bomba de graxa 5 kg</t>
  </si>
  <si>
    <t>Calibrador de folgas de 0,03 mm – 0,50 mm</t>
  </si>
  <si>
    <t>Conjunto de chaves básicas para eletricista</t>
  </si>
  <si>
    <t>Conjunto de chaves básicas para mecânico</t>
  </si>
  <si>
    <t>Conjunto de ferramentas básicas para encanador</t>
  </si>
  <si>
    <t>Conjunto de ferramentas básicas para pedreiro</t>
  </si>
  <si>
    <t>Nível c/ bolha ajustável de inclinação, bolha fixa e prumo – 250mm</t>
  </si>
  <si>
    <t>Mangueira de ¾ 50 MTS</t>
  </si>
  <si>
    <t>SUBTOTAL DE CONSUMO (CUSTEIO)</t>
  </si>
  <si>
    <t>Alicate amperímetro 1000 amperes AC/DC</t>
  </si>
  <si>
    <t>Aferidor de manômetro de 0 a 150 bar</t>
  </si>
  <si>
    <t>Aspirador de pó capacidade 20 L</t>
  </si>
  <si>
    <t>Bancada com injetor de corrente</t>
  </si>
  <si>
    <t>Base magnética para relógio comparador</t>
  </si>
  <si>
    <t>Bomba a gasolina, autoescovante, 3,5 hp</t>
  </si>
  <si>
    <r>
      <t>Compressor de ar de 100 L, 9,30Kgf/cm</t>
    </r>
    <r>
      <rPr>
        <vertAlign val="superscript"/>
        <sz val="8"/>
        <rFont val="Arial"/>
        <family val="2"/>
      </rPr>
      <t>2</t>
    </r>
  </si>
  <si>
    <t>Escada metálica de 05 degraus</t>
  </si>
  <si>
    <t>Escada metálica de 12 degraus</t>
  </si>
  <si>
    <r>
      <t>Furradeira Manual 650W 1050 – 1450 RPM 220 V</t>
    </r>
    <r>
      <rPr>
        <sz val="8"/>
        <rFont val="SimSun"/>
        <charset val="134"/>
      </rPr>
      <t>Ø</t>
    </r>
    <r>
      <rPr>
        <sz val="8"/>
        <rFont val="Arial"/>
        <family val="2"/>
      </rPr>
      <t xml:space="preserve"> 13mm</t>
    </r>
  </si>
  <si>
    <t>Indutor elétrico para aquecimento de rolamentos (JM 500)</t>
  </si>
  <si>
    <t>Lixadeira manual para disco de 3”</t>
  </si>
  <si>
    <t>Lixadeira manual para disco de 7”</t>
  </si>
  <si>
    <t>Macaco tipo elevador capacidade de 2t</t>
  </si>
  <si>
    <t>Megômetro elétrico tensão de teste até 5 KV</t>
  </si>
  <si>
    <t>Micrômetro externo 0 – 100mm</t>
  </si>
  <si>
    <t>Micrômetro interno 50 – 800mm</t>
  </si>
  <si>
    <t>Morsa para bancada nº 8</t>
  </si>
  <si>
    <t>Multiteste escala de 0 – 1000 VCA (79/26) Cat. 3</t>
  </si>
  <si>
    <t>Paquímetro digital 0 – 150mm/0,01mm</t>
  </si>
  <si>
    <t>Paquímetro universal 0 – 650mm/0,02mm</t>
  </si>
  <si>
    <t>Relógio comparador 0 – 10/0,01mm digital</t>
  </si>
  <si>
    <t>Tacômetro Digital 0,1 -  1,0 RPM DT – 2234A</t>
  </si>
  <si>
    <t>Termômetro mira laser escala de 20 a 500ºc</t>
  </si>
  <si>
    <t>Torquímetro com relógio 4506 – R350 0 047 260 OF</t>
  </si>
  <si>
    <t>Torquímetro de estalo 50 – 400 Nm</t>
  </si>
  <si>
    <t>SUBTOTAL DE PERMANENTES (INVESTIMENTOS)</t>
  </si>
  <si>
    <t>TOTAL DE FERRAMENTAS PARA OPERAÇÃO E MANUTENÇÃO DAS EB's</t>
  </si>
  <si>
    <t>IN SRF 162/98 - ANEXO I - NCM - Bens Relacionados na Nomenclatura Comum do Mercosul - capítulos</t>
  </si>
  <si>
    <t>FERRAMENTAS PARA O CANAL</t>
  </si>
  <si>
    <t>Foice</t>
  </si>
  <si>
    <t>Pá</t>
  </si>
  <si>
    <t>Alavanca</t>
  </si>
  <si>
    <t>Enxada</t>
  </si>
  <si>
    <t>Picareta</t>
  </si>
  <si>
    <t>Rastelo</t>
  </si>
  <si>
    <t>Marreta de 2kg</t>
  </si>
  <si>
    <t>Chibanca c/ cabo</t>
  </si>
  <si>
    <t>Carro de mão</t>
  </si>
  <si>
    <t>Pistola para pintura</t>
  </si>
  <si>
    <t>Pulverizador costal 20 L</t>
  </si>
  <si>
    <t>Fumigador para apicultura</t>
  </si>
  <si>
    <t>Mangueira de ¾ 50 mts</t>
  </si>
  <si>
    <t>Bancada para oficina – 1,2 x 2,5 m</t>
  </si>
  <si>
    <t>Barco de alumínio de 6m com carreta para transporte</t>
  </si>
  <si>
    <t>Bomba a gasolina, autoescorvante, 3,5 hp</t>
  </si>
  <si>
    <t>Furradeira de bancada – Prof. 110mm – 1/2cv, mandril 5/8”</t>
  </si>
  <si>
    <t>Guindaste girafa de 2t para oficina</t>
  </si>
  <si>
    <t>Máquina de solda de 250A com kit</t>
  </si>
  <si>
    <t>Motoesmeril de 1 cv – 3500 RPM</t>
  </si>
  <si>
    <t>Motor 4 tempos 15 hp para barco</t>
  </si>
  <si>
    <t>Talha capacidade 5 t</t>
  </si>
  <si>
    <t>TOTAL DE FERRAMENTAS PARA OPERAÇÃO E MANUTENÇÃO DOS CANAIS</t>
  </si>
  <si>
    <t>RESUMO</t>
  </si>
  <si>
    <t>Materiais de O&amp;M para EB</t>
  </si>
  <si>
    <t>Materiais de O&amp;M para Canais</t>
  </si>
  <si>
    <t>MATERIAIS DE CONSUMO MECÂNICO E ELÉTRICO DA ESTAÇÃO DE BOMBEAMENTO</t>
  </si>
  <si>
    <t>Graxa para motor e bomba, Alvania RL2</t>
  </si>
  <si>
    <t>kg</t>
  </si>
  <si>
    <t>Óleo lubrificante, Tellus 46, Class VG 68</t>
  </si>
  <si>
    <t>litro</t>
  </si>
  <si>
    <t>Vaselina Industrial</t>
  </si>
  <si>
    <t>Estopa para limpeza</t>
  </si>
  <si>
    <t>saco.</t>
  </si>
  <si>
    <t>Lâmpadas diversas led</t>
  </si>
  <si>
    <t>Fusível tipo Diazed de 2A</t>
  </si>
  <si>
    <t>Fusível tipo Diazed de 4A</t>
  </si>
  <si>
    <t>Fusível tipo Diazed de 6A</t>
  </si>
  <si>
    <t>Interruptor simples com 2 teclas</t>
  </si>
  <si>
    <t>Interruptor simples com tecla</t>
  </si>
  <si>
    <t>Interruptor tipo three-way com 2 teclas</t>
  </si>
  <si>
    <r>
      <t>Terminal isolado tipo agulha para condutores de 1,5 a 2,5 mm</t>
    </r>
    <r>
      <rPr>
        <vertAlign val="superscript"/>
        <sz val="8"/>
        <rFont val="Arial"/>
        <family val="2"/>
      </rPr>
      <t>2</t>
    </r>
  </si>
  <si>
    <r>
      <t>Terminal isolado tipo garfo para condutores de 1,5 a 2,5 mm</t>
    </r>
    <r>
      <rPr>
        <vertAlign val="superscript"/>
        <sz val="8"/>
        <rFont val="Arial"/>
        <family val="2"/>
      </rPr>
      <t>2</t>
    </r>
  </si>
  <si>
    <r>
      <t>Terminal isolado tipo olhal para condutores de 1,5 a 2,5 mm</t>
    </r>
    <r>
      <rPr>
        <vertAlign val="superscript"/>
        <sz val="8"/>
        <rFont val="Arial"/>
        <family val="2"/>
      </rPr>
      <t>2</t>
    </r>
  </si>
  <si>
    <t>Disjuntores trifásicos 380V, 15A</t>
  </si>
  <si>
    <t>Cola de PVC com 850 g</t>
  </si>
  <si>
    <t>Cola para junta de motores com 73g 3M</t>
  </si>
  <si>
    <t>Papelão grafitado 1,50m x 1,60m Esp 2.4</t>
  </si>
  <si>
    <t>Lona de borracha com alma 1,0 – 4,8mm esp.</t>
  </si>
  <si>
    <r>
      <t>Manômetro glicerinado 0 – 10Kgf/cm</t>
    </r>
    <r>
      <rPr>
        <vertAlign val="superscript"/>
        <sz val="8"/>
        <rFont val="Arial"/>
        <family val="2"/>
      </rPr>
      <t>2</t>
    </r>
  </si>
  <si>
    <t>Terminal de compressão – RM240mm</t>
  </si>
  <si>
    <t>Cabo flexível 240mm – 0,6/1Kv</t>
  </si>
  <si>
    <t>Metro</t>
  </si>
  <si>
    <t>Recarga de extintores de incêndio</t>
  </si>
  <si>
    <t>Diversos materiais de consumo (tubos, parafusos, aço, etc.)</t>
  </si>
  <si>
    <t>Conj.</t>
  </si>
  <si>
    <t>Tinta Látex</t>
  </si>
  <si>
    <t>Galão 3,6 l</t>
  </si>
  <si>
    <t>MATERIAIS DE CONSUMO MECÂNICO E ELÉTRICO PARA O CANAL</t>
  </si>
  <si>
    <t>Lâmpadas diversas</t>
  </si>
  <si>
    <t xml:space="preserve">Areia </t>
  </si>
  <si>
    <r>
      <t>M</t>
    </r>
    <r>
      <rPr>
        <vertAlign val="superscript"/>
        <sz val="8"/>
        <rFont val="Arial"/>
        <family val="2"/>
      </rPr>
      <t>3</t>
    </r>
  </si>
  <si>
    <t>Brita</t>
  </si>
  <si>
    <t>Cimento</t>
  </si>
  <si>
    <t>Saco 50kg</t>
  </si>
  <si>
    <t>Tinta Alcatrão de Hulha</t>
  </si>
  <si>
    <t>Galão 3,6lt</t>
  </si>
  <si>
    <t>Cal</t>
  </si>
  <si>
    <t>Saco 10kg</t>
  </si>
  <si>
    <t>SISTEMA DE PROTEÇÃO E CONTROLE DE INCÊNDIOS</t>
  </si>
  <si>
    <t>O&amp;M</t>
  </si>
  <si>
    <t>Custo do Investimento por EB R$</t>
  </si>
  <si>
    <t>verificado junto à ANEEL</t>
  </si>
  <si>
    <t>Quantidade de EB</t>
  </si>
  <si>
    <t>projeto</t>
  </si>
  <si>
    <t>Investimento Total</t>
  </si>
  <si>
    <t>Driver: manutenção do sistema</t>
  </si>
  <si>
    <t>do valor do investimento</t>
  </si>
  <si>
    <t>Custo Total Sistema de Prot. Controle de Incêndios</t>
  </si>
  <si>
    <t>Depreciação / fundo de reposição</t>
  </si>
  <si>
    <t>Vida Útil</t>
  </si>
  <si>
    <t>Fundo de Reposição do Sistema de Proteção e Controle</t>
  </si>
  <si>
    <t>DESPESAS COM SISTEMAS DE AUTOMAÇÃO</t>
  </si>
  <si>
    <t>R$ - Software</t>
  </si>
  <si>
    <t>R$ - Hardware</t>
  </si>
  <si>
    <t>Auxiliar</t>
  </si>
  <si>
    <t>Vida útil Software</t>
  </si>
  <si>
    <t>Vida útil Hardware</t>
  </si>
  <si>
    <t xml:space="preserve">Driver: Atualização Software </t>
  </si>
  <si>
    <t>investimento</t>
  </si>
  <si>
    <t>Indice</t>
  </si>
  <si>
    <t>Driver: Manutenção Hardware</t>
  </si>
  <si>
    <t>Custo Atualização Software</t>
  </si>
  <si>
    <t>Custo Manutenção Hardware</t>
  </si>
  <si>
    <t>Anuidade Sistemas AUTOMAÇÃO</t>
  </si>
  <si>
    <t>Fundo de Reposição de Software</t>
  </si>
  <si>
    <t>não deve ser inserdo neste item</t>
  </si>
  <si>
    <t>Fundo de Reposição de Hardware</t>
  </si>
  <si>
    <t>Custos O&amp;M</t>
  </si>
  <si>
    <t>INSPEÇÃO AÉREA POR HELICOPTERO</t>
  </si>
  <si>
    <t>Helicoptero/ 3 pessoas</t>
  </si>
  <si>
    <t>Driver:</t>
  </si>
  <si>
    <t>Km inspeção/h</t>
  </si>
  <si>
    <t>velocidade de inspeção</t>
  </si>
  <si>
    <t>Extensão Eixo Leste</t>
  </si>
  <si>
    <t>1o ano</t>
  </si>
  <si>
    <t>Extensão Eixo Norte</t>
  </si>
  <si>
    <t>eixos</t>
  </si>
  <si>
    <t>Horas de Inspeção Aérea E.Leste</t>
  </si>
  <si>
    <t>h/inspeção</t>
  </si>
  <si>
    <t>Horas de Inspeção Aérea E.Norte</t>
  </si>
  <si>
    <t>horas/semana</t>
  </si>
  <si>
    <t>horas/mês</t>
  </si>
  <si>
    <t>Frequencia inspeção Leste</t>
  </si>
  <si>
    <t>Inspeção/mês</t>
  </si>
  <si>
    <t>Frequencia inspeção Norte</t>
  </si>
  <si>
    <t>Total de meses - Ano</t>
  </si>
  <si>
    <t>meses/ano</t>
  </si>
  <si>
    <t>Total de Inspeções Leste</t>
  </si>
  <si>
    <t>Inspeção ano</t>
  </si>
  <si>
    <t>Total de Inspeções Norte</t>
  </si>
  <si>
    <t>Custo Inspeção Leste</t>
  </si>
  <si>
    <t>R$/inspeção</t>
  </si>
  <si>
    <t>Custo Inspeção Norte</t>
  </si>
  <si>
    <t>Custo Anual Inspeção Leste</t>
  </si>
  <si>
    <t>Custo Anual Inspeção Norte</t>
  </si>
  <si>
    <t>Variação IGP-M dez/2017 a out/2023</t>
  </si>
  <si>
    <t>INSPEÇÃO AÉREA POR DRONE</t>
  </si>
  <si>
    <t>Custo horário - locação</t>
  </si>
  <si>
    <t>horas por semana</t>
  </si>
  <si>
    <t>Total de Semanas - Ano</t>
  </si>
  <si>
    <t>Fornecimento e aplicação de geomembranas, de geogrelha e de manta de geotextil</t>
  </si>
  <si>
    <t>Base de referência: Quantitativos do Lote 1 - Relatório Final dos Projetos Executivos do Lote A - Volume 1 (Estacas 126+18 a 2295+0)</t>
  </si>
  <si>
    <t>R$/m2</t>
  </si>
  <si>
    <t>Fornecimento e aplicação de geogrelha nos taludes</t>
  </si>
  <si>
    <t>Estimativa de reparo - % extensão</t>
  </si>
  <si>
    <t>Área de geomembrana aplicada</t>
  </si>
  <si>
    <t>m2/km</t>
  </si>
  <si>
    <t>Aplicada ao Canal</t>
  </si>
  <si>
    <t xml:space="preserve">Área de geogrelha aplicada </t>
  </si>
  <si>
    <t>Aplicada aos Taludes</t>
  </si>
  <si>
    <t>Estimativa de área sujeita a reparo - geomembrana</t>
  </si>
  <si>
    <t>Estimativa de área sujeita a reparo - geogrelha</t>
  </si>
  <si>
    <t>Extensão de canal do Eixo Leste</t>
  </si>
  <si>
    <t>(considerando toda a extensão)</t>
  </si>
  <si>
    <t>Extensãode canal do Eixo Norte</t>
  </si>
  <si>
    <t>Fornecimento e aplicação no Eixo Leste</t>
  </si>
  <si>
    <t>R$/ ano</t>
  </si>
  <si>
    <t>Fornecimento e aplicação no Eixo Norte</t>
  </si>
  <si>
    <t>Objeto</t>
  </si>
  <si>
    <t>Data do Contrato</t>
  </si>
  <si>
    <t>Valor do contrato (R$)</t>
  </si>
  <si>
    <t>Coeficiente IGPM jul 16</t>
  </si>
  <si>
    <t>percentual do valor do investimento</t>
  </si>
  <si>
    <t>dados MI</t>
  </si>
  <si>
    <t>DESPESAS COM MATERIAL SOBRESSALENTES</t>
  </si>
  <si>
    <t>Estações de Bombeamento</t>
  </si>
  <si>
    <t># EB</t>
  </si>
  <si>
    <t>Moto-Bombas por EB</t>
  </si>
  <si>
    <t>Total de Motores e Bombas</t>
  </si>
  <si>
    <t>Custo Material Sobressalente por Bomba</t>
  </si>
  <si>
    <t>Sistema Elétrico das EB+Canais</t>
  </si>
  <si>
    <t>Custo Total Material Sobressalente</t>
  </si>
  <si>
    <t>Reservatórios</t>
  </si>
  <si>
    <t>Total de Reservatórios - Norte</t>
  </si>
  <si>
    <t>Total de Reservatórios - Leste</t>
  </si>
  <si>
    <t>Comportas e Válvulas</t>
  </si>
  <si>
    <t>R$/comporta e válvula</t>
  </si>
  <si>
    <t>nova cotaçao</t>
  </si>
  <si>
    <t xml:space="preserve">Comportas e Válvulas Sobressalentes Norte </t>
  </si>
  <si>
    <t>Comportas e Válvulas Sobressalentes Leste</t>
  </si>
  <si>
    <t>Total Comportas e Válvulas Sobressalentes Reservatórios</t>
  </si>
  <si>
    <t xml:space="preserve">Medidores de Vazão </t>
  </si>
  <si>
    <t>Medidor portátil para tubo de 5000mm de diâmetro</t>
  </si>
  <si>
    <t>R$/medidor</t>
  </si>
  <si>
    <t>Medidor portátil para canal</t>
  </si>
  <si>
    <t>Quantidade de Medidor portátil tubo 5000mm Norte</t>
  </si>
  <si>
    <t>medidor</t>
  </si>
  <si>
    <t>Quantidade de Medidor portátil tubo 5000mm Leste</t>
  </si>
  <si>
    <t>Quantidade de Medidor portátil Canal Norte</t>
  </si>
  <si>
    <t>Quantidade de Medidor portátil Canal Leste</t>
  </si>
  <si>
    <t>Custo Total medidores de vazão Norte</t>
  </si>
  <si>
    <t>Custo Total medidores de vazão Leste</t>
  </si>
  <si>
    <t>Total medidores de vazão sobressalentes</t>
  </si>
  <si>
    <t>Despesas com materiais sobressalentes</t>
  </si>
  <si>
    <t>Aferição e Manutenção de medidores de canal fixos do portais</t>
  </si>
  <si>
    <t>Custo unitário da Aferição</t>
  </si>
  <si>
    <t>R$/tarefa</t>
  </si>
  <si>
    <t>Total de Aferições por Eixo</t>
  </si>
  <si>
    <t>Tarefas/ano</t>
  </si>
  <si>
    <t>Custo de Aferição medidores de canal fixo - Norte</t>
  </si>
  <si>
    <t>Custo de Aferição medidores de canal fixo - Leste</t>
  </si>
  <si>
    <t xml:space="preserve">Total para Aferição medidores de canal fixo </t>
  </si>
  <si>
    <t>Mão de obra</t>
  </si>
  <si>
    <t>Salários (R$/mês)</t>
  </si>
  <si>
    <t>Encargos (R$/mês)</t>
  </si>
  <si>
    <t>Benefícios (R$/mês)</t>
  </si>
  <si>
    <t xml:space="preserve">Periculosidade (R$/mês)      </t>
  </si>
  <si>
    <t>Total (R$/ano)</t>
  </si>
  <si>
    <t>Total com BDI de 25,15% (R$/ano)</t>
  </si>
  <si>
    <t>Total custeio</t>
  </si>
  <si>
    <t>total investimento</t>
  </si>
  <si>
    <t>Técnico hidrometrista</t>
  </si>
  <si>
    <t>total</t>
  </si>
  <si>
    <t>Fiscalização helicóptero</t>
  </si>
  <si>
    <t>Extensão rio Piranhas</t>
  </si>
  <si>
    <t>saindo de juazeiro e indo via rio Piranhas até a divisa PB/RN</t>
  </si>
  <si>
    <t>Horas de Inspeção Aérea rio Piranhas</t>
  </si>
  <si>
    <t>Frequencia inspeção rio Piranhas</t>
  </si>
  <si>
    <t>Total de Inspeções rio Piranhas</t>
  </si>
  <si>
    <t>Custo Inspeção rio Piranhas</t>
  </si>
  <si>
    <t>Custo Anual Inspeção rio Piranhas</t>
  </si>
  <si>
    <t>preço em dólar</t>
  </si>
  <si>
    <t>R$/U$</t>
  </si>
  <si>
    <t xml:space="preserve">MÓVEIS E EQUIPAMENTOS </t>
  </si>
  <si>
    <t>depreciação</t>
  </si>
  <si>
    <t>FERRAMENTAS</t>
  </si>
  <si>
    <t>SISTEMA DE PROTEÇÃ E COMBATE A INCÊNDIOS</t>
  </si>
  <si>
    <t>Sistema de incêndio para Estação de Bombeamento</t>
  </si>
  <si>
    <t>TOTAL DEPRECIAÇÃO</t>
  </si>
  <si>
    <t xml:space="preserve">Total Custos Administrativos Materiais e Serviços    R$ </t>
  </si>
  <si>
    <t>Escritórios , estacionamento e manutenção e limpeza predial</t>
  </si>
  <si>
    <t>Despesa de viagens ( diárias e passagens)</t>
  </si>
  <si>
    <t>Mobiliários</t>
  </si>
  <si>
    <t xml:space="preserve">Seguro predial </t>
  </si>
  <si>
    <t xml:space="preserve">Comunicação </t>
  </si>
  <si>
    <t>Água e eletricidade</t>
  </si>
  <si>
    <t>Exames Períodicos</t>
  </si>
  <si>
    <t>Nacional</t>
  </si>
  <si>
    <t xml:space="preserve">R$/pessoa.optante. ano </t>
  </si>
  <si>
    <t>Papelaria e outros</t>
  </si>
  <si>
    <t xml:space="preserve">Tecnologia da Informação </t>
  </si>
  <si>
    <t>Exames Periodicos</t>
  </si>
  <si>
    <t>Veículos e combustíveis</t>
  </si>
  <si>
    <t>Escritórios</t>
  </si>
  <si>
    <t>m²/pessoa</t>
  </si>
  <si>
    <t>464 pessoas Sede</t>
  </si>
  <si>
    <t>10 ER Aneel 2007  4640 m²</t>
  </si>
  <si>
    <t>Serviços de Apoio Adm. Técnico e Operacional -  R$   1.810.126,18  - Execução da Despesa Orçamentária 2022</t>
  </si>
  <si>
    <t xml:space="preserve">e </t>
  </si>
  <si>
    <t xml:space="preserve">pessoas </t>
  </si>
  <si>
    <t>Codevasf</t>
  </si>
  <si>
    <t>Estacionamento</t>
  </si>
  <si>
    <t>m²/administrativo</t>
  </si>
  <si>
    <t>R$/m².ano</t>
  </si>
  <si>
    <t>Limpeza e conservação, munutenção,  vigilância ostensiva, serviços de cópias e reprodução de documentos</t>
  </si>
  <si>
    <t>Manutenção e Limpeza Predial</t>
  </si>
  <si>
    <t>Custos Escritórios , estacionamento , vigilância  ostensiva,  manutenção e limpeza predial R$ 357.851,02</t>
  </si>
  <si>
    <t>Despesas de Viagens (Diárias e Passagens )</t>
  </si>
  <si>
    <t xml:space="preserve">R$ salários - ano </t>
  </si>
  <si>
    <t xml:space="preserve">2,5 %  dos salários ajustados  </t>
  </si>
  <si>
    <t>R$ viagens- ano</t>
  </si>
  <si>
    <t>Custos diárias e passagens  R$ 390.404,475</t>
  </si>
  <si>
    <t xml:space="preserve">Mobiliários </t>
  </si>
  <si>
    <t>Não houve atualização , a tendência é depreciar    R$  43.802,15</t>
  </si>
  <si>
    <t xml:space="preserve">(-) 10% depreciação anual </t>
  </si>
  <si>
    <t>Custos</t>
  </si>
  <si>
    <t>Custos depreciação R$ 25864,73</t>
  </si>
  <si>
    <t xml:space="preserve">1% do valor do aluguel escritórios e estacionamento  </t>
  </si>
  <si>
    <t>Custos seguro predial R$  3335,28</t>
  </si>
  <si>
    <t xml:space="preserve">R$ /pessoa.mês </t>
  </si>
  <si>
    <t xml:space="preserve"> - Sede Codevasf</t>
  </si>
  <si>
    <t>Total   Sede  R$ 63645,81- Serviços de Comunicação em Geral e Serviços de Telecomunicações , dados Codevasf - Execução da Despesa Orçamentária 2021 e 2020</t>
  </si>
  <si>
    <t xml:space="preserve">pessoa </t>
  </si>
  <si>
    <t xml:space="preserve">R$ /ano </t>
  </si>
  <si>
    <t>Custos comunicação</t>
  </si>
  <si>
    <t>441 - sede Codevasf</t>
  </si>
  <si>
    <t>Total  Sede  261.039,42</t>
  </si>
  <si>
    <t>Serviços de Energia Elétrica e Água , dados Codevasf - Execução da Despesa Orçamentária 2021 e 2020</t>
  </si>
  <si>
    <t>Custos água e eletricidade</t>
  </si>
  <si>
    <t>R$ /pessoa.mês</t>
  </si>
  <si>
    <t>Total  Sede  10.372,42 -  Material de Expediente  Dados Codevaf - Execução da Despesa Orçamentária - 2021  e 2020</t>
  </si>
  <si>
    <t>pessoa</t>
  </si>
  <si>
    <t>R$ /ano</t>
  </si>
  <si>
    <t xml:space="preserve">Custos papelaria e outros </t>
  </si>
  <si>
    <t>R$ /pessoa.ano</t>
  </si>
  <si>
    <t>Total - Sede 1.459.846,14  -  Tecnologia da Informação dados Codevasf - Execução da Despesa Orçamentária 2021 e 2020</t>
  </si>
  <si>
    <t>Computadores Pessoais  Hardware</t>
  </si>
  <si>
    <t>Custos Tecnologia da Informação</t>
  </si>
  <si>
    <t>Software</t>
  </si>
  <si>
    <t>Sistemas Gestão Administrativa</t>
  </si>
  <si>
    <t>Total  Sede R$  48.740,81 -  Combustíveis e lubrificantes,material para manutenção, manutenção e conservação -Execução Orçamentária  2022</t>
  </si>
  <si>
    <t>Total de veículos do PISF área administrativa   Sede  1</t>
  </si>
  <si>
    <t xml:space="preserve">Total  de veículos Sede - 5                                          </t>
  </si>
  <si>
    <t xml:space="preserve">              </t>
  </si>
  <si>
    <t xml:space="preserve">Total IPVA e seguros, licenciamento, DPVAT Sede R$  2.192,02 </t>
  </si>
  <si>
    <t>Total Sede e Salgueiro R$ 1103.397,58 - Combustíveis  e lubrificantes , Material para manutenção , manutenção e conservação - EXECUÇÃO Orçamentária 2022</t>
  </si>
  <si>
    <t>Total de veículos Salgueiro  área administrativa PISF -1</t>
  </si>
  <si>
    <t>Total IPVA e seguro Sede R$ 302,10  - 2021</t>
  </si>
  <si>
    <t>Total de veículos Salgueiro 1   - IPVA é  R$ 2.043,32</t>
  </si>
  <si>
    <t>Total IPVA e seguro Salgueiro R$  12.995,92</t>
  </si>
  <si>
    <t>Demais veículos - locação R$274.124,28</t>
  </si>
  <si>
    <t>Combustíveis e lubrificantes automotivos - R$54.656,77</t>
  </si>
  <si>
    <t>Total Geral custos com veículos e combustíveis 2021 R$ 31.902,22</t>
  </si>
  <si>
    <t>CÁLCULO DOS IMPOSTOS PIS/COFINS</t>
  </si>
  <si>
    <t>Valores</t>
  </si>
  <si>
    <t>Parcela  Fixa da Receita Requerida sem PDD</t>
  </si>
  <si>
    <t>Parcela  Variável  da Receita Requerida sem PDD</t>
  </si>
  <si>
    <t>PIS/COFINS 9,25 Parcela Fixa</t>
  </si>
  <si>
    <t xml:space="preserve">PIS/COFINS 9,25 Parcela Variável </t>
  </si>
  <si>
    <t xml:space="preserve">Total PIS/COFINS </t>
  </si>
  <si>
    <t>Estimativa das Despesas relativa aos Benefícios Trabalhistas concedidos a mão de obra própria da Codevasf</t>
  </si>
  <si>
    <t>Posição: dez/2023</t>
  </si>
  <si>
    <t>Descrição</t>
  </si>
  <si>
    <t>Valor Per Capita (R$ 1,00)</t>
  </si>
  <si>
    <t>Legislação</t>
  </si>
  <si>
    <t>Benefícios - Execução Orçamentária - Sede</t>
  </si>
  <si>
    <t>unidade</t>
  </si>
  <si>
    <t>pessoas</t>
  </si>
  <si>
    <t>Total R$</t>
  </si>
  <si>
    <t>Valor Per Capita R$</t>
  </si>
  <si>
    <t>Titulares</t>
  </si>
  <si>
    <t xml:space="preserve">Assistência  Médica e Odontológica  </t>
  </si>
  <si>
    <t>R$ /mês.beneficiário</t>
  </si>
  <si>
    <t>Auxílio -Alimentação</t>
  </si>
  <si>
    <t>ACT 2021/2022 -  participação dos empregados 2%  do valor recebido</t>
  </si>
  <si>
    <t xml:space="preserve">Auxilio Alimentação </t>
  </si>
  <si>
    <t>R$ /pessoas.dias</t>
  </si>
  <si>
    <t>ACT 2021/2022</t>
  </si>
  <si>
    <t>Assistência Pré-Escolar</t>
  </si>
  <si>
    <t xml:space="preserve">Assintência Pré escola </t>
  </si>
  <si>
    <t>R$/mês.filho-pré-escol</t>
  </si>
  <si>
    <t>Auxílio Transporte</t>
  </si>
  <si>
    <t>Lei 7.418/1985 - valor estimado</t>
  </si>
  <si>
    <t>Fundação São Francisco (Previdência Privada)</t>
  </si>
  <si>
    <t>R$/mês.optante</t>
  </si>
  <si>
    <t>ACT 2021/2022  e Convênio 0.080.00/2019</t>
  </si>
  <si>
    <t>Vale transporte (1,6 - 2 trechos)</t>
  </si>
  <si>
    <t>R$/trecho.pessoa</t>
  </si>
  <si>
    <t>ACT 2023 e Convênio 0.080.00/2019</t>
  </si>
  <si>
    <t>Assistência Médica e Odontológica</t>
  </si>
  <si>
    <t>Resolução CCE nº 09 de 08/10/1996</t>
  </si>
  <si>
    <t>Vale Cultura (mensal)</t>
  </si>
  <si>
    <t>Resolução CGPAR nº 42/2022 e Convênio 0.012.00/2019</t>
  </si>
  <si>
    <t>Seguro de vida (anual)</t>
  </si>
  <si>
    <t>R$/pessoa.optante.mês</t>
  </si>
  <si>
    <t>atualizar</t>
  </si>
  <si>
    <t>Fonte: https://www.codevasf.gov.br/acesso-a-informacao/empregados/quadro-de-pessoal-remuneracoes-e-beneficios</t>
  </si>
  <si>
    <t>ACT 2023/2024</t>
  </si>
  <si>
    <t>Mês Lançamento</t>
  </si>
  <si>
    <t>ACT 2023/2024 -Manutenção  do vale cultura e  seguro de vida.</t>
  </si>
  <si>
    <t>Natureza Despesa Detalhada</t>
  </si>
  <si>
    <t>Movimento R$ (Item Informação)</t>
  </si>
  <si>
    <t>Saldo R$ (Conta Contábil)</t>
  </si>
  <si>
    <t>CONTRIBUICAO PATRONAL PREVIDENCIA PRIVADA</t>
  </si>
  <si>
    <t>33900809</t>
  </si>
  <si>
    <t>AUXILIO-CRECHE CIVIL</t>
  </si>
  <si>
    <t>VALE-CULTURA</t>
  </si>
  <si>
    <t>AUXILIO-TRANSPORTE CIVIS</t>
  </si>
  <si>
    <t>PROGRAMA DE ALIMENTACAO DO TRABALHADOR</t>
  </si>
  <si>
    <t>SERVICO DE ASSISTENCIA A SAUDE</t>
  </si>
  <si>
    <t>MATERIAIS E SERVIÇOS</t>
  </si>
  <si>
    <t>LIMPEZA E CONSERVACAO</t>
  </si>
  <si>
    <t>VIGILANCIA OSTENSIVA</t>
  </si>
  <si>
    <t>Verificar duplicidade no relatório</t>
  </si>
  <si>
    <t>SERVICOS DE COPIAS E REPRODUCAO DE DOCUMENTOS</t>
  </si>
  <si>
    <t>MATERIAL DE EXPEDIENTE</t>
  </si>
  <si>
    <t>Total Geral</t>
  </si>
  <si>
    <t>SERVICOS DE ENERGIA ELETRICA</t>
  </si>
  <si>
    <t>Total ou apenas primeira UORG ?</t>
  </si>
  <si>
    <t>SERVICOS DE AGUA E ESGOTO</t>
  </si>
  <si>
    <t>SERVICOS DE COMUNICACAO EM GERAL</t>
  </si>
  <si>
    <t>SERVICOS DE TELECOMUNICACOES</t>
  </si>
  <si>
    <t>SUPORTE DE INFRAESTRUTURA DE TIC</t>
  </si>
  <si>
    <t>33904007</t>
  </si>
  <si>
    <t>MANUTENCAO CORRETIVA/ADAPTATIVA E SUSTENTACAO SOFTWARES</t>
  </si>
  <si>
    <t>33904010</t>
  </si>
  <si>
    <t>SUPORTE A USUARIOS DE TIC</t>
  </si>
  <si>
    <t>33904012</t>
  </si>
  <si>
    <t>MANUTENCAO E CONSERVACAO DE EQUIPAMENTOS DE TIC</t>
  </si>
  <si>
    <t>COMBUSTIVEIS E LUBRIFICANTES AUTOMOTIVOS</t>
  </si>
  <si>
    <t>33903039</t>
  </si>
  <si>
    <t>MATERIAL P/ MANUTENCAO DE VEICULOS</t>
  </si>
  <si>
    <t>33903919</t>
  </si>
  <si>
    <t>MANUTENCAO E CONSERV. DE VEICULOS</t>
  </si>
  <si>
    <t>33904705</t>
  </si>
  <si>
    <t>IMPOSTO S/ PROPR.DE VEICULOS AUTOMOTORES-IPVA</t>
  </si>
  <si>
    <t xml:space="preserve">Alterado </t>
  </si>
  <si>
    <t>Dados retirados da tabela 195016</t>
  </si>
  <si>
    <t>OBS: Na sede foi considerado 1 veículo, sendo todos os valores referentes à sede divididos por 5, que é o número de automóveis da sede</t>
  </si>
  <si>
    <t>Serviços de auditoria independente para exame das Demonstrações Financeiras e Patrimônio do PISF</t>
  </si>
  <si>
    <t>Contrato 0.110.00/2018 Codevasf</t>
  </si>
  <si>
    <t xml:space="preserve">valor anual PISF Out/ 2018 a Out/2019 R$ </t>
  </si>
  <si>
    <t xml:space="preserve">valor anual PISF Out/ 2019 a Out/2020 R$ </t>
  </si>
  <si>
    <t xml:space="preserve">valor anual PISF Out/ 2020 a Out/2021 R$ </t>
  </si>
  <si>
    <t xml:space="preserve">valor anual PISF Out/ 2021 a Out/2022 R$ </t>
  </si>
  <si>
    <t xml:space="preserve">valor anual PISF Out/ 2022 a Out/2023 R$ </t>
  </si>
  <si>
    <t>ANEXO 3 - TABELAS SALARIAIS</t>
  </si>
  <si>
    <t xml:space="preserve">GRUPO: SUPERIOR </t>
  </si>
  <si>
    <t xml:space="preserve">GRUPO: MÉDIO </t>
  </si>
  <si>
    <t xml:space="preserve">GRUPO: OPERACIONAL </t>
  </si>
  <si>
    <t>PADRÃO</t>
  </si>
  <si>
    <t xml:space="preserve">VALOR – R$ </t>
  </si>
  <si>
    <t>S-01</t>
  </si>
  <si>
    <t>M-01</t>
  </si>
  <si>
    <t>B-01</t>
  </si>
  <si>
    <t>S-02</t>
  </si>
  <si>
    <t>M-02</t>
  </si>
  <si>
    <t>B-02</t>
  </si>
  <si>
    <t>S-03</t>
  </si>
  <si>
    <t>M-03</t>
  </si>
  <si>
    <t>B-03</t>
  </si>
  <si>
    <t>S-04</t>
  </si>
  <si>
    <t>M-04</t>
  </si>
  <si>
    <t>B-04</t>
  </si>
  <si>
    <t>S-05</t>
  </si>
  <si>
    <t>M-05</t>
  </si>
  <si>
    <t>B-05</t>
  </si>
  <si>
    <t>S-06</t>
  </si>
  <si>
    <t>M-06</t>
  </si>
  <si>
    <t>B-06</t>
  </si>
  <si>
    <t>S-07</t>
  </si>
  <si>
    <t>M-07</t>
  </si>
  <si>
    <t>B-07</t>
  </si>
  <si>
    <t>S-08</t>
  </si>
  <si>
    <t>M-08</t>
  </si>
  <si>
    <t>B-08</t>
  </si>
  <si>
    <t>S-09</t>
  </si>
  <si>
    <t>M-09</t>
  </si>
  <si>
    <t>B-09</t>
  </si>
  <si>
    <t>S-10</t>
  </si>
  <si>
    <t>M-10</t>
  </si>
  <si>
    <t>B-10</t>
  </si>
  <si>
    <t>s-11</t>
  </si>
  <si>
    <t>M-11</t>
  </si>
  <si>
    <t>B-11</t>
  </si>
  <si>
    <t>S-12</t>
  </si>
  <si>
    <t>M-12</t>
  </si>
  <si>
    <t>B-12</t>
  </si>
  <si>
    <t>S-13</t>
  </si>
  <si>
    <t>M-13</t>
  </si>
  <si>
    <t>B-13</t>
  </si>
  <si>
    <t>S-14</t>
  </si>
  <si>
    <t>M-14</t>
  </si>
  <si>
    <t>B-14</t>
  </si>
  <si>
    <t>S-15</t>
  </si>
  <si>
    <t>M-15</t>
  </si>
  <si>
    <t>B-15</t>
  </si>
  <si>
    <t>S-16</t>
  </si>
  <si>
    <t>M-16</t>
  </si>
  <si>
    <t>B-16</t>
  </si>
  <si>
    <t>S-17</t>
  </si>
  <si>
    <t>M-17</t>
  </si>
  <si>
    <t>B-17</t>
  </si>
  <si>
    <t>S-18</t>
  </si>
  <si>
    <t>M-18</t>
  </si>
  <si>
    <t>B-18</t>
  </si>
  <si>
    <t>S-19</t>
  </si>
  <si>
    <t>M-19</t>
  </si>
  <si>
    <t>B-19</t>
  </si>
  <si>
    <t>S-20</t>
  </si>
  <si>
    <t>M-20</t>
  </si>
  <si>
    <t>B-20</t>
  </si>
  <si>
    <t>S-21</t>
  </si>
  <si>
    <t>M-21</t>
  </si>
  <si>
    <t>B-21</t>
  </si>
  <si>
    <t>S-22</t>
  </si>
  <si>
    <t>M-22</t>
  </si>
  <si>
    <t>B-22</t>
  </si>
  <si>
    <t>S-23</t>
  </si>
  <si>
    <t>M-23</t>
  </si>
  <si>
    <t>S-24</t>
  </si>
  <si>
    <t>M-24</t>
  </si>
  <si>
    <t>S-25</t>
  </si>
  <si>
    <t>M-25</t>
  </si>
  <si>
    <t>S-26</t>
  </si>
  <si>
    <t>M-26</t>
  </si>
  <si>
    <t>S-27</t>
  </si>
  <si>
    <t>M-27</t>
  </si>
  <si>
    <t>S-28</t>
  </si>
  <si>
    <t>M-28</t>
  </si>
  <si>
    <t>Referente ao  (ACT data base 1º/05/2023)</t>
  </si>
  <si>
    <t>Fonte: Ofício n. 1411/2024/PR/GB</t>
  </si>
  <si>
    <t>ANEXO1 - TABELAS FUNÇÕES DE CONFIANÇA</t>
  </si>
  <si>
    <t>Posição: dezembro/2023</t>
  </si>
  <si>
    <t>Símbolo</t>
  </si>
  <si>
    <t>Função</t>
  </si>
  <si>
    <t>Categoria</t>
  </si>
  <si>
    <t xml:space="preserve">Quant. </t>
  </si>
  <si>
    <t xml:space="preserve">Valor (R$) </t>
  </si>
  <si>
    <t>FC-1</t>
  </si>
  <si>
    <t xml:space="preserve">Gerente-Executivo </t>
  </si>
  <si>
    <t>Gestão</t>
  </si>
  <si>
    <t>Chefe de Gabinete da Presidência</t>
  </si>
  <si>
    <t>1015,5 (participação dos empregados  de  2,5% do valor recebido</t>
  </si>
  <si>
    <t>ACT 2023</t>
  </si>
  <si>
    <t xml:space="preserve">Superintendente Regional </t>
  </si>
  <si>
    <t xml:space="preserve">FC-2 </t>
  </si>
  <si>
    <t xml:space="preserve">Secretário Executivo </t>
  </si>
  <si>
    <t>Lei n. 7418/1985 - valor estimado</t>
  </si>
  <si>
    <t>FC-3</t>
  </si>
  <si>
    <t xml:space="preserve">Assessor do Presidente </t>
  </si>
  <si>
    <t>Assessoria</t>
  </si>
  <si>
    <t xml:space="preserve">Assessor de Diretor </t>
  </si>
  <si>
    <t xml:space="preserve">Assessor de Gerente-Executivo </t>
  </si>
  <si>
    <t xml:space="preserve">Chefe da Auditoria Interna </t>
  </si>
  <si>
    <t>Chefe da Ouvidoria</t>
  </si>
  <si>
    <t>Chefe da Corregedoria</t>
  </si>
  <si>
    <t xml:space="preserve">Gestão </t>
  </si>
  <si>
    <t xml:space="preserve">Chefe de Assessoria da Presidência </t>
  </si>
  <si>
    <t>Chefe de Secretaria da Presidência</t>
  </si>
  <si>
    <t>Gerente</t>
  </si>
  <si>
    <t>Chefe de Gabinete de Superintendência Regional</t>
  </si>
  <si>
    <t>ACT 2021/2022 -Manutenção  do vale cultura e  seguro de vida.</t>
  </si>
  <si>
    <t xml:space="preserve">FC-4 </t>
  </si>
  <si>
    <t xml:space="preserve">Chefe de Unidade </t>
  </si>
  <si>
    <t xml:space="preserve">Subchefe de Gabinete da Presidência </t>
  </si>
  <si>
    <t xml:space="preserve">Chefe de Escritório de Representação </t>
  </si>
  <si>
    <t>Assessor de Superintendente Regional</t>
  </si>
  <si>
    <t>Chefe de Centro de Controle e Operação</t>
  </si>
  <si>
    <t xml:space="preserve">Chefe de Assessoria Regional </t>
  </si>
  <si>
    <t xml:space="preserve">Chefe de Secretaria Regional </t>
  </si>
  <si>
    <t xml:space="preserve">Gerente Regional </t>
  </si>
  <si>
    <t xml:space="preserve">FC-5 </t>
  </si>
  <si>
    <t xml:space="preserve">Chefe de Unidade Regional </t>
  </si>
  <si>
    <t>Chefe de Unidade Especial</t>
  </si>
  <si>
    <t xml:space="preserve">Chefe de Unidade de Produção e Pesquisa </t>
  </si>
  <si>
    <t>FC-6</t>
  </si>
  <si>
    <t xml:space="preserve">Chefe de Setor </t>
  </si>
  <si>
    <t xml:space="preserve">Secretária do Presidente </t>
  </si>
  <si>
    <t>Secretariado</t>
  </si>
  <si>
    <t xml:space="preserve">Secretária de Diretor </t>
  </si>
  <si>
    <t xml:space="preserve">FC-7 </t>
  </si>
  <si>
    <t xml:space="preserve">Secretária de Gerente-Executivo </t>
  </si>
  <si>
    <t xml:space="preserve">Secretária de Chefe de Gabinete da Presidência </t>
  </si>
  <si>
    <t xml:space="preserve">Secretária de Superintendente Regional </t>
  </si>
  <si>
    <t xml:space="preserve"> ACT da data base de 1ª/05/2023. </t>
  </si>
  <si>
    <t>ANEXO II - TABELAS FUNÇÕES GRATIFICADAS</t>
  </si>
  <si>
    <t xml:space="preserve">FG-1E </t>
  </si>
  <si>
    <t xml:space="preserve">Especialista </t>
  </si>
  <si>
    <t xml:space="preserve">Especial </t>
  </si>
  <si>
    <t xml:space="preserve">Consultor Interno </t>
  </si>
  <si>
    <t>FG-1T</t>
  </si>
  <si>
    <t xml:space="preserve">Coordenador de Obras e Projetos Especiais </t>
  </si>
  <si>
    <t>Técnica</t>
  </si>
  <si>
    <t>FG-2</t>
  </si>
  <si>
    <t>Supervisor de Fiscalização de Obras I</t>
  </si>
  <si>
    <t>FG-3</t>
  </si>
  <si>
    <t xml:space="preserve">Supervisor de Fiscalização de Obras II </t>
  </si>
  <si>
    <t>FG - 4</t>
  </si>
  <si>
    <t>Auditor</t>
  </si>
  <si>
    <t>Fiscal de Obras</t>
  </si>
  <si>
    <t xml:space="preserve">Representante em Organização de Produtores </t>
  </si>
  <si>
    <t>FG-5</t>
  </si>
  <si>
    <t>Assistente</t>
  </si>
  <si>
    <t>Apoio</t>
  </si>
  <si>
    <t>FG-6</t>
  </si>
  <si>
    <t xml:space="preserve">Apoio à Fiscalização de Obras </t>
  </si>
  <si>
    <t>ANEXO 3 - TABELAS DE REMUNERAÇÃO DE CARGOS EM COMISSÃO</t>
  </si>
  <si>
    <t xml:space="preserve">CC-1 </t>
  </si>
  <si>
    <t xml:space="preserve">CC-2 </t>
  </si>
  <si>
    <t>CC-2A</t>
  </si>
  <si>
    <t>CC-3</t>
  </si>
  <si>
    <t xml:space="preserve">CC-4 </t>
  </si>
  <si>
    <t>PR</t>
  </si>
  <si>
    <t>Presidente da Codevasf</t>
  </si>
  <si>
    <t>Nível</t>
  </si>
  <si>
    <t>Padrão</t>
  </si>
  <si>
    <t>Key</t>
  </si>
  <si>
    <t>Nível Tabela</t>
  </si>
  <si>
    <t>AuxAdm</t>
  </si>
  <si>
    <t>Operacional</t>
  </si>
  <si>
    <t>Auxiliar Administrativo</t>
  </si>
  <si>
    <t>Mot</t>
  </si>
  <si>
    <t>Motorista</t>
  </si>
  <si>
    <t>Adv</t>
  </si>
  <si>
    <t>Superior</t>
  </si>
  <si>
    <t>Advogado</t>
  </si>
  <si>
    <t>Eng2</t>
  </si>
  <si>
    <t>Engenheiro Pleno</t>
  </si>
  <si>
    <t>Eng3</t>
  </si>
  <si>
    <t>Engenheiro Sênior</t>
  </si>
  <si>
    <t>Eng1</t>
  </si>
  <si>
    <t>Engenheiro Júnior</t>
  </si>
  <si>
    <t>Piso</t>
  </si>
  <si>
    <t>TecST</t>
  </si>
  <si>
    <t>Técnico</t>
  </si>
  <si>
    <t>Técnico em Segurança do Trabalho</t>
  </si>
  <si>
    <t>Tec1</t>
  </si>
  <si>
    <t>Adm</t>
  </si>
  <si>
    <t>Administrador</t>
  </si>
  <si>
    <t>Adm3</t>
  </si>
  <si>
    <t>Administrador Sênior</t>
  </si>
  <si>
    <t>Adm2</t>
  </si>
  <si>
    <t>Administrador Pleno</t>
  </si>
  <si>
    <t>Econ3</t>
  </si>
  <si>
    <t>Economista Sênior</t>
  </si>
  <si>
    <t>Cont</t>
  </si>
  <si>
    <t>Contador</t>
  </si>
  <si>
    <t>TecCont</t>
  </si>
  <si>
    <t>Técnico em Contabilidade</t>
  </si>
  <si>
    <t>Econ</t>
  </si>
  <si>
    <t>Economista</t>
  </si>
  <si>
    <t>Geo</t>
  </si>
  <si>
    <t>Geólogo Sênior</t>
  </si>
  <si>
    <t>Com</t>
  </si>
  <si>
    <t>Comunicador Social</t>
  </si>
  <si>
    <t>Ped</t>
  </si>
  <si>
    <t>Pedagogo</t>
  </si>
  <si>
    <t>ChefAdm</t>
  </si>
  <si>
    <t>Chefe Administrativo</t>
  </si>
  <si>
    <t>valores atualizados - Remuneração cargos efetivos - agosto 2022 - site Codevasf</t>
  </si>
  <si>
    <t>Encargos</t>
  </si>
  <si>
    <t>FUNÇÃO</t>
  </si>
  <si>
    <t>Qtde</t>
  </si>
  <si>
    <t>Fator de Dedicação ao PISF</t>
  </si>
  <si>
    <t>Salários+Encargos (R$/mês)</t>
  </si>
  <si>
    <t>Salários+Encargos (R$/ano)</t>
  </si>
  <si>
    <t>Contendo 13º + 1/3 férias (exceto para Presidente e Diretores)</t>
  </si>
  <si>
    <t>PESSOAL</t>
    <phoneticPr fontId="0" type="noConversion"/>
  </si>
  <si>
    <t>Ano 2024</t>
  </si>
  <si>
    <t>Local</t>
  </si>
  <si>
    <t>Presidência</t>
  </si>
  <si>
    <t>BSB</t>
  </si>
  <si>
    <t>Presidente</t>
  </si>
  <si>
    <t>Assessor</t>
  </si>
  <si>
    <t>Secretária Executiva</t>
  </si>
  <si>
    <t>Advogados</t>
  </si>
  <si>
    <t>Diretoria O&amp;M</t>
  </si>
  <si>
    <t>Diretor O&amp;M</t>
  </si>
  <si>
    <t>Eng. Mecânico Pleno</t>
  </si>
  <si>
    <t>Eng. Eletricista Sênior</t>
  </si>
  <si>
    <t>Eng. Telecomunicações Pleno</t>
  </si>
  <si>
    <t>Eng. Automação Pleno</t>
  </si>
  <si>
    <t>Eng. Civil Sênior</t>
  </si>
  <si>
    <t>SAL</t>
  </si>
  <si>
    <t>Eng. Eletricista Pleno</t>
  </si>
  <si>
    <t>Eng. Eletricista Junior</t>
  </si>
  <si>
    <t>Eng. Hidrólogo Sênior</t>
  </si>
  <si>
    <t>Eng. Hidrólogo Pleno</t>
  </si>
  <si>
    <t>Tec. De Segurança do Trabalho</t>
  </si>
  <si>
    <t>Eng. Mecânico Junior</t>
  </si>
  <si>
    <t>Eng. Civil Pleno</t>
  </si>
  <si>
    <t>Eng. Civil Junior</t>
  </si>
  <si>
    <t>Tecnico de Manutenção (Elétrico)</t>
  </si>
  <si>
    <t>Tecnico de Manutenção (Civil)</t>
  </si>
  <si>
    <t>Tecnico de Manutenção (Mecânico)</t>
  </si>
  <si>
    <t>Eng. Segurança do Trabalho</t>
  </si>
  <si>
    <t>Técnicos Manutenção (Civil)</t>
  </si>
  <si>
    <t>Secretaria</t>
  </si>
  <si>
    <t>Diretoria de Meio Ambiente</t>
  </si>
  <si>
    <t>Diretor de Meio Ambiente</t>
  </si>
  <si>
    <t>Gerente de Meio Ambiente</t>
  </si>
  <si>
    <t>Engenheiro Pleno (Florestal/Agrônomo/Ambiental)</t>
  </si>
  <si>
    <t>Biólogo</t>
  </si>
  <si>
    <t>Diretoria de Planos e Programas</t>
  </si>
  <si>
    <t>Diretor (PGA/PDG)</t>
  </si>
  <si>
    <t>Administrador Senior</t>
  </si>
  <si>
    <t>Engenherio Civil Pleno</t>
  </si>
  <si>
    <t>Diretoria Relações Institucionais</t>
  </si>
  <si>
    <t>Gerente de Relações Institucionais</t>
  </si>
  <si>
    <t>Diretoria Administrativo Financeiro</t>
  </si>
  <si>
    <t>Diretor</t>
  </si>
  <si>
    <t>Secretária</t>
  </si>
  <si>
    <t>Gerente Comercial</t>
  </si>
  <si>
    <t>Administrador (Gestão de Clientes)</t>
  </si>
  <si>
    <t>Tecnico Administrativo</t>
  </si>
  <si>
    <t>Gerente Administrativo e Orçamento</t>
  </si>
  <si>
    <t>Assistente Administrativo</t>
  </si>
  <si>
    <t>Comprador</t>
  </si>
  <si>
    <t>Encarregado Almoxarifado</t>
  </si>
  <si>
    <t>Gerente de RH</t>
  </si>
  <si>
    <t>Gerente Finanças e Contabilidade</t>
  </si>
  <si>
    <t>Tecnico de Contabilidade</t>
  </si>
  <si>
    <t>ENCARGOS</t>
  </si>
  <si>
    <t>FGTS</t>
  </si>
  <si>
    <t>FUNDAÇÃO</t>
  </si>
  <si>
    <t>INSS</t>
  </si>
  <si>
    <t>RAT/SAT</t>
  </si>
  <si>
    <t>SALÁRIO EDUCAÇÃO</t>
  </si>
  <si>
    <t>TERCEIROS</t>
  </si>
  <si>
    <t>FAT</t>
  </si>
  <si>
    <t>Variação Parcela Fixa % vs. 2024</t>
  </si>
  <si>
    <t>Variação Parcela Variável % vs. 2024</t>
  </si>
  <si>
    <t>Variação Receita Requerida % vs. 2024</t>
  </si>
  <si>
    <t>Cenário de vazões PGA 2025 (Qmin)</t>
  </si>
  <si>
    <t>Volume Anual (m³)</t>
  </si>
  <si>
    <t>Variação IGP-M dez/2017 a out/2014</t>
  </si>
  <si>
    <t>Valor atualizado para out 2024</t>
  </si>
  <si>
    <t>Und x Mês</t>
  </si>
  <si>
    <t>PREÇO/MÊS (base 2024)</t>
  </si>
  <si>
    <t>Atualizado conforme contratos de O&amp;M (CT 23/2021 e 322/2022) - utilizado preço médio contratos (base 2024)</t>
  </si>
  <si>
    <t>Escavadeiras hidráulicas</t>
  </si>
  <si>
    <t>Grupo Gerador (15 kvA ~ 500 kvA)</t>
  </si>
  <si>
    <t>Retroescavadeiras</t>
  </si>
  <si>
    <t>Caminhão basculante</t>
  </si>
  <si>
    <t>x</t>
  </si>
  <si>
    <t>Reajuste via contratos</t>
  </si>
  <si>
    <t>VALOR TOTAL REAJUSTADO (R$)</t>
  </si>
  <si>
    <t>Média anual (2023-2024) contrato CT 26/2022</t>
  </si>
  <si>
    <t>Técnicos (diversas especialidades)</t>
  </si>
  <si>
    <t>Motoristas</t>
  </si>
  <si>
    <t>Técnico em edificações ou estradas - Agrupado item 4</t>
  </si>
  <si>
    <t>Engenheiro Mecânico - Agrupado item 9</t>
  </si>
  <si>
    <t>Engenheiro Civil - Agrupado item 9</t>
  </si>
  <si>
    <t>Engenheiro Eletricista - Agrupado item 9</t>
  </si>
  <si>
    <t>Engenheiro Mecatrônica - Agrupado item 9</t>
  </si>
  <si>
    <t>Técnico mecânico mergulhador - Agrupado item 4</t>
  </si>
  <si>
    <t>Técnico mecânico - Agrupado item 4</t>
  </si>
  <si>
    <t>Encarregado de turma</t>
  </si>
  <si>
    <t>Servente</t>
  </si>
  <si>
    <t>Pedreiro/Carpinteiro</t>
  </si>
  <si>
    <t>Auxiliar de Topografia</t>
  </si>
  <si>
    <t>Eletricista</t>
  </si>
  <si>
    <t>Coordenadores (manutenção, operação e engenharia)</t>
  </si>
  <si>
    <t>Topógrafo</t>
  </si>
  <si>
    <t>Eletromecânico - Montador</t>
  </si>
  <si>
    <t>Cláusula 17ª</t>
  </si>
  <si>
    <t>Auxiliar de Pedreiro - Contemplado na MO permanente</t>
  </si>
  <si>
    <t>Pedreiro - Contemplado na MO permanente</t>
  </si>
  <si>
    <t>RN*</t>
  </si>
  <si>
    <t>*Condicionante para início da Operação Comercial - 300 hm³ ou 3 anos após efetiva disponibilização de águas do PISF.</t>
  </si>
  <si>
    <t>Rateio da Receita Requerida mediante especificidades e condicionantes (Anexo I - Contratos)</t>
  </si>
  <si>
    <t>Receita Requerida sem escalonamento e especificidades</t>
  </si>
  <si>
    <t>Rateio da Receita Requerida com escalonamento (Cláusula 16ª - 1º ano)</t>
  </si>
  <si>
    <t>1º</t>
  </si>
  <si>
    <t>2º</t>
  </si>
  <si>
    <t>3º</t>
  </si>
  <si>
    <t>4º</t>
  </si>
  <si>
    <t>5º</t>
  </si>
  <si>
    <t>ÍNDICE CONTRATANTE</t>
  </si>
  <si>
    <t>ÍNDICE CONTRATADA</t>
  </si>
  <si>
    <t>ÍNDICES PERCENTUAIS (CLÁUSULA 16ª CONTRATOS)</t>
  </si>
  <si>
    <t>Ano de Operação Comercial</t>
  </si>
  <si>
    <t>21/23/2025 - Quantitativos atualizado com base na NOTA TÉCNICA Nº 5/2025/CPISF/SRB-SEI, que foi elaborada com os dados e informações dos principais contratos de O&amp;M vigentes (CT 26/2021 e 322/2022)</t>
  </si>
  <si>
    <t>Salário + Encargos + Benefícios + HE + Adicionais (valor médio nos contratos)</t>
  </si>
  <si>
    <t>¹Itens 16 a 24 - não previstos na Nota Técnica Conjunta nº 01/2017 COSER/SER/SAS. Incluídos por constar nos contratos.</t>
  </si>
  <si>
    <t>²Mão de obra eventual - ajustado em decorrência da revisão da matriz de mão de obra permanente para O&amp;M</t>
  </si>
  <si>
    <t>³Para os profissionais de Engenharia e Técnicos, o quantitativo foi agregado para preservar a simplicidade. Para determinação de salários, utilizado valor da tabela de consultoria do DNIT - SICRO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</si>
</sst>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8" formatCode="&quot;R$&quot;\ #,##0.00;[Red]\-&quot;R$&quot;\ #,##0.00"/>
    <numFmt numFmtId="41" formatCode="_-* #,##0_-;\-* #,##0_-;_-* &quot;-&quot;_-;_-@_-"/>
    <numFmt numFmtId="44" formatCode="_-&quot;R$&quot;\ * #,##0.00_-;\-&quot;R$&quot;\ * #,##0.00_-;_-&quot;R$&quot;\ * &quot;-&quot;??_-;_-@_-"/>
    <numFmt numFmtId="43" formatCode="_-* #,##0.00_-;\-* #,##0.00_-;_-* &quot;-&quot;??_-;_-@_-"/>
    <numFmt numFmtId="164" formatCode="&quot;R$&quot;#,##0.00;[Red]\-&quot;R$&quot;#,##0.00"/>
    <numFmt numFmtId="165" formatCode="_-&quot;R$&quot;* #,##0.00_-;\-&quot;R$&quot;* #,##0.00_-;_-&quot;R$&quot;* &quot;-&quot;??_-;_-@_-"/>
    <numFmt numFmtId="166" formatCode="0.0%"/>
    <numFmt numFmtId="167" formatCode="_-* #,##0_-;\-* #,##0_-;_-* &quot;-&quot;??_-;_-@_-"/>
    <numFmt numFmtId="168" formatCode="0_ ;\-0\ "/>
    <numFmt numFmtId="169" formatCode="0.000"/>
    <numFmt numFmtId="170" formatCode="0_)"/>
    <numFmt numFmtId="171" formatCode="#,##0.00_ ;[Red]\-#,##0.00\ "/>
    <numFmt numFmtId="172" formatCode="_-* #,##0.000_-;\-* #,##0.000_-;_-* &quot;-&quot;??_-;_-@_-"/>
    <numFmt numFmtId="173" formatCode="0.0000"/>
    <numFmt numFmtId="174" formatCode="0.0000%"/>
    <numFmt numFmtId="175" formatCode="#,##0.00;\(#,##0.00\)"/>
    <numFmt numFmtId="176" formatCode="_-* #,##0.0000_-;\-* #,##0.0000_-;_-* &quot;-&quot;??_-;_-@_-"/>
    <numFmt numFmtId="177" formatCode="#,##0.00_);\(#,##0.00\)"/>
    <numFmt numFmtId="178" formatCode="&quot;R$&quot;\ #,##0.00"/>
    <numFmt numFmtId="179" formatCode="&quot;R$&quot;\ #,##0.000"/>
    <numFmt numFmtId="180" formatCode="_-* #,##0.000_-;\-* #,##0.000_-;_-* &quot;-&quot;???_-;_-@_-"/>
    <numFmt numFmtId="181" formatCode="_-&quot;R$&quot;\ * #,##0.000_-;\-&quot;R$&quot;\ * #,##0.000_-;_-&quot;R$&quot;\ * &quot;-&quot;??_-;_-@_-"/>
    <numFmt numFmtId="182" formatCode="_-&quot;R$&quot;\ * #,##0.0000_-;\-&quot;R$&quot;\ * #,##0.0000_-;_-&quot;R$&quot;\ * &quot;-&quot;??_-;_-@_-"/>
    <numFmt numFmtId="183" formatCode="_-&quot;R$&quot;\ * #,##0.0000_-;\-&quot;R$&quot;\ * #,##0.0000_-;_-&quot;R$&quot;\ * &quot;-&quot;????_-;_-@_-"/>
    <numFmt numFmtId="184" formatCode="_-* #,##0.0000_-;\-* #,##0.0000_-;_-* &quot;-&quot;????_-;_-@_-"/>
  </numFmts>
  <fonts count="86" x14ac:knownFonts="1">
    <font>
      <sz val="11"/>
      <color theme="1"/>
      <name val="Calibri"/>
      <family val="2"/>
      <scheme val="minor"/>
    </font>
    <font>
      <sz val="11"/>
      <color theme="1"/>
      <name val="Calibri"/>
      <family val="2"/>
      <scheme val="minor"/>
    </font>
    <font>
      <b/>
      <sz val="11"/>
      <color theme="1"/>
      <name val="Calibri"/>
      <family val="2"/>
      <scheme val="minor"/>
    </font>
    <font>
      <b/>
      <sz val="10"/>
      <name val="Verdana"/>
      <family val="2"/>
    </font>
    <font>
      <sz val="10"/>
      <name val="Verdana"/>
      <family val="2"/>
    </font>
    <font>
      <sz val="9"/>
      <name val="Arial"/>
      <family val="2"/>
    </font>
    <font>
      <sz val="10"/>
      <color rgb="FF000000"/>
      <name val="Arial"/>
      <family val="2"/>
    </font>
    <font>
      <b/>
      <sz val="9"/>
      <color indexed="81"/>
      <name val="Segoe UI"/>
      <family val="2"/>
    </font>
    <font>
      <sz val="9"/>
      <color indexed="81"/>
      <name val="Segoe UI"/>
      <family val="2"/>
    </font>
    <font>
      <b/>
      <sz val="14"/>
      <color theme="1"/>
      <name val="Calibri"/>
      <family val="2"/>
      <scheme val="minor"/>
    </font>
    <font>
      <b/>
      <sz val="12"/>
      <name val="Arial"/>
      <family val="2"/>
    </font>
    <font>
      <sz val="16"/>
      <color theme="1"/>
      <name val="Calibri"/>
      <family val="2"/>
      <scheme val="minor"/>
    </font>
    <font>
      <sz val="8"/>
      <name val="Verdana"/>
      <family val="2"/>
    </font>
    <font>
      <b/>
      <sz val="9"/>
      <color rgb="FF000000"/>
      <name val="Calibri"/>
      <family val="2"/>
    </font>
    <font>
      <b/>
      <sz val="8"/>
      <name val="Times New Roman"/>
      <family val="1"/>
    </font>
    <font>
      <b/>
      <sz val="9"/>
      <name val="Calibri"/>
      <family val="2"/>
    </font>
    <font>
      <b/>
      <sz val="8"/>
      <name val="Verdana"/>
      <family val="2"/>
    </font>
    <font>
      <sz val="8"/>
      <name val="Arial"/>
      <family val="2"/>
    </font>
    <font>
      <b/>
      <sz val="8"/>
      <color rgb="FF000000"/>
      <name val="Arial"/>
      <family val="2"/>
    </font>
    <font>
      <sz val="8"/>
      <color rgb="FF000000"/>
      <name val="Arial"/>
      <family val="2"/>
    </font>
    <font>
      <b/>
      <sz val="8"/>
      <name val="Arial"/>
      <family val="2"/>
    </font>
    <font>
      <sz val="9"/>
      <color rgb="FF000000"/>
      <name val="Calibri"/>
      <family val="2"/>
    </font>
    <font>
      <b/>
      <sz val="12"/>
      <color rgb="FF000000"/>
      <name val="Arial"/>
      <family val="2"/>
    </font>
    <font>
      <sz val="9"/>
      <name val="Verdana"/>
      <family val="2"/>
    </font>
    <font>
      <sz val="10"/>
      <name val="Arial"/>
      <family val="2"/>
    </font>
    <font>
      <sz val="8"/>
      <name val="SimSun"/>
      <charset val="134"/>
    </font>
    <font>
      <vertAlign val="superscript"/>
      <sz val="8"/>
      <name val="Arial"/>
      <family val="2"/>
    </font>
    <font>
      <sz val="10"/>
      <color theme="1"/>
      <name val="Arial"/>
      <family val="2"/>
    </font>
    <font>
      <b/>
      <sz val="10"/>
      <color rgb="FF000000"/>
      <name val="Arial"/>
      <family val="2"/>
    </font>
    <font>
      <b/>
      <sz val="12"/>
      <name val="Times New Roman"/>
      <family val="1"/>
    </font>
    <font>
      <sz val="11"/>
      <name val="Calibri"/>
      <family val="2"/>
      <scheme val="minor"/>
    </font>
    <font>
      <sz val="8"/>
      <color indexed="10"/>
      <name val="Arial"/>
      <family val="2"/>
    </font>
    <font>
      <sz val="8"/>
      <color indexed="8"/>
      <name val="Arial"/>
      <family val="2"/>
    </font>
    <font>
      <b/>
      <sz val="7"/>
      <name val="Arial"/>
      <family val="2"/>
    </font>
    <font>
      <sz val="8"/>
      <name val="Times New Roman"/>
      <family val="1"/>
    </font>
    <font>
      <b/>
      <vertAlign val="superscript"/>
      <sz val="8"/>
      <name val="Arial"/>
      <family val="2"/>
    </font>
    <font>
      <b/>
      <sz val="14"/>
      <name val="Arial"/>
      <family val="2"/>
    </font>
    <font>
      <b/>
      <sz val="16"/>
      <color theme="1"/>
      <name val="Calibri"/>
      <family val="2"/>
      <scheme val="minor"/>
    </font>
    <font>
      <b/>
      <sz val="11"/>
      <name val="Calibri"/>
      <family val="2"/>
      <scheme val="minor"/>
    </font>
    <font>
      <sz val="10"/>
      <color theme="1"/>
      <name val="Calibri"/>
      <family val="2"/>
      <scheme val="minor"/>
    </font>
    <font>
      <b/>
      <sz val="10"/>
      <color theme="1"/>
      <name val="Calibri"/>
      <family val="2"/>
      <scheme val="minor"/>
    </font>
    <font>
      <b/>
      <sz val="10"/>
      <name val="Arial"/>
      <family val="2"/>
    </font>
    <font>
      <b/>
      <sz val="10"/>
      <color theme="1"/>
      <name val="Century Gothic"/>
      <family val="2"/>
    </font>
    <font>
      <sz val="10"/>
      <color theme="1"/>
      <name val="Century Gothic"/>
      <family val="2"/>
    </font>
    <font>
      <b/>
      <sz val="11"/>
      <color rgb="FF000000"/>
      <name val="Calibri"/>
      <family val="2"/>
      <scheme val="minor"/>
    </font>
    <font>
      <sz val="11"/>
      <color rgb="FF000000"/>
      <name val="Calibri"/>
      <family val="2"/>
      <scheme val="minor"/>
    </font>
    <font>
      <u/>
      <sz val="11"/>
      <color theme="10"/>
      <name val="Calibri"/>
      <family val="2"/>
      <scheme val="minor"/>
    </font>
    <font>
      <sz val="11"/>
      <color rgb="FFFF0000"/>
      <name val="Calibri"/>
      <family val="2"/>
      <scheme val="minor"/>
    </font>
    <font>
      <b/>
      <sz val="14"/>
      <name val="Calibri"/>
      <family val="2"/>
      <scheme val="minor"/>
    </font>
    <font>
      <sz val="12"/>
      <color theme="1"/>
      <name val="Calibri"/>
      <family val="2"/>
      <scheme val="minor"/>
    </font>
    <font>
      <sz val="10"/>
      <color rgb="FF000000"/>
      <name val="Century Gothic"/>
      <family val="2"/>
    </font>
    <font>
      <sz val="8"/>
      <color theme="1"/>
      <name val="Calibri"/>
      <family val="2"/>
      <scheme val="minor"/>
    </font>
    <font>
      <b/>
      <sz val="12"/>
      <color theme="1"/>
      <name val="Calibri"/>
      <family val="2"/>
      <scheme val="minor"/>
    </font>
    <font>
      <strike/>
      <sz val="12"/>
      <color theme="1"/>
      <name val="Calibri"/>
      <family val="2"/>
      <scheme val="minor"/>
    </font>
    <font>
      <b/>
      <sz val="14"/>
      <color rgb="FF000000"/>
      <name val="Arial"/>
      <family val="2"/>
    </font>
    <font>
      <sz val="11"/>
      <color theme="1"/>
      <name val="Segoe UI"/>
      <family val="2"/>
    </font>
    <font>
      <sz val="11"/>
      <color rgb="FF000000"/>
      <name val="Segoe UI"/>
      <family val="2"/>
    </font>
    <font>
      <b/>
      <sz val="11"/>
      <color rgb="FF000000"/>
      <name val="Segoe UI"/>
      <family val="2"/>
    </font>
    <font>
      <b/>
      <sz val="12"/>
      <color rgb="FFFF0000"/>
      <name val="Calibri"/>
      <family val="2"/>
      <scheme val="minor"/>
    </font>
    <font>
      <sz val="12"/>
      <color rgb="FFFF0000"/>
      <name val="Calibri"/>
      <family val="2"/>
      <scheme val="minor"/>
    </font>
    <font>
      <b/>
      <sz val="10.5"/>
      <color rgb="FF000000"/>
      <name val="Segoe UI"/>
      <family val="2"/>
    </font>
    <font>
      <b/>
      <sz val="8"/>
      <color theme="1"/>
      <name val="Calibri"/>
      <family val="2"/>
      <scheme val="minor"/>
    </font>
    <font>
      <b/>
      <sz val="8"/>
      <color rgb="FF25396E"/>
      <name val="Calibri"/>
      <family val="2"/>
    </font>
    <font>
      <sz val="8"/>
      <color rgb="FF25396E"/>
      <name val="Calibri"/>
      <family val="2"/>
    </font>
    <font>
      <sz val="8"/>
      <color theme="1"/>
      <name val="Calibri"/>
      <family val="2"/>
    </font>
    <font>
      <b/>
      <sz val="10"/>
      <color theme="1"/>
      <name val="Arial"/>
      <family val="2"/>
    </font>
    <font>
      <sz val="11"/>
      <color theme="1"/>
      <name val="Calibri"/>
      <family val="2"/>
    </font>
    <font>
      <b/>
      <sz val="11"/>
      <color theme="1"/>
      <name val="Calibri"/>
      <family val="2"/>
    </font>
    <font>
      <sz val="8"/>
      <name val="Calibri"/>
      <family val="2"/>
      <scheme val="minor"/>
    </font>
    <font>
      <b/>
      <sz val="12"/>
      <name val="Calibri"/>
      <family val="2"/>
      <scheme val="minor"/>
    </font>
    <font>
      <sz val="11"/>
      <color rgb="FF444444"/>
      <name val="Calibri"/>
      <family val="2"/>
      <charset val="1"/>
    </font>
    <font>
      <sz val="10"/>
      <color rgb="FFFF0000"/>
      <name val="Arial"/>
      <family val="2"/>
    </font>
    <font>
      <sz val="8"/>
      <color rgb="FFFF0000"/>
      <name val="Arial"/>
      <family val="2"/>
    </font>
    <font>
      <b/>
      <sz val="12"/>
      <color rgb="FF000000"/>
      <name val="Calibri"/>
      <family val="2"/>
      <scheme val="minor"/>
    </font>
    <font>
      <sz val="11"/>
      <color rgb="FF000000"/>
      <name val="Calibri"/>
      <family val="2"/>
    </font>
    <font>
      <sz val="13.5"/>
      <color rgb="FF1F1F1F"/>
      <name val="Times New Roman"/>
      <family val="1"/>
    </font>
    <font>
      <sz val="13.5"/>
      <color rgb="FF1F1F1F"/>
      <name val="Times New Roman"/>
      <family val="2"/>
    </font>
    <font>
      <sz val="14"/>
      <color rgb="FF1F1F1F"/>
      <name val="Times New Roman"/>
      <family val="1"/>
    </font>
    <font>
      <sz val="14"/>
      <color rgb="FF1F1F1F"/>
      <name val="Times New Roman"/>
      <family val="2"/>
    </font>
    <font>
      <sz val="13"/>
      <color rgb="FF1F1F1F"/>
      <name val="Times New Roman"/>
      <family val="1"/>
    </font>
    <font>
      <sz val="13"/>
      <color rgb="FF1F1F1F"/>
      <name val="Times New Roman"/>
      <family val="2"/>
    </font>
    <font>
      <b/>
      <sz val="12"/>
      <color rgb="FFFFFFFF"/>
      <name val="Arial"/>
      <family val="2"/>
    </font>
    <font>
      <sz val="12"/>
      <color rgb="FF000000"/>
      <name val="Arial"/>
      <family val="2"/>
    </font>
    <font>
      <sz val="14"/>
      <color rgb="FF000000"/>
      <name val="Helvetica"/>
      <family val="2"/>
    </font>
    <font>
      <sz val="11"/>
      <color rgb="FF000000"/>
      <name val="Calibri"/>
    </font>
    <font>
      <sz val="9"/>
      <color theme="1"/>
      <name val="Calibri"/>
      <family val="2"/>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99"/>
        <bgColor indexed="64"/>
      </patternFill>
    </fill>
    <fill>
      <patternFill patternType="solid">
        <fgColor theme="6" tint="0.39997558519241921"/>
        <bgColor indexed="64"/>
      </patternFill>
    </fill>
    <fill>
      <patternFill patternType="solid">
        <fgColor indexed="31"/>
        <bgColor indexed="22"/>
      </patternFill>
    </fill>
    <fill>
      <patternFill patternType="solid">
        <fgColor indexed="9"/>
        <bgColor indexed="64"/>
      </patternFill>
    </fill>
    <fill>
      <patternFill patternType="solid">
        <fgColor indexed="9"/>
        <bgColor indexed="27"/>
      </patternFill>
    </fill>
    <fill>
      <patternFill patternType="solid">
        <fgColor indexed="22"/>
        <bgColor indexed="31"/>
      </patternFill>
    </fill>
    <fill>
      <patternFill patternType="solid">
        <fgColor theme="0" tint="-0.249977111117893"/>
        <bgColor indexed="64"/>
      </patternFill>
    </fill>
    <fill>
      <patternFill patternType="solid">
        <fgColor indexed="22"/>
        <bgColor indexed="64"/>
      </patternFill>
    </fill>
    <fill>
      <patternFill patternType="solid">
        <fgColor theme="2" tint="-9.9978637043366805E-2"/>
        <bgColor indexed="64"/>
      </patternFill>
    </fill>
    <fill>
      <patternFill patternType="solid">
        <fgColor rgb="FFD6DCE4"/>
        <bgColor indexed="64"/>
      </patternFill>
    </fill>
    <fill>
      <patternFill patternType="solid">
        <fgColor theme="7"/>
        <bgColor indexed="64"/>
      </patternFill>
    </fill>
    <fill>
      <patternFill patternType="solid">
        <fgColor theme="7" tint="0.79998168889431442"/>
        <bgColor indexed="64"/>
      </patternFill>
    </fill>
    <fill>
      <patternFill patternType="solid">
        <fgColor rgb="FFFFFFFF"/>
        <bgColor indexed="64"/>
      </patternFill>
    </fill>
    <fill>
      <patternFill patternType="solid">
        <fgColor rgb="FFFFFFFF"/>
      </patternFill>
    </fill>
    <fill>
      <patternFill patternType="solid">
        <fgColor theme="4" tint="0.59999389629810485"/>
        <bgColor auto="1"/>
      </patternFill>
    </fill>
    <fill>
      <patternFill patternType="solid">
        <fgColor theme="9" tint="0.39997558519241921"/>
        <bgColor indexed="64"/>
      </patternFill>
    </fill>
    <fill>
      <patternFill patternType="solid">
        <fgColor rgb="FFFDFDFD"/>
        <bgColor indexed="64"/>
      </patternFill>
    </fill>
    <fill>
      <patternFill patternType="solid">
        <fgColor theme="5" tint="0.39997558519241921"/>
        <bgColor indexed="64"/>
      </patternFill>
    </fill>
    <fill>
      <patternFill patternType="solid">
        <fgColor theme="5" tint="0.39997558519241921"/>
        <bgColor auto="1"/>
      </patternFill>
    </fill>
    <fill>
      <patternFill patternType="solid">
        <fgColor theme="9"/>
        <bgColor indexed="64"/>
      </patternFill>
    </fill>
    <fill>
      <patternFill patternType="solid">
        <fgColor rgb="FF002E6E"/>
        <bgColor rgb="FF000000"/>
      </patternFill>
    </fill>
    <fill>
      <patternFill patternType="solid">
        <fgColor rgb="FF00B0F0"/>
        <bgColor indexed="64"/>
      </patternFill>
    </fill>
  </fills>
  <borders count="1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rgb="FF78C0D4"/>
      </right>
      <top/>
      <bottom/>
      <diagonal/>
    </border>
    <border>
      <left style="medium">
        <color rgb="FF78C0D4"/>
      </left>
      <right style="medium">
        <color rgb="FF78C0D4"/>
      </right>
      <top/>
      <bottom/>
      <diagonal/>
    </border>
    <border>
      <left/>
      <right style="medium">
        <color rgb="FF78C0D4"/>
      </right>
      <top style="medium">
        <color rgb="FF78C0D4"/>
      </top>
      <bottom/>
      <diagonal/>
    </border>
    <border>
      <left style="medium">
        <color rgb="FF78C0D4"/>
      </left>
      <right style="medium">
        <color rgb="FF78C0D4"/>
      </right>
      <top style="medium">
        <color rgb="FF78C0D4"/>
      </top>
      <bottom/>
      <diagonal/>
    </border>
    <border>
      <left style="thin">
        <color theme="6"/>
      </left>
      <right style="thin">
        <color theme="6"/>
      </right>
      <top style="thin">
        <color theme="6"/>
      </top>
      <bottom style="thin">
        <color theme="6"/>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theme="8" tint="0.39997558519241921"/>
      </left>
      <right style="medium">
        <color theme="8" tint="0.39997558519241921"/>
      </right>
      <top style="medium">
        <color theme="8" tint="0.39997558519241921"/>
      </top>
      <bottom style="medium">
        <color theme="8" tint="0.39997558519241921"/>
      </bottom>
      <diagonal/>
    </border>
    <border>
      <left/>
      <right style="medium">
        <color rgb="FF78C0D4"/>
      </right>
      <top/>
      <bottom style="medium">
        <color rgb="FF78C0D4"/>
      </bottom>
      <diagonal/>
    </border>
    <border>
      <left/>
      <right style="medium">
        <color rgb="FF78C0D4"/>
      </right>
      <top style="medium">
        <color rgb="FF78C0D4"/>
      </top>
      <bottom style="medium">
        <color rgb="FF78C0D4"/>
      </bottom>
      <diagonal/>
    </border>
    <border>
      <left/>
      <right/>
      <top style="medium">
        <color rgb="FF78C0D4"/>
      </top>
      <bottom style="medium">
        <color rgb="FF78C0D4"/>
      </bottom>
      <diagonal/>
    </border>
    <border>
      <left style="medium">
        <color rgb="FF78C0D4"/>
      </left>
      <right/>
      <top style="medium">
        <color rgb="FF78C0D4"/>
      </top>
      <bottom style="medium">
        <color rgb="FF78C0D4"/>
      </bottom>
      <diagonal/>
    </border>
    <border>
      <left/>
      <right style="medium">
        <color theme="8" tint="0.39997558519241921"/>
      </right>
      <top style="medium">
        <color theme="8" tint="0.39997558519241921"/>
      </top>
      <bottom style="medium">
        <color theme="8" tint="0.39997558519241921"/>
      </bottom>
      <diagonal/>
    </border>
    <border>
      <left style="medium">
        <color theme="8" tint="0.39997558519241921"/>
      </left>
      <right/>
      <top style="medium">
        <color theme="8" tint="0.39997558519241921"/>
      </top>
      <bottom style="medium">
        <color theme="8" tint="0.39997558519241921"/>
      </bottom>
      <diagonal/>
    </border>
    <border>
      <left style="medium">
        <color rgb="FF78C0D4"/>
      </left>
      <right style="medium">
        <color rgb="FF78C0D4"/>
      </right>
      <top/>
      <bottom style="medium">
        <color rgb="FF78C0D4"/>
      </bottom>
      <diagonal/>
    </border>
    <border>
      <left style="medium">
        <color theme="8" tint="0.39997558519241921"/>
      </left>
      <right style="medium">
        <color theme="8" tint="0.39997558519241921"/>
      </right>
      <top/>
      <bottom style="medium">
        <color theme="8" tint="0.39997558519241921"/>
      </bottom>
      <diagonal/>
    </border>
    <border>
      <left style="medium">
        <color theme="8" tint="0.39997558519241921"/>
      </left>
      <right style="medium">
        <color theme="8" tint="0.39997558519241921"/>
      </right>
      <top/>
      <bottom/>
      <diagonal/>
    </border>
    <border>
      <left style="medium">
        <color theme="8" tint="0.39997558519241921"/>
      </left>
      <right style="medium">
        <color theme="8" tint="0.39997558519241921"/>
      </right>
      <top style="medium">
        <color theme="8" tint="0.39997558519241921"/>
      </top>
      <bottom/>
      <diagonal/>
    </border>
    <border>
      <left/>
      <right/>
      <top/>
      <bottom style="medium">
        <color rgb="FF78C0D4"/>
      </bottom>
      <diagonal/>
    </border>
    <border>
      <left/>
      <right style="medium">
        <color theme="8" tint="0.39997558519241921"/>
      </right>
      <top/>
      <bottom style="medium">
        <color theme="8" tint="0.39997558519241921"/>
      </bottom>
      <diagonal/>
    </border>
    <border>
      <left/>
      <right/>
      <top/>
      <bottom style="medium">
        <color theme="8" tint="0.39997558519241921"/>
      </bottom>
      <diagonal/>
    </border>
    <border>
      <left style="medium">
        <color rgb="FF78C0D4"/>
      </left>
      <right/>
      <top/>
      <bottom style="medium">
        <color theme="8" tint="0.39997558519241921"/>
      </bottom>
      <diagonal/>
    </border>
    <border>
      <left/>
      <right style="medium">
        <color theme="8" tint="0.39997558519241921"/>
      </right>
      <top/>
      <bottom/>
      <diagonal/>
    </border>
    <border>
      <left style="medium">
        <color rgb="FF78C0D4"/>
      </left>
      <right/>
      <top/>
      <bottom/>
      <diagonal/>
    </border>
    <border>
      <left/>
      <right style="medium">
        <color theme="8" tint="0.39997558519241921"/>
      </right>
      <top style="medium">
        <color theme="8" tint="0.39997558519241921"/>
      </top>
      <bottom/>
      <diagonal/>
    </border>
    <border>
      <left/>
      <right/>
      <top style="medium">
        <color theme="8" tint="0.39997558519241921"/>
      </top>
      <bottom/>
      <diagonal/>
    </border>
    <border>
      <left style="medium">
        <color rgb="FF78C0D4"/>
      </left>
      <right/>
      <top style="medium">
        <color theme="8" tint="0.39997558519241921"/>
      </top>
      <bottom/>
      <diagonal/>
    </border>
    <border>
      <left style="thin">
        <color indexed="8"/>
      </left>
      <right style="thin">
        <color indexed="8"/>
      </right>
      <top/>
      <bottom style="double">
        <color indexed="8"/>
      </bottom>
      <diagonal/>
    </border>
    <border>
      <left/>
      <right style="thin">
        <color indexed="8"/>
      </right>
      <top/>
      <bottom style="double">
        <color indexed="8"/>
      </bottom>
      <diagonal/>
    </border>
    <border>
      <left/>
      <right/>
      <top/>
      <bottom style="double">
        <color indexed="8"/>
      </bottom>
      <diagonal/>
    </border>
    <border>
      <left style="medium">
        <color indexed="64"/>
      </left>
      <right/>
      <top/>
      <bottom style="double">
        <color indexed="8"/>
      </bottom>
      <diagonal/>
    </border>
    <border>
      <left style="medium">
        <color indexed="64"/>
      </left>
      <right/>
      <top style="thin">
        <color indexed="64"/>
      </top>
      <bottom style="thin">
        <color indexed="64"/>
      </bottom>
      <diagonal/>
    </border>
    <border>
      <left style="thin">
        <color indexed="8"/>
      </left>
      <right style="thin">
        <color indexed="8"/>
      </right>
      <top/>
      <bottom style="thin">
        <color indexed="8"/>
      </bottom>
      <diagonal/>
    </border>
    <border>
      <left/>
      <right/>
      <top/>
      <bottom style="thin">
        <color indexed="8"/>
      </bottom>
      <diagonal/>
    </border>
    <border>
      <left style="medium">
        <color indexed="64"/>
      </left>
      <right/>
      <top/>
      <bottom style="thin">
        <color indexed="8"/>
      </bottom>
      <diagonal/>
    </border>
    <border>
      <left style="thin">
        <color indexed="8"/>
      </left>
      <right style="thin">
        <color indexed="8"/>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medium">
        <color indexed="64"/>
      </left>
      <right style="thin">
        <color indexed="8"/>
      </right>
      <top/>
      <bottom style="thin">
        <color indexed="8"/>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8"/>
      </left>
      <right style="thin">
        <color indexed="8"/>
      </right>
      <top style="double">
        <color indexed="8"/>
      </top>
      <bottom style="thin">
        <color indexed="8"/>
      </bottom>
      <diagonal/>
    </border>
    <border>
      <left style="thin">
        <color indexed="8"/>
      </left>
      <right style="thin">
        <color indexed="8"/>
      </right>
      <top style="medium">
        <color indexed="64"/>
      </top>
      <bottom style="double">
        <color indexed="64"/>
      </bottom>
      <diagonal/>
    </border>
    <border>
      <left style="thin">
        <color indexed="8"/>
      </left>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C0C0C0"/>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top/>
      <bottom style="thin">
        <color rgb="FFC0C0C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rgb="FF231F1F"/>
      </top>
      <bottom style="thin">
        <color rgb="FF231F1F"/>
      </bottom>
      <diagonal/>
    </border>
    <border>
      <left/>
      <right/>
      <top/>
      <bottom style="thin">
        <color rgb="FF231F1F"/>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rgb="FF78C0D4"/>
      </left>
      <right style="medium">
        <color rgb="FF78C0D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double">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style="double">
        <color indexed="8"/>
      </bottom>
      <diagonal/>
    </border>
    <border>
      <left style="medium">
        <color indexed="64"/>
      </left>
      <right/>
      <top style="thin">
        <color indexed="8"/>
      </top>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24" fillId="0" borderId="0"/>
    <xf numFmtId="0" fontId="24" fillId="0" borderId="0"/>
    <xf numFmtId="0" fontId="46" fillId="0" borderId="0" applyNumberFormat="0" applyFill="0" applyBorder="0" applyAlignment="0" applyProtection="0"/>
  </cellStyleXfs>
  <cellXfs count="1157">
    <xf numFmtId="0" fontId="0" fillId="0" borderId="0" xfId="0"/>
    <xf numFmtId="0" fontId="2" fillId="0" borderId="1" xfId="0" applyFont="1" applyBorder="1"/>
    <xf numFmtId="0" fontId="2" fillId="0" borderId="0" xfId="0" applyFont="1"/>
    <xf numFmtId="43" fontId="0" fillId="0" borderId="0" xfId="0" applyNumberFormat="1"/>
    <xf numFmtId="4" fontId="0" fillId="0" borderId="0" xfId="0" applyNumberFormat="1"/>
    <xf numFmtId="9" fontId="0" fillId="0" borderId="0" xfId="0" applyNumberFormat="1"/>
    <xf numFmtId="0" fontId="0" fillId="0" borderId="1" xfId="0" applyBorder="1"/>
    <xf numFmtId="0" fontId="2" fillId="0" borderId="1" xfId="0" applyFont="1" applyBorder="1" applyAlignment="1">
      <alignment horizontal="center"/>
    </xf>
    <xf numFmtId="0" fontId="0" fillId="0" borderId="1" xfId="0" applyBorder="1" applyAlignment="1">
      <alignment horizontal="right"/>
    </xf>
    <xf numFmtId="43" fontId="0" fillId="0" borderId="1" xfId="1" applyFont="1" applyBorder="1"/>
    <xf numFmtId="43" fontId="0" fillId="0" borderId="1" xfId="0" applyNumberFormat="1" applyBorder="1"/>
    <xf numFmtId="2" fontId="0" fillId="0" borderId="1" xfId="0" applyNumberFormat="1" applyBorder="1"/>
    <xf numFmtId="0" fontId="0" fillId="3" borderId="0" xfId="0" applyFill="1"/>
    <xf numFmtId="0" fontId="0" fillId="0" borderId="1" xfId="0" applyBorder="1" applyAlignment="1">
      <alignment horizontal="center"/>
    </xf>
    <xf numFmtId="0" fontId="0" fillId="0" borderId="0" xfId="0" applyAlignment="1">
      <alignment horizontal="center"/>
    </xf>
    <xf numFmtId="0" fontId="3" fillId="0" borderId="0" xfId="0" applyFont="1"/>
    <xf numFmtId="0" fontId="0" fillId="0" borderId="2" xfId="0" applyBorder="1"/>
    <xf numFmtId="0" fontId="0" fillId="8" borderId="0" xfId="0" applyFill="1"/>
    <xf numFmtId="0" fontId="4" fillId="0" borderId="0" xfId="0" applyFont="1"/>
    <xf numFmtId="3" fontId="0" fillId="0" borderId="0" xfId="0" applyNumberFormat="1"/>
    <xf numFmtId="0" fontId="5" fillId="8" borderId="5"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0" fillId="0" borderId="9" xfId="0" applyBorder="1" applyAlignment="1">
      <alignment horizontal="center"/>
    </xf>
    <xf numFmtId="2" fontId="0" fillId="0" borderId="9" xfId="0" applyNumberFormat="1" applyBorder="1" applyAlignment="1">
      <alignment horizontal="center"/>
    </xf>
    <xf numFmtId="4" fontId="0" fillId="0" borderId="1" xfId="0" applyNumberFormat="1" applyBorder="1" applyAlignment="1">
      <alignment horizontal="center"/>
    </xf>
    <xf numFmtId="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10" fontId="6" fillId="8"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44" fontId="0" fillId="0" borderId="10" xfId="0" applyNumberFormat="1" applyBorder="1"/>
    <xf numFmtId="0" fontId="0" fillId="0" borderId="11" xfId="0" applyBorder="1"/>
    <xf numFmtId="0" fontId="0" fillId="0" borderId="12" xfId="0" applyBorder="1"/>
    <xf numFmtId="44" fontId="0" fillId="0" borderId="13" xfId="0" applyNumberFormat="1" applyBorder="1"/>
    <xf numFmtId="0" fontId="0" fillId="0" borderId="14" xfId="0" applyBorder="1"/>
    <xf numFmtId="44" fontId="0" fillId="0" borderId="15" xfId="0" applyNumberFormat="1" applyBorder="1"/>
    <xf numFmtId="0" fontId="0" fillId="0" borderId="16" xfId="0" applyBorder="1"/>
    <xf numFmtId="0" fontId="0" fillId="0" borderId="17" xfId="0" applyBorder="1"/>
    <xf numFmtId="0" fontId="0" fillId="0" borderId="13" xfId="0" applyBorder="1"/>
    <xf numFmtId="44" fontId="0" fillId="0" borderId="0" xfId="0" applyNumberFormat="1"/>
    <xf numFmtId="10" fontId="0" fillId="0" borderId="0" xfId="0" applyNumberFormat="1"/>
    <xf numFmtId="0" fontId="11" fillId="0" borderId="0" xfId="0" applyFont="1"/>
    <xf numFmtId="0" fontId="0" fillId="0" borderId="0" xfId="0" applyAlignment="1">
      <alignment horizontal="left"/>
    </xf>
    <xf numFmtId="0" fontId="12" fillId="0" borderId="0" xfId="0" applyFont="1" applyAlignment="1">
      <alignment horizontal="left"/>
    </xf>
    <xf numFmtId="0" fontId="12" fillId="0" borderId="0" xfId="0" applyFont="1"/>
    <xf numFmtId="0" fontId="0" fillId="0" borderId="20" xfId="0" applyBorder="1"/>
    <xf numFmtId="4" fontId="13" fillId="0" borderId="21" xfId="0" applyNumberFormat="1" applyFont="1" applyBorder="1" applyAlignment="1">
      <alignment horizontal="right" vertical="center" wrapText="1"/>
    </xf>
    <xf numFmtId="4" fontId="16" fillId="13" borderId="20" xfId="0" applyNumberFormat="1" applyFont="1" applyFill="1" applyBorder="1"/>
    <xf numFmtId="4" fontId="17" fillId="12" borderId="21" xfId="0" applyNumberFormat="1" applyFont="1" applyFill="1" applyBorder="1" applyAlignment="1">
      <alignment horizontal="right" vertical="center" wrapText="1"/>
    </xf>
    <xf numFmtId="2" fontId="12" fillId="0" borderId="20" xfId="0" applyNumberFormat="1" applyFont="1" applyBorder="1"/>
    <xf numFmtId="0" fontId="12" fillId="0" borderId="20" xfId="0" applyFont="1" applyBorder="1"/>
    <xf numFmtId="4" fontId="17" fillId="0" borderId="21" xfId="0" applyNumberFormat="1" applyFont="1" applyBorder="1" applyAlignment="1">
      <alignment horizontal="right" vertical="center" wrapText="1"/>
    </xf>
    <xf numFmtId="4" fontId="19" fillId="0" borderId="21" xfId="0" applyNumberFormat="1" applyFont="1" applyBorder="1" applyAlignment="1">
      <alignment horizontal="right" vertical="center" wrapText="1"/>
    </xf>
    <xf numFmtId="0" fontId="17" fillId="0" borderId="21" xfId="0" applyFont="1" applyBorder="1" applyAlignment="1">
      <alignment horizontal="center" vertical="center" wrapText="1"/>
    </xf>
    <xf numFmtId="0" fontId="17" fillId="0" borderId="21" xfId="0" applyFont="1" applyBorder="1" applyAlignment="1">
      <alignment horizontal="left" vertical="center" wrapText="1"/>
    </xf>
    <xf numFmtId="0" fontId="20" fillId="0" borderId="27" xfId="0" applyFont="1" applyBorder="1" applyAlignment="1">
      <alignment horizontal="center" vertical="center" wrapText="1"/>
    </xf>
    <xf numFmtId="0" fontId="12" fillId="0" borderId="20" xfId="0" applyFont="1" applyBorder="1" applyAlignment="1">
      <alignment horizontal="center"/>
    </xf>
    <xf numFmtId="0" fontId="3" fillId="0" borderId="20" xfId="0" applyFont="1" applyBorder="1"/>
    <xf numFmtId="4" fontId="17" fillId="13" borderId="21" xfId="0" applyNumberFormat="1" applyFont="1" applyFill="1" applyBorder="1" applyAlignment="1">
      <alignment horizontal="right" vertical="center" wrapText="1"/>
    </xf>
    <xf numFmtId="0" fontId="17" fillId="0" borderId="5" xfId="0" applyFont="1" applyBorder="1" applyAlignment="1">
      <alignment horizontal="center" vertical="center" wrapText="1"/>
    </xf>
    <xf numFmtId="4" fontId="13" fillId="0" borderId="31" xfId="0" applyNumberFormat="1" applyFont="1" applyBorder="1" applyAlignment="1">
      <alignment horizontal="right" vertical="center" wrapText="1"/>
    </xf>
    <xf numFmtId="4" fontId="18" fillId="12" borderId="31" xfId="0" applyNumberFormat="1" applyFont="1" applyFill="1" applyBorder="1" applyAlignment="1">
      <alignment horizontal="right" vertical="center" wrapText="1"/>
    </xf>
    <xf numFmtId="4" fontId="19" fillId="0" borderId="31" xfId="0" applyNumberFormat="1" applyFont="1" applyBorder="1" applyAlignment="1">
      <alignment horizontal="right" vertical="center" wrapText="1"/>
    </xf>
    <xf numFmtId="0" fontId="19" fillId="0" borderId="21" xfId="0" applyFont="1" applyBorder="1" applyAlignment="1">
      <alignment horizontal="center" vertical="center" wrapText="1"/>
    </xf>
    <xf numFmtId="0" fontId="19" fillId="0" borderId="21" xfId="0" applyFont="1" applyBorder="1" applyAlignment="1">
      <alignment horizontal="left" vertical="center" wrapText="1"/>
    </xf>
    <xf numFmtId="0" fontId="18" fillId="0" borderId="27" xfId="0" applyFont="1" applyBorder="1" applyAlignment="1">
      <alignment horizontal="center" vertical="center" wrapText="1"/>
    </xf>
    <xf numFmtId="4" fontId="21" fillId="0" borderId="31" xfId="0" applyNumberFormat="1" applyFont="1" applyBorder="1" applyAlignment="1">
      <alignment horizontal="right" vertical="center" wrapText="1"/>
    </xf>
    <xf numFmtId="0" fontId="16" fillId="0" borderId="20" xfId="0" applyFont="1" applyBorder="1"/>
    <xf numFmtId="0" fontId="16" fillId="0" borderId="20" xfId="0" applyFont="1" applyBorder="1" applyAlignment="1">
      <alignment horizontal="center"/>
    </xf>
    <xf numFmtId="4" fontId="18" fillId="13" borderId="31" xfId="0" applyNumberFormat="1" applyFont="1" applyFill="1" applyBorder="1" applyAlignment="1">
      <alignment horizontal="right" vertical="center" wrapText="1"/>
    </xf>
    <xf numFmtId="0" fontId="19" fillId="0" borderId="31"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4" fontId="18" fillId="13" borderId="21" xfId="0" applyNumberFormat="1" applyFont="1" applyFill="1" applyBorder="1" applyAlignment="1">
      <alignment horizontal="right" vertical="center" wrapText="1"/>
    </xf>
    <xf numFmtId="2" fontId="18" fillId="0" borderId="21" xfId="0" applyNumberFormat="1" applyFont="1" applyBorder="1" applyAlignment="1">
      <alignment horizontal="right" vertical="center" wrapText="1"/>
    </xf>
    <xf numFmtId="2" fontId="19" fillId="0" borderId="21" xfId="0" applyNumberFormat="1" applyFont="1" applyBorder="1" applyAlignment="1">
      <alignment horizontal="right" vertical="center" wrapText="1"/>
    </xf>
    <xf numFmtId="0" fontId="18" fillId="13" borderId="22" xfId="0" applyFont="1" applyFill="1" applyBorder="1" applyAlignment="1">
      <alignment horizontal="center" vertical="center" wrapText="1"/>
    </xf>
    <xf numFmtId="4" fontId="4" fillId="8" borderId="1" xfId="0" applyNumberFormat="1" applyFont="1" applyFill="1" applyBorder="1" applyAlignment="1">
      <alignment horizontal="center"/>
    </xf>
    <xf numFmtId="0" fontId="0" fillId="8" borderId="1" xfId="0" applyFill="1" applyBorder="1" applyAlignment="1">
      <alignment horizontal="left"/>
    </xf>
    <xf numFmtId="4" fontId="3" fillId="12" borderId="1" xfId="0" applyNumberFormat="1" applyFont="1" applyFill="1" applyBorder="1" applyAlignment="1">
      <alignment horizontal="center"/>
    </xf>
    <xf numFmtId="0" fontId="3" fillId="12" borderId="1" xfId="0" applyFont="1" applyFill="1" applyBorder="1"/>
    <xf numFmtId="43" fontId="3" fillId="13" borderId="1" xfId="0" applyNumberFormat="1" applyFont="1" applyFill="1" applyBorder="1" applyAlignment="1">
      <alignment horizontal="right"/>
    </xf>
    <xf numFmtId="0" fontId="3" fillId="13" borderId="1" xfId="0" applyFont="1" applyFill="1" applyBorder="1"/>
    <xf numFmtId="44" fontId="23" fillId="0" borderId="0" xfId="3" applyFont="1" applyFill="1"/>
    <xf numFmtId="0" fontId="24" fillId="3" borderId="0" xfId="0" applyFont="1" applyFill="1"/>
    <xf numFmtId="0" fontId="24" fillId="3" borderId="0" xfId="0" applyFont="1" applyFill="1" applyAlignment="1">
      <alignment horizontal="center"/>
    </xf>
    <xf numFmtId="4" fontId="0" fillId="3" borderId="0" xfId="0" applyNumberFormat="1" applyFill="1"/>
    <xf numFmtId="2" fontId="0" fillId="3" borderId="0" xfId="0" applyNumberFormat="1" applyFill="1"/>
    <xf numFmtId="0" fontId="0" fillId="3" borderId="0" xfId="0" applyFill="1" applyAlignment="1">
      <alignment horizontal="left"/>
    </xf>
    <xf numFmtId="0" fontId="4" fillId="0" borderId="0" xfId="0" applyFont="1" applyAlignment="1">
      <alignment horizontal="left"/>
    </xf>
    <xf numFmtId="2" fontId="17" fillId="0" borderId="20" xfId="0" applyNumberFormat="1" applyFont="1" applyBorder="1"/>
    <xf numFmtId="167" fontId="19" fillId="0" borderId="21" xfId="1" applyNumberFormat="1" applyFont="1" applyFill="1" applyBorder="1" applyAlignment="1">
      <alignment horizontal="center" vertical="center" wrapText="1"/>
    </xf>
    <xf numFmtId="168" fontId="19" fillId="0" borderId="21" xfId="1" applyNumberFormat="1" applyFont="1" applyFill="1" applyBorder="1" applyAlignment="1">
      <alignment horizontal="center" vertical="center" wrapText="1"/>
    </xf>
    <xf numFmtId="4" fontId="13" fillId="3" borderId="21" xfId="0" applyNumberFormat="1" applyFont="1" applyFill="1" applyBorder="1" applyAlignment="1">
      <alignment horizontal="right" vertical="center" wrapText="1"/>
    </xf>
    <xf numFmtId="4" fontId="20" fillId="13" borderId="20" xfId="0" applyNumberFormat="1" applyFont="1" applyFill="1" applyBorder="1"/>
    <xf numFmtId="43" fontId="20" fillId="12" borderId="21" xfId="1" applyFont="1" applyFill="1" applyBorder="1" applyAlignment="1">
      <alignment horizontal="right" vertical="center" wrapText="1"/>
    </xf>
    <xf numFmtId="4" fontId="17" fillId="0" borderId="20" xfId="0" applyNumberFormat="1" applyFont="1" applyBorder="1"/>
    <xf numFmtId="43" fontId="19" fillId="0" borderId="21" xfId="1" applyFont="1" applyFill="1" applyBorder="1" applyAlignment="1">
      <alignment horizontal="right" vertical="center" wrapText="1"/>
    </xf>
    <xf numFmtId="43" fontId="17" fillId="0" borderId="21" xfId="1" applyFont="1" applyFill="1" applyBorder="1" applyAlignment="1">
      <alignment horizontal="right" vertical="center" wrapText="1"/>
    </xf>
    <xf numFmtId="0" fontId="17" fillId="0" borderId="21" xfId="4" applyFont="1" applyBorder="1" applyAlignment="1">
      <alignment horizontal="center" vertical="center" wrapText="1"/>
    </xf>
    <xf numFmtId="0" fontId="17" fillId="0" borderId="21" xfId="4" applyFont="1" applyBorder="1" applyAlignment="1">
      <alignment horizontal="left" vertical="center" wrapText="1"/>
    </xf>
    <xf numFmtId="0" fontId="20" fillId="0" borderId="27" xfId="4" applyFont="1" applyBorder="1" applyAlignment="1">
      <alignment horizontal="center" vertical="center" wrapText="1"/>
    </xf>
    <xf numFmtId="10" fontId="0" fillId="3" borderId="0" xfId="0" applyNumberFormat="1" applyFill="1"/>
    <xf numFmtId="0" fontId="19" fillId="0" borderId="21" xfId="4" applyFont="1" applyBorder="1" applyAlignment="1">
      <alignment horizontal="center" vertical="center" wrapText="1"/>
    </xf>
    <xf numFmtId="0" fontId="19" fillId="0" borderId="21" xfId="4" applyFont="1" applyBorder="1" applyAlignment="1">
      <alignment horizontal="left" vertical="center" wrapText="1"/>
    </xf>
    <xf numFmtId="43" fontId="20" fillId="13" borderId="21" xfId="1" applyFont="1" applyFill="1" applyBorder="1" applyAlignment="1">
      <alignment horizontal="right" vertical="center" wrapText="1"/>
    </xf>
    <xf numFmtId="4" fontId="17" fillId="3" borderId="21" xfId="0" applyNumberFormat="1" applyFont="1" applyFill="1" applyBorder="1" applyAlignment="1">
      <alignment horizontal="center" vertical="center" wrapText="1"/>
    </xf>
    <xf numFmtId="2" fontId="17" fillId="3" borderId="21" xfId="0" applyNumberFormat="1" applyFont="1" applyFill="1" applyBorder="1" applyAlignment="1">
      <alignment horizontal="center" vertical="center" wrapText="1"/>
    </xf>
    <xf numFmtId="4" fontId="17" fillId="3" borderId="5" xfId="0" applyNumberFormat="1" applyFont="1" applyFill="1" applyBorder="1" applyAlignment="1">
      <alignment horizontal="center" vertical="center" wrapText="1"/>
    </xf>
    <xf numFmtId="2" fontId="17" fillId="3" borderId="5" xfId="0" applyNumberFormat="1" applyFont="1" applyFill="1" applyBorder="1" applyAlignment="1">
      <alignment horizontal="center" vertical="center" wrapText="1"/>
    </xf>
    <xf numFmtId="43" fontId="20" fillId="12" borderId="31" xfId="1" applyFont="1" applyFill="1" applyBorder="1" applyAlignment="1">
      <alignment horizontal="right" vertical="center" wrapText="1"/>
    </xf>
    <xf numFmtId="167" fontId="19" fillId="0" borderId="5" xfId="1" applyNumberFormat="1" applyFont="1" applyFill="1" applyBorder="1" applyAlignment="1">
      <alignment vertical="center" wrapText="1"/>
    </xf>
    <xf numFmtId="168" fontId="19" fillId="0" borderId="5" xfId="1" applyNumberFormat="1" applyFont="1" applyFill="1" applyBorder="1" applyAlignment="1">
      <alignment horizontal="center" vertical="center" wrapText="1"/>
    </xf>
    <xf numFmtId="167" fontId="19" fillId="0" borderId="21" xfId="1" applyNumberFormat="1" applyFont="1" applyFill="1" applyBorder="1" applyAlignment="1">
      <alignment vertical="center" wrapText="1"/>
    </xf>
    <xf numFmtId="43" fontId="17" fillId="0" borderId="31" xfId="1" applyFont="1" applyFill="1" applyBorder="1" applyAlignment="1">
      <alignment horizontal="right" vertical="center" wrapText="1"/>
    </xf>
    <xf numFmtId="4" fontId="17" fillId="3" borderId="31" xfId="0" applyNumberFormat="1" applyFont="1" applyFill="1" applyBorder="1" applyAlignment="1">
      <alignment horizontal="center" vertical="center" wrapText="1"/>
    </xf>
    <xf numFmtId="4" fontId="17" fillId="3" borderId="0" xfId="0" applyNumberFormat="1" applyFont="1" applyFill="1" applyAlignment="1">
      <alignment horizontal="center" vertical="center" wrapText="1"/>
    </xf>
    <xf numFmtId="4" fontId="24" fillId="3" borderId="0" xfId="0" applyNumberFormat="1" applyFont="1" applyFill="1" applyAlignment="1">
      <alignment horizontal="center"/>
    </xf>
    <xf numFmtId="0" fontId="3" fillId="3" borderId="0" xfId="0" applyFont="1" applyFill="1"/>
    <xf numFmtId="2" fontId="27" fillId="0" borderId="1" xfId="0" applyNumberFormat="1" applyFont="1" applyBorder="1"/>
    <xf numFmtId="4" fontId="0" fillId="0" borderId="1" xfId="0" applyNumberFormat="1" applyBorder="1"/>
    <xf numFmtId="4" fontId="27" fillId="0" borderId="0" xfId="0" applyNumberFormat="1" applyFont="1"/>
    <xf numFmtId="0" fontId="27" fillId="0" borderId="0" xfId="0" applyFont="1"/>
    <xf numFmtId="4" fontId="27" fillId="0" borderId="1" xfId="0" applyNumberFormat="1" applyFont="1" applyBorder="1"/>
    <xf numFmtId="0" fontId="27" fillId="0" borderId="1" xfId="0" applyFont="1" applyBorder="1" applyAlignment="1">
      <alignment horizontal="center"/>
    </xf>
    <xf numFmtId="0" fontId="27" fillId="0" borderId="1" xfId="0" applyFont="1" applyBorder="1"/>
    <xf numFmtId="0" fontId="17" fillId="0" borderId="21" xfId="0" applyFont="1" applyBorder="1" applyAlignment="1">
      <alignment horizontal="right" vertical="center" wrapText="1"/>
    </xf>
    <xf numFmtId="4" fontId="21" fillId="0" borderId="21" xfId="0" applyNumberFormat="1" applyFont="1" applyBorder="1" applyAlignment="1">
      <alignment horizontal="right" vertical="center" wrapText="1"/>
    </xf>
    <xf numFmtId="4" fontId="21" fillId="2" borderId="21" xfId="0" applyNumberFormat="1" applyFont="1" applyFill="1" applyBorder="1" applyAlignment="1">
      <alignment horizontal="right" vertical="center" wrapText="1"/>
    </xf>
    <xf numFmtId="0" fontId="17" fillId="0" borderId="7" xfId="0" applyFont="1" applyBorder="1" applyAlignment="1">
      <alignment horizontal="center" vertical="center" wrapText="1"/>
    </xf>
    <xf numFmtId="0" fontId="29" fillId="0" borderId="0" xfId="0" applyFont="1"/>
    <xf numFmtId="4" fontId="0" fillId="0" borderId="3" xfId="0" applyNumberFormat="1" applyBorder="1"/>
    <xf numFmtId="0" fontId="4" fillId="0" borderId="1" xfId="0" applyFont="1" applyBorder="1"/>
    <xf numFmtId="0" fontId="0" fillId="9" borderId="3" xfId="0" applyFill="1" applyBorder="1"/>
    <xf numFmtId="17" fontId="0" fillId="9" borderId="2" xfId="0" applyNumberFormat="1" applyFill="1" applyBorder="1"/>
    <xf numFmtId="4" fontId="0" fillId="5" borderId="10" xfId="0" applyNumberFormat="1" applyFill="1" applyBorder="1"/>
    <xf numFmtId="4" fontId="0" fillId="5" borderId="11" xfId="0" applyNumberFormat="1" applyFill="1" applyBorder="1"/>
    <xf numFmtId="43" fontId="0" fillId="0" borderId="11" xfId="0" applyNumberFormat="1" applyBorder="1"/>
    <xf numFmtId="0" fontId="0" fillId="0" borderId="13" xfId="0" applyBorder="1" applyAlignment="1">
      <alignment horizontal="center"/>
    </xf>
    <xf numFmtId="167" fontId="0" fillId="0" borderId="0" xfId="0" applyNumberFormat="1"/>
    <xf numFmtId="0" fontId="3" fillId="0" borderId="15" xfId="0" applyFont="1" applyBorder="1" applyAlignment="1">
      <alignment horizontal="center"/>
    </xf>
    <xf numFmtId="0" fontId="3" fillId="0" borderId="16" xfId="0" applyFont="1" applyBorder="1" applyAlignment="1">
      <alignment horizontal="center"/>
    </xf>
    <xf numFmtId="0" fontId="0" fillId="8" borderId="17" xfId="0" applyFill="1" applyBorder="1"/>
    <xf numFmtId="0" fontId="0" fillId="0" borderId="10" xfId="0" applyBorder="1"/>
    <xf numFmtId="4" fontId="0" fillId="5" borderId="13" xfId="0" applyNumberFormat="1" applyFill="1" applyBorder="1"/>
    <xf numFmtId="4" fontId="0" fillId="5" borderId="0" xfId="0" applyNumberFormat="1" applyFill="1"/>
    <xf numFmtId="0" fontId="3" fillId="0" borderId="13" xfId="0" applyFont="1" applyBorder="1" applyAlignment="1">
      <alignment horizontal="center"/>
    </xf>
    <xf numFmtId="0" fontId="3" fillId="0" borderId="0" xfId="0" applyFont="1" applyAlignment="1">
      <alignment horizontal="center"/>
    </xf>
    <xf numFmtId="0" fontId="0" fillId="0" borderId="15" xfId="0" applyBorder="1"/>
    <xf numFmtId="169" fontId="0" fillId="0" borderId="0" xfId="0" applyNumberFormat="1"/>
    <xf numFmtId="0" fontId="0" fillId="0" borderId="0" xfId="0" applyAlignment="1">
      <alignment horizontal="right"/>
    </xf>
    <xf numFmtId="17" fontId="0" fillId="0" borderId="0" xfId="0" applyNumberFormat="1"/>
    <xf numFmtId="4" fontId="4" fillId="0" borderId="0" xfId="0" applyNumberFormat="1" applyFont="1" applyAlignment="1">
      <alignment horizontal="center"/>
    </xf>
    <xf numFmtId="2" fontId="0" fillId="0" borderId="0" xfId="0" applyNumberFormat="1"/>
    <xf numFmtId="9" fontId="3" fillId="0" borderId="0" xfId="0" applyNumberFormat="1" applyFont="1"/>
    <xf numFmtId="0" fontId="4" fillId="3" borderId="0" xfId="0" applyFont="1" applyFill="1"/>
    <xf numFmtId="0" fontId="1" fillId="0" borderId="0" xfId="5"/>
    <xf numFmtId="41" fontId="0" fillId="0" borderId="0" xfId="0" applyNumberFormat="1"/>
    <xf numFmtId="0" fontId="24" fillId="0" borderId="0" xfId="0" applyFont="1"/>
    <xf numFmtId="43" fontId="24" fillId="0" borderId="1" xfId="0" applyNumberFormat="1" applyFont="1" applyBorder="1"/>
    <xf numFmtId="0" fontId="24" fillId="0" borderId="1" xfId="0" applyFont="1" applyBorder="1"/>
    <xf numFmtId="14" fontId="0" fillId="0" borderId="1" xfId="0" applyNumberFormat="1" applyBorder="1"/>
    <xf numFmtId="0" fontId="30" fillId="0" borderId="1" xfId="0" applyFont="1" applyBorder="1" applyAlignment="1">
      <alignment horizontal="left" vertical="center"/>
    </xf>
    <xf numFmtId="0" fontId="30" fillId="0" borderId="1" xfId="0" applyFont="1" applyBorder="1" applyAlignment="1">
      <alignment horizontal="left" vertical="center" wrapText="1"/>
    </xf>
    <xf numFmtId="0" fontId="30" fillId="0" borderId="1" xfId="0" applyFont="1" applyBorder="1" applyAlignment="1">
      <alignment horizontal="left"/>
    </xf>
    <xf numFmtId="4" fontId="20" fillId="0" borderId="40" xfId="6" applyNumberFormat="1" applyFont="1" applyBorder="1" applyAlignment="1">
      <alignment horizontal="right" vertical="center"/>
    </xf>
    <xf numFmtId="0" fontId="20" fillId="15" borderId="40" xfId="6" applyFont="1" applyFill="1" applyBorder="1" applyAlignment="1">
      <alignment horizontal="right" vertical="center"/>
    </xf>
    <xf numFmtId="49" fontId="31" fillId="0" borderId="44" xfId="6" applyNumberFormat="1" applyFont="1" applyBorder="1" applyAlignment="1">
      <alignment horizontal="left" vertical="center"/>
    </xf>
    <xf numFmtId="4" fontId="17" fillId="0" borderId="45" xfId="6" applyNumberFormat="1" applyFont="1" applyBorder="1" applyAlignment="1">
      <alignment horizontal="right" vertical="center"/>
    </xf>
    <xf numFmtId="39" fontId="17" fillId="0" borderId="45" xfId="0" applyNumberFormat="1" applyFont="1" applyBorder="1" applyAlignment="1" applyProtection="1">
      <alignment horizontal="center" vertical="center"/>
      <protection locked="0"/>
    </xf>
    <xf numFmtId="4" fontId="17" fillId="0" borderId="1" xfId="6" applyNumberFormat="1" applyFont="1" applyBorder="1" applyAlignment="1">
      <alignment horizontal="right" vertical="center"/>
    </xf>
    <xf numFmtId="49" fontId="17" fillId="0" borderId="46" xfId="6" applyNumberFormat="1" applyFont="1" applyBorder="1" applyAlignment="1">
      <alignment horizontal="left" vertical="center"/>
    </xf>
    <xf numFmtId="39" fontId="17" fillId="0" borderId="1" xfId="0" applyNumberFormat="1" applyFont="1" applyBorder="1" applyAlignment="1" applyProtection="1">
      <alignment horizontal="center" vertical="center"/>
      <protection locked="0"/>
    </xf>
    <xf numFmtId="4" fontId="17" fillId="16" borderId="51" xfId="6" applyNumberFormat="1" applyFont="1" applyFill="1" applyBorder="1" applyAlignment="1">
      <alignment horizontal="right" vertical="center"/>
    </xf>
    <xf numFmtId="4" fontId="31" fillId="16" borderId="51" xfId="6" applyNumberFormat="1" applyFont="1" applyFill="1" applyBorder="1" applyAlignment="1">
      <alignment horizontal="right" vertical="center"/>
    </xf>
    <xf numFmtId="1" fontId="17" fillId="16" borderId="51" xfId="6" applyNumberFormat="1" applyFont="1" applyFill="1" applyBorder="1" applyAlignment="1">
      <alignment horizontal="center" vertical="center"/>
    </xf>
    <xf numFmtId="39" fontId="17" fillId="16" borderId="51" xfId="0" applyNumberFormat="1" applyFont="1" applyFill="1" applyBorder="1" applyAlignment="1" applyProtection="1">
      <alignment horizontal="center" vertical="center"/>
      <protection locked="0"/>
    </xf>
    <xf numFmtId="49" fontId="17" fillId="16" borderId="51" xfId="6" applyNumberFormat="1" applyFont="1" applyFill="1" applyBorder="1" applyAlignment="1">
      <alignment horizontal="left" vertical="center"/>
    </xf>
    <xf numFmtId="49" fontId="17" fillId="16" borderId="52" xfId="6" applyNumberFormat="1" applyFont="1" applyFill="1" applyBorder="1" applyAlignment="1">
      <alignment horizontal="left" vertical="center"/>
    </xf>
    <xf numFmtId="4" fontId="20" fillId="0" borderId="54" xfId="6" applyNumberFormat="1" applyFont="1" applyBorder="1" applyAlignment="1">
      <alignment horizontal="right" vertical="center"/>
    </xf>
    <xf numFmtId="0" fontId="20" fillId="15" borderId="54" xfId="6" applyFont="1" applyFill="1" applyBorder="1" applyAlignment="1">
      <alignment horizontal="right" vertical="center"/>
    </xf>
    <xf numFmtId="3" fontId="17" fillId="0" borderId="45" xfId="0" applyNumberFormat="1" applyFont="1" applyBorder="1" applyAlignment="1" applyProtection="1">
      <alignment horizontal="center" vertical="center"/>
      <protection locked="0"/>
    </xf>
    <xf numFmtId="0" fontId="17" fillId="16" borderId="45" xfId="6" applyFont="1" applyFill="1" applyBorder="1" applyAlignment="1">
      <alignment horizontal="center" vertical="center" wrapText="1"/>
    </xf>
    <xf numFmtId="0" fontId="17" fillId="0" borderId="45" xfId="6" applyFont="1" applyBorder="1" applyAlignment="1">
      <alignment horizontal="center" vertical="center" wrapText="1"/>
    </xf>
    <xf numFmtId="0" fontId="20" fillId="0" borderId="45" xfId="6" applyFont="1" applyBorder="1" applyAlignment="1">
      <alignment horizontal="center" vertical="center" wrapText="1"/>
    </xf>
    <xf numFmtId="0" fontId="2" fillId="0" borderId="12" xfId="0" applyFont="1" applyBorder="1"/>
    <xf numFmtId="44" fontId="2" fillId="0" borderId="10" xfId="0" applyNumberFormat="1" applyFont="1" applyBorder="1"/>
    <xf numFmtId="10" fontId="0" fillId="0" borderId="1" xfId="0" applyNumberFormat="1" applyBorder="1"/>
    <xf numFmtId="0" fontId="2" fillId="2" borderId="1" xfId="0" applyFont="1" applyFill="1" applyBorder="1"/>
    <xf numFmtId="43" fontId="2" fillId="2" borderId="1" xfId="1" applyFont="1" applyFill="1" applyBorder="1"/>
    <xf numFmtId="43" fontId="0" fillId="11" borderId="1" xfId="0" applyNumberFormat="1" applyFill="1" applyBorder="1"/>
    <xf numFmtId="0" fontId="0" fillId="11" borderId="1" xfId="0" applyFill="1" applyBorder="1"/>
    <xf numFmtId="40" fontId="0" fillId="10" borderId="1" xfId="0" applyNumberFormat="1" applyFill="1" applyBorder="1"/>
    <xf numFmtId="10" fontId="0" fillId="11" borderId="1" xfId="0" applyNumberFormat="1" applyFill="1" applyBorder="1"/>
    <xf numFmtId="0" fontId="0" fillId="2" borderId="1" xfId="0" applyFill="1" applyBorder="1"/>
    <xf numFmtId="10" fontId="0" fillId="2" borderId="1" xfId="0" applyNumberFormat="1" applyFill="1" applyBorder="1"/>
    <xf numFmtId="0" fontId="2" fillId="19" borderId="1" xfId="0" applyFont="1" applyFill="1" applyBorder="1" applyAlignment="1">
      <alignment horizontal="center"/>
    </xf>
    <xf numFmtId="44" fontId="0" fillId="0" borderId="1" xfId="0" applyNumberFormat="1" applyBorder="1"/>
    <xf numFmtId="10" fontId="0" fillId="0" borderId="1" xfId="0" applyNumberFormat="1" applyBorder="1" applyAlignment="1">
      <alignment horizontal="center"/>
    </xf>
    <xf numFmtId="0" fontId="2" fillId="19" borderId="1" xfId="0" applyFont="1" applyFill="1" applyBorder="1"/>
    <xf numFmtId="44" fontId="2" fillId="19" borderId="1" xfId="0" applyNumberFormat="1" applyFont="1" applyFill="1" applyBorder="1"/>
    <xf numFmtId="10" fontId="2" fillId="19" borderId="1" xfId="0" applyNumberFormat="1" applyFont="1" applyFill="1" applyBorder="1" applyAlignment="1">
      <alignment horizontal="center"/>
    </xf>
    <xf numFmtId="2" fontId="2" fillId="19" borderId="1" xfId="0" applyNumberFormat="1" applyFont="1" applyFill="1" applyBorder="1" applyAlignment="1">
      <alignment horizontal="center"/>
    </xf>
    <xf numFmtId="0" fontId="0" fillId="0" borderId="0" xfId="0" applyAlignment="1">
      <alignment horizontal="left" vertical="center"/>
    </xf>
    <xf numFmtId="0" fontId="0" fillId="0" borderId="0" xfId="0" applyAlignment="1">
      <alignment horizontal="center" vertical="center" wrapText="1"/>
    </xf>
    <xf numFmtId="0" fontId="2" fillId="10"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xf>
    <xf numFmtId="49" fontId="30" fillId="0" borderId="1" xfId="0" applyNumberFormat="1" applyFont="1" applyBorder="1" applyAlignment="1">
      <alignment horizontal="left" wrapText="1"/>
    </xf>
    <xf numFmtId="49" fontId="30" fillId="0" borderId="1" xfId="0" applyNumberFormat="1" applyFont="1" applyBorder="1" applyAlignment="1">
      <alignment horizontal="left"/>
    </xf>
    <xf numFmtId="0" fontId="30" fillId="0" borderId="58" xfId="0" applyFont="1" applyBorder="1" applyAlignment="1">
      <alignment horizontal="left" vertical="center" wrapText="1"/>
    </xf>
    <xf numFmtId="0" fontId="30" fillId="0" borderId="59" xfId="0" applyFont="1" applyBorder="1" applyAlignment="1">
      <alignment horizontal="left" vertical="center"/>
    </xf>
    <xf numFmtId="14" fontId="17" fillId="0" borderId="1" xfId="0" applyNumberFormat="1" applyFont="1" applyBorder="1" applyAlignment="1">
      <alignment horizontal="center" vertical="center"/>
    </xf>
    <xf numFmtId="0" fontId="0" fillId="0" borderId="0" xfId="0" applyAlignment="1">
      <alignment horizontal="left" vertical="center" wrapText="1"/>
    </xf>
    <xf numFmtId="171" fontId="0" fillId="0" borderId="0" xfId="0" applyNumberFormat="1"/>
    <xf numFmtId="0" fontId="2" fillId="6" borderId="60" xfId="0" applyFont="1" applyFill="1" applyBorder="1"/>
    <xf numFmtId="44" fontId="2" fillId="6" borderId="19" xfId="0" applyNumberFormat="1" applyFont="1" applyFill="1" applyBorder="1"/>
    <xf numFmtId="0" fontId="2" fillId="6" borderId="19" xfId="0" applyFont="1" applyFill="1" applyBorder="1"/>
    <xf numFmtId="0" fontId="0" fillId="6" borderId="17" xfId="0" applyFill="1" applyBorder="1"/>
    <xf numFmtId="0" fontId="0" fillId="6" borderId="16" xfId="0" applyFill="1" applyBorder="1"/>
    <xf numFmtId="0" fontId="10" fillId="6" borderId="15" xfId="0" applyFont="1" applyFill="1" applyBorder="1" applyAlignment="1">
      <alignment horizontal="center"/>
    </xf>
    <xf numFmtId="0" fontId="0" fillId="6" borderId="12" xfId="0" applyFill="1" applyBorder="1"/>
    <xf numFmtId="0" fontId="0" fillId="6" borderId="11" xfId="0" applyFill="1" applyBorder="1"/>
    <xf numFmtId="44" fontId="9" fillId="6" borderId="10" xfId="0" applyNumberFormat="1" applyFont="1" applyFill="1" applyBorder="1"/>
    <xf numFmtId="0" fontId="39" fillId="0" borderId="0" xfId="0" applyFont="1"/>
    <xf numFmtId="3" fontId="40" fillId="0" borderId="1" xfId="0" applyNumberFormat="1" applyFont="1" applyBorder="1"/>
    <xf numFmtId="0" fontId="39" fillId="0" borderId="1" xfId="0" applyFont="1" applyBorder="1" applyAlignment="1">
      <alignment horizontal="right"/>
    </xf>
    <xf numFmtId="0" fontId="40" fillId="0" borderId="1" xfId="0" applyFont="1" applyBorder="1" applyAlignment="1">
      <alignment horizontal="right"/>
    </xf>
    <xf numFmtId="0" fontId="0" fillId="0" borderId="19" xfId="0" applyBorder="1" applyAlignment="1">
      <alignment horizontal="center"/>
    </xf>
    <xf numFmtId="0" fontId="0" fillId="0" borderId="18" xfId="0" applyBorder="1"/>
    <xf numFmtId="0" fontId="0" fillId="0" borderId="80" xfId="0" applyBorder="1"/>
    <xf numFmtId="0" fontId="0" fillId="0" borderId="82" xfId="0" applyBorder="1"/>
    <xf numFmtId="0" fontId="2" fillId="0" borderId="84" xfId="0" applyFont="1" applyBorder="1"/>
    <xf numFmtId="0" fontId="2" fillId="0" borderId="84" xfId="0" applyFont="1" applyBorder="1" applyAlignment="1">
      <alignment horizontal="center"/>
    </xf>
    <xf numFmtId="4" fontId="2" fillId="0" borderId="1" xfId="0" applyNumberFormat="1" applyFont="1" applyBorder="1"/>
    <xf numFmtId="3" fontId="0" fillId="0" borderId="1" xfId="0" applyNumberFormat="1" applyBorder="1"/>
    <xf numFmtId="4" fontId="43" fillId="0" borderId="0" xfId="0" applyNumberFormat="1" applyFont="1"/>
    <xf numFmtId="43" fontId="0" fillId="0" borderId="1" xfId="0" applyNumberFormat="1" applyBorder="1" applyAlignment="1">
      <alignment horizontal="center"/>
    </xf>
    <xf numFmtId="2" fontId="0" fillId="0" borderId="1" xfId="0" applyNumberFormat="1" applyBorder="1" applyAlignment="1">
      <alignment horizontal="center"/>
    </xf>
    <xf numFmtId="0" fontId="0" fillId="0" borderId="1" xfId="0" applyBorder="1" applyAlignment="1">
      <alignment horizontal="center" vertical="center"/>
    </xf>
    <xf numFmtId="0" fontId="30" fillId="0" borderId="87" xfId="0" applyFont="1" applyBorder="1" applyAlignment="1">
      <alignment horizontal="left" vertical="center"/>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xf numFmtId="4" fontId="28"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right" vertical="center" wrapText="1"/>
    </xf>
    <xf numFmtId="4" fontId="17" fillId="0" borderId="1" xfId="0" applyNumberFormat="1" applyFont="1" applyBorder="1" applyAlignment="1">
      <alignment horizontal="right" vertical="center" wrapText="1"/>
    </xf>
    <xf numFmtId="44" fontId="0" fillId="0" borderId="0" xfId="3" applyFont="1" applyFill="1" applyBorder="1"/>
    <xf numFmtId="0" fontId="0" fillId="3" borderId="1" xfId="0" applyFill="1" applyBorder="1" applyAlignment="1">
      <alignment horizontal="left"/>
    </xf>
    <xf numFmtId="0" fontId="3" fillId="13" borderId="1" xfId="0" applyFont="1" applyFill="1" applyBorder="1" applyAlignment="1">
      <alignment horizontal="left"/>
    </xf>
    <xf numFmtId="0" fontId="3" fillId="12" borderId="1" xfId="0" applyFont="1" applyFill="1" applyBorder="1" applyAlignment="1">
      <alignment horizontal="left"/>
    </xf>
    <xf numFmtId="4" fontId="0" fillId="3" borderId="1" xfId="0" applyNumberFormat="1" applyFill="1" applyBorder="1"/>
    <xf numFmtId="0" fontId="3" fillId="14" borderId="1" xfId="0" applyFont="1" applyFill="1" applyBorder="1"/>
    <xf numFmtId="0" fontId="3" fillId="14" borderId="1" xfId="0" applyFont="1" applyFill="1" applyBorder="1" applyAlignment="1">
      <alignment horizontal="center"/>
    </xf>
    <xf numFmtId="4" fontId="0" fillId="5" borderId="1" xfId="0" applyNumberFormat="1" applyFill="1" applyBorder="1"/>
    <xf numFmtId="0" fontId="4" fillId="0" borderId="1" xfId="0" applyFont="1" applyBorder="1" applyAlignment="1">
      <alignment horizontal="center"/>
    </xf>
    <xf numFmtId="2" fontId="0" fillId="12" borderId="1" xfId="0" applyNumberFormat="1" applyFill="1" applyBorder="1"/>
    <xf numFmtId="0" fontId="0" fillId="7" borderId="1" xfId="0" applyFill="1" applyBorder="1" applyAlignment="1">
      <alignment horizontal="center"/>
    </xf>
    <xf numFmtId="0" fontId="0" fillId="3" borderId="1" xfId="0" applyFill="1" applyBorder="1"/>
    <xf numFmtId="0" fontId="1" fillId="3" borderId="1" xfId="5" applyFill="1" applyBorder="1"/>
    <xf numFmtId="0" fontId="4" fillId="3" borderId="1" xfId="0" applyFont="1" applyFill="1" applyBorder="1"/>
    <xf numFmtId="9" fontId="3" fillId="6" borderId="1" xfId="0" applyNumberFormat="1" applyFont="1" applyFill="1" applyBorder="1"/>
    <xf numFmtId="3" fontId="0" fillId="3" borderId="1" xfId="0" applyNumberFormat="1" applyFill="1" applyBorder="1"/>
    <xf numFmtId="10" fontId="24" fillId="0" borderId="1" xfId="0" applyNumberFormat="1" applyFont="1" applyBorder="1"/>
    <xf numFmtId="0" fontId="3" fillId="0" borderId="1" xfId="0" applyFont="1" applyBorder="1" applyAlignment="1">
      <alignment horizontal="center"/>
    </xf>
    <xf numFmtId="43" fontId="0" fillId="5" borderId="1" xfId="0" applyNumberFormat="1" applyFill="1" applyBorder="1"/>
    <xf numFmtId="41" fontId="0" fillId="0" borderId="1" xfId="0" applyNumberFormat="1" applyBorder="1"/>
    <xf numFmtId="43" fontId="0" fillId="2" borderId="1" xfId="0" applyNumberFormat="1" applyFill="1" applyBorder="1"/>
    <xf numFmtId="0" fontId="0" fillId="8" borderId="1" xfId="0" applyFill="1" applyBorder="1"/>
    <xf numFmtId="43" fontId="0" fillId="8" borderId="1" xfId="0" applyNumberFormat="1" applyFill="1" applyBorder="1"/>
    <xf numFmtId="43" fontId="0" fillId="12" borderId="1" xfId="0" applyNumberFormat="1" applyFill="1" applyBorder="1"/>
    <xf numFmtId="0" fontId="5" fillId="8" borderId="1" xfId="0" applyFont="1" applyFill="1" applyBorder="1" applyAlignment="1">
      <alignment horizontal="center" vertical="center" wrapText="1"/>
    </xf>
    <xf numFmtId="0" fontId="0" fillId="0" borderId="1" xfId="0" applyBorder="1" applyAlignment="1">
      <alignment horizontal="center" wrapText="1"/>
    </xf>
    <xf numFmtId="43" fontId="0" fillId="0" borderId="1" xfId="1" applyFont="1" applyBorder="1" applyAlignment="1">
      <alignment horizontal="center"/>
    </xf>
    <xf numFmtId="2" fontId="0" fillId="0" borderId="0" xfId="0" applyNumberFormat="1" applyAlignment="1">
      <alignment horizontal="center"/>
    </xf>
    <xf numFmtId="0" fontId="0" fillId="0" borderId="0" xfId="0" applyAlignment="1">
      <alignment horizontal="center" wrapText="1"/>
    </xf>
    <xf numFmtId="4" fontId="44" fillId="0" borderId="10" xfId="0" applyNumberFormat="1" applyFont="1" applyBorder="1" applyAlignment="1">
      <alignment horizontal="center" vertical="center"/>
    </xf>
    <xf numFmtId="0" fontId="44" fillId="22" borderId="18" xfId="0" applyFont="1" applyFill="1" applyBorder="1" applyAlignment="1">
      <alignment horizontal="center" vertical="center"/>
    </xf>
    <xf numFmtId="4" fontId="44" fillId="22" borderId="10" xfId="0" applyNumberFormat="1" applyFont="1" applyFill="1" applyBorder="1" applyAlignment="1">
      <alignment horizontal="center" vertical="center"/>
    </xf>
    <xf numFmtId="10" fontId="45" fillId="0" borderId="10" xfId="2" applyNumberFormat="1" applyFont="1" applyBorder="1" applyAlignment="1">
      <alignment horizontal="center" vertical="center"/>
    </xf>
    <xf numFmtId="0" fontId="2" fillId="3" borderId="1" xfId="0" applyFont="1" applyFill="1" applyBorder="1" applyAlignment="1">
      <alignment horizontal="center"/>
    </xf>
    <xf numFmtId="2" fontId="0" fillId="3" borderId="1" xfId="0" applyNumberFormat="1" applyFill="1" applyBorder="1" applyAlignment="1">
      <alignment horizontal="center"/>
    </xf>
    <xf numFmtId="0" fontId="2" fillId="3" borderId="0" xfId="0" applyFont="1" applyFill="1" applyAlignment="1">
      <alignment horizontal="left"/>
    </xf>
    <xf numFmtId="0" fontId="2" fillId="21" borderId="86" xfId="0" applyFont="1" applyFill="1" applyBorder="1" applyAlignment="1">
      <alignment horizontal="center" vertical="center" wrapText="1"/>
    </xf>
    <xf numFmtId="9" fontId="0" fillId="0" borderId="1" xfId="2" applyFont="1" applyBorder="1"/>
    <xf numFmtId="0" fontId="46" fillId="0" borderId="18" xfId="8" applyBorder="1" applyAlignment="1">
      <alignment horizontal="center" vertical="center"/>
    </xf>
    <xf numFmtId="43" fontId="0" fillId="0" borderId="1" xfId="1" applyFont="1" applyFill="1" applyBorder="1"/>
    <xf numFmtId="9" fontId="0" fillId="0" borderId="1" xfId="2" applyFont="1" applyFill="1" applyBorder="1"/>
    <xf numFmtId="0" fontId="44" fillId="0" borderId="19" xfId="0" applyFont="1" applyBorder="1" applyAlignment="1">
      <alignment horizontal="left" vertical="center"/>
    </xf>
    <xf numFmtId="4" fontId="44" fillId="0" borderId="76" xfId="0" applyNumberFormat="1" applyFont="1" applyBorder="1" applyAlignment="1">
      <alignment horizontal="center" vertical="center"/>
    </xf>
    <xf numFmtId="169" fontId="2" fillId="3" borderId="1" xfId="0" applyNumberFormat="1" applyFont="1" applyFill="1" applyBorder="1" applyAlignment="1">
      <alignment horizontal="center"/>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43" fontId="0" fillId="0" borderId="1" xfId="1" applyFont="1" applyFill="1" applyBorder="1" applyAlignment="1">
      <alignment horizontal="center" vertical="center"/>
    </xf>
    <xf numFmtId="43" fontId="0" fillId="3" borderId="0" xfId="1" applyFont="1" applyFill="1"/>
    <xf numFmtId="0" fontId="45" fillId="0" borderId="19" xfId="0" applyFont="1" applyBorder="1" applyAlignment="1">
      <alignment horizontal="center" vertical="center"/>
    </xf>
    <xf numFmtId="173" fontId="0" fillId="0" borderId="1" xfId="0" applyNumberFormat="1" applyBorder="1"/>
    <xf numFmtId="4" fontId="44" fillId="0" borderId="19" xfId="0" applyNumberFormat="1" applyFont="1" applyBorder="1" applyAlignment="1">
      <alignment horizontal="center" vertical="center"/>
    </xf>
    <xf numFmtId="0" fontId="0" fillId="0" borderId="4" xfId="0" applyBorder="1"/>
    <xf numFmtId="4" fontId="39" fillId="0" borderId="0" xfId="0" applyNumberFormat="1" applyFont="1"/>
    <xf numFmtId="3" fontId="39" fillId="0" borderId="0" xfId="0" applyNumberFormat="1" applyFont="1"/>
    <xf numFmtId="10" fontId="42" fillId="0" borderId="1" xfId="2" applyNumberFormat="1" applyFont="1" applyFill="1" applyBorder="1" applyAlignment="1">
      <alignment horizontal="left"/>
    </xf>
    <xf numFmtId="171" fontId="0" fillId="0" borderId="0" xfId="0" applyNumberFormat="1" applyAlignment="1">
      <alignment horizontal="center" vertical="center" wrapText="1"/>
    </xf>
    <xf numFmtId="3" fontId="40" fillId="23" borderId="1" xfId="0" applyNumberFormat="1" applyFont="1" applyFill="1" applyBorder="1"/>
    <xf numFmtId="3" fontId="27" fillId="0" borderId="1" xfId="0" applyNumberFormat="1" applyFont="1" applyBorder="1"/>
    <xf numFmtId="0" fontId="2" fillId="0" borderId="88" xfId="0" applyFont="1" applyBorder="1" applyAlignment="1">
      <alignment horizontal="center"/>
    </xf>
    <xf numFmtId="173" fontId="24" fillId="0" borderId="1" xfId="0" applyNumberFormat="1" applyFont="1" applyBorder="1"/>
    <xf numFmtId="174" fontId="0" fillId="0" borderId="0" xfId="0" applyNumberFormat="1"/>
    <xf numFmtId="0" fontId="2" fillId="21" borderId="58" xfId="0" applyFont="1" applyFill="1" applyBorder="1" applyAlignment="1">
      <alignment horizontal="center" vertical="center" wrapText="1"/>
    </xf>
    <xf numFmtId="0" fontId="2" fillId="21" borderId="1" xfId="0" applyFont="1" applyFill="1" applyBorder="1" applyAlignment="1">
      <alignment horizontal="center" vertical="justify" wrapText="1"/>
    </xf>
    <xf numFmtId="0" fontId="2" fillId="3" borderId="0" xfId="0" applyFont="1" applyFill="1" applyAlignment="1">
      <alignment horizontal="center" vertical="center"/>
    </xf>
    <xf numFmtId="0" fontId="2" fillId="19" borderId="58" xfId="0" applyFont="1" applyFill="1" applyBorder="1" applyAlignment="1">
      <alignment horizontal="center"/>
    </xf>
    <xf numFmtId="0" fontId="2" fillId="19" borderId="73" xfId="0" applyFont="1" applyFill="1" applyBorder="1" applyAlignment="1">
      <alignment horizontal="center"/>
    </xf>
    <xf numFmtId="0" fontId="2" fillId="3" borderId="82" xfId="0" applyFont="1" applyFill="1" applyBorder="1" applyAlignment="1">
      <alignment horizontal="center"/>
    </xf>
    <xf numFmtId="0" fontId="2" fillId="6" borderId="80" xfId="0" applyFont="1" applyFill="1" applyBorder="1" applyAlignment="1">
      <alignment horizontal="center"/>
    </xf>
    <xf numFmtId="0" fontId="6" fillId="0" borderId="4" xfId="0" applyFont="1" applyBorder="1" applyAlignment="1">
      <alignment horizontal="left" vertical="center" wrapText="1"/>
    </xf>
    <xf numFmtId="174" fontId="49" fillId="0" borderId="0" xfId="0" applyNumberFormat="1" applyFont="1"/>
    <xf numFmtId="4" fontId="0" fillId="8" borderId="1" xfId="0" applyNumberFormat="1" applyFill="1" applyBorder="1"/>
    <xf numFmtId="0" fontId="18" fillId="12" borderId="0" xfId="0" applyFont="1" applyFill="1" applyAlignment="1">
      <alignment horizontal="right" vertical="center" wrapText="1"/>
    </xf>
    <xf numFmtId="4" fontId="17" fillId="12" borderId="0" xfId="0" applyNumberFormat="1" applyFont="1" applyFill="1" applyAlignment="1">
      <alignment horizontal="right" vertical="center" wrapText="1"/>
    </xf>
    <xf numFmtId="0" fontId="16" fillId="0" borderId="0" xfId="0" applyFont="1" applyAlignment="1">
      <alignment horizontal="center"/>
    </xf>
    <xf numFmtId="4" fontId="16" fillId="13" borderId="0" xfId="0" applyNumberFormat="1" applyFont="1" applyFill="1"/>
    <xf numFmtId="0" fontId="20" fillId="0" borderId="0" xfId="4" applyFont="1" applyAlignment="1">
      <alignment horizontal="right" vertical="center" wrapText="1"/>
    </xf>
    <xf numFmtId="43" fontId="20" fillId="12" borderId="0" xfId="1" applyFont="1" applyFill="1" applyBorder="1" applyAlignment="1">
      <alignment horizontal="right" vertical="center" wrapText="1"/>
    </xf>
    <xf numFmtId="4" fontId="20" fillId="13" borderId="0" xfId="0" applyNumberFormat="1" applyFont="1" applyFill="1"/>
    <xf numFmtId="2" fontId="17" fillId="0" borderId="45" xfId="6" applyNumberFormat="1" applyFont="1" applyBorder="1" applyAlignment="1">
      <alignment horizontal="center" vertical="center" wrapText="1"/>
    </xf>
    <xf numFmtId="165" fontId="0" fillId="24" borderId="1" xfId="0" applyNumberFormat="1" applyFill="1" applyBorder="1" applyAlignment="1">
      <alignment horizontal="center"/>
    </xf>
    <xf numFmtId="17" fontId="0" fillId="0" borderId="1" xfId="0" applyNumberFormat="1" applyBorder="1" applyAlignment="1">
      <alignment horizontal="center"/>
    </xf>
    <xf numFmtId="165" fontId="27" fillId="0" borderId="1" xfId="0" applyNumberFormat="1" applyFont="1" applyBorder="1"/>
    <xf numFmtId="174" fontId="0" fillId="24" borderId="1" xfId="0" applyNumberFormat="1" applyFill="1" applyBorder="1" applyAlignment="1">
      <alignment horizontal="center"/>
    </xf>
    <xf numFmtId="165" fontId="0" fillId="3" borderId="1" xfId="0" applyNumberFormat="1" applyFill="1" applyBorder="1"/>
    <xf numFmtId="0" fontId="0" fillId="0" borderId="82" xfId="0" applyBorder="1" applyAlignment="1">
      <alignment horizontal="left"/>
    </xf>
    <xf numFmtId="0" fontId="0" fillId="0" borderId="81" xfId="0" applyBorder="1" applyAlignment="1">
      <alignment horizontal="left"/>
    </xf>
    <xf numFmtId="0" fontId="42" fillId="25" borderId="19" xfId="0" applyFont="1" applyFill="1" applyBorder="1" applyAlignment="1">
      <alignment horizontal="center" vertical="center"/>
    </xf>
    <xf numFmtId="0" fontId="42" fillId="25" borderId="76" xfId="0" applyFont="1" applyFill="1" applyBorder="1" applyAlignment="1">
      <alignment horizontal="center" vertical="center" wrapText="1"/>
    </xf>
    <xf numFmtId="0" fontId="50" fillId="25" borderId="18" xfId="0" applyFont="1" applyFill="1" applyBorder="1" applyAlignment="1">
      <alignment horizontal="center" vertical="center" wrapText="1"/>
    </xf>
    <xf numFmtId="0" fontId="50" fillId="25" borderId="10" xfId="0" applyFont="1" applyFill="1" applyBorder="1" applyAlignment="1">
      <alignment horizontal="center" vertical="center" wrapText="1"/>
    </xf>
    <xf numFmtId="0" fontId="50" fillId="25" borderId="18" xfId="0" applyFont="1" applyFill="1" applyBorder="1" applyAlignment="1">
      <alignment horizontal="center" vertical="center"/>
    </xf>
    <xf numFmtId="0" fontId="51" fillId="0" borderId="0" xfId="0" applyFont="1" applyAlignment="1">
      <alignment vertical="center"/>
    </xf>
    <xf numFmtId="0" fontId="50" fillId="25" borderId="0" xfId="0" applyFont="1" applyFill="1" applyAlignment="1">
      <alignment horizontal="center" vertical="center" wrapText="1"/>
    </xf>
    <xf numFmtId="0" fontId="49" fillId="0" borderId="0" xfId="0" applyFont="1"/>
    <xf numFmtId="0" fontId="52" fillId="0" borderId="0" xfId="0" applyFont="1"/>
    <xf numFmtId="0" fontId="52" fillId="0" borderId="66" xfId="0" applyFont="1" applyBorder="1" applyAlignment="1">
      <alignment horizontal="center"/>
    </xf>
    <xf numFmtId="0" fontId="52" fillId="0" borderId="65" xfId="0" applyFont="1" applyBorder="1" applyAlignment="1">
      <alignment horizontal="center"/>
    </xf>
    <xf numFmtId="0" fontId="52" fillId="0" borderId="64" xfId="0" applyFont="1" applyBorder="1" applyAlignment="1">
      <alignment horizontal="center"/>
    </xf>
    <xf numFmtId="0" fontId="49" fillId="0" borderId="70" xfId="0" applyFont="1" applyBorder="1"/>
    <xf numFmtId="0" fontId="49" fillId="0" borderId="70" xfId="0" applyFont="1" applyBorder="1" applyAlignment="1">
      <alignment horizontal="center"/>
    </xf>
    <xf numFmtId="0" fontId="49" fillId="0" borderId="1" xfId="0" applyFont="1" applyBorder="1"/>
    <xf numFmtId="0" fontId="49" fillId="0" borderId="1" xfId="0" applyFont="1" applyBorder="1" applyAlignment="1">
      <alignment horizontal="center"/>
    </xf>
    <xf numFmtId="0" fontId="49" fillId="0" borderId="77" xfId="0" applyFont="1" applyBorder="1"/>
    <xf numFmtId="0" fontId="49" fillId="0" borderId="13" xfId="0" applyFont="1" applyBorder="1"/>
    <xf numFmtId="4" fontId="49" fillId="0" borderId="13" xfId="0" applyNumberFormat="1" applyFont="1" applyBorder="1"/>
    <xf numFmtId="0" fontId="49" fillId="0" borderId="68" xfId="0" applyFont="1" applyBorder="1"/>
    <xf numFmtId="0" fontId="49" fillId="0" borderId="68" xfId="0" applyFont="1" applyBorder="1" applyAlignment="1">
      <alignment horizontal="center"/>
    </xf>
    <xf numFmtId="0" fontId="49" fillId="0" borderId="14" xfId="0" applyFont="1" applyBorder="1"/>
    <xf numFmtId="4" fontId="49" fillId="0" borderId="63" xfId="0" applyNumberFormat="1" applyFont="1" applyBorder="1" applyAlignment="1">
      <alignment horizontal="center"/>
    </xf>
    <xf numFmtId="0" fontId="49" fillId="0" borderId="62" xfId="0" applyFont="1" applyBorder="1"/>
    <xf numFmtId="0" fontId="49" fillId="0" borderId="62" xfId="0" applyFont="1" applyBorder="1" applyAlignment="1">
      <alignment horizontal="center"/>
    </xf>
    <xf numFmtId="0" fontId="52" fillId="0" borderId="19" xfId="0" applyFont="1" applyBorder="1" applyAlignment="1">
      <alignment horizontal="center"/>
    </xf>
    <xf numFmtId="0" fontId="49" fillId="0" borderId="10" xfId="0" applyFont="1" applyBorder="1"/>
    <xf numFmtId="14" fontId="49" fillId="0" borderId="18" xfId="0" applyNumberFormat="1" applyFont="1" applyBorder="1"/>
    <xf numFmtId="4" fontId="49" fillId="0" borderId="0" xfId="0" applyNumberFormat="1" applyFont="1"/>
    <xf numFmtId="0" fontId="52" fillId="0" borderId="75" xfId="0" applyFont="1" applyBorder="1" applyAlignment="1">
      <alignment horizontal="center"/>
    </xf>
    <xf numFmtId="0" fontId="52" fillId="0" borderId="74" xfId="0" applyFont="1" applyBorder="1" applyAlignment="1">
      <alignment horizontal="center"/>
    </xf>
    <xf numFmtId="4" fontId="49" fillId="0" borderId="63" xfId="0" applyNumberFormat="1" applyFont="1" applyBorder="1" applyAlignment="1">
      <alignment vertical="center"/>
    </xf>
    <xf numFmtId="0" fontId="49" fillId="0" borderId="19" xfId="0" applyFont="1" applyBorder="1"/>
    <xf numFmtId="0" fontId="49" fillId="0" borderId="19" xfId="0" applyFont="1" applyBorder="1" applyAlignment="1">
      <alignment horizontal="center"/>
    </xf>
    <xf numFmtId="0" fontId="49" fillId="0" borderId="63" xfId="0" applyFont="1" applyBorder="1" applyAlignment="1">
      <alignment vertical="center"/>
    </xf>
    <xf numFmtId="0" fontId="49" fillId="0" borderId="89" xfId="0" applyFont="1" applyBorder="1" applyAlignment="1">
      <alignment horizontal="center"/>
    </xf>
    <xf numFmtId="0" fontId="49" fillId="0" borderId="52" xfId="0" applyFont="1" applyBorder="1"/>
    <xf numFmtId="0" fontId="49" fillId="0" borderId="51" xfId="0" applyFont="1" applyBorder="1"/>
    <xf numFmtId="0" fontId="49" fillId="0" borderId="44" xfId="0" applyFont="1" applyBorder="1"/>
    <xf numFmtId="0" fontId="52" fillId="0" borderId="17" xfId="0" applyFont="1" applyBorder="1"/>
    <xf numFmtId="0" fontId="52" fillId="0" borderId="16" xfId="0" applyFont="1" applyBorder="1"/>
    <xf numFmtId="0" fontId="49" fillId="0" borderId="16" xfId="0" applyFont="1" applyBorder="1"/>
    <xf numFmtId="0" fontId="49" fillId="0" borderId="15" xfId="0" applyFont="1" applyBorder="1"/>
    <xf numFmtId="0" fontId="52" fillId="0" borderId="14" xfId="0" applyFont="1" applyBorder="1"/>
    <xf numFmtId="8" fontId="52" fillId="0" borderId="0" xfId="0" applyNumberFormat="1" applyFont="1"/>
    <xf numFmtId="0" fontId="49" fillId="0" borderId="12" xfId="0" applyFont="1" applyBorder="1"/>
    <xf numFmtId="0" fontId="49" fillId="0" borderId="11" xfId="0" applyFont="1" applyBorder="1"/>
    <xf numFmtId="0" fontId="49" fillId="0" borderId="17" xfId="0" applyFont="1" applyBorder="1"/>
    <xf numFmtId="9" fontId="53" fillId="0" borderId="0" xfId="0" applyNumberFormat="1" applyFont="1"/>
    <xf numFmtId="8" fontId="49" fillId="0" borderId="0" xfId="0" applyNumberFormat="1" applyFont="1"/>
    <xf numFmtId="17" fontId="49" fillId="0" borderId="0" xfId="0" applyNumberFormat="1" applyFont="1"/>
    <xf numFmtId="4" fontId="0" fillId="0" borderId="18" xfId="0" applyNumberFormat="1" applyBorder="1"/>
    <xf numFmtId="0" fontId="28" fillId="0" borderId="0" xfId="0" applyFont="1"/>
    <xf numFmtId="0" fontId="51" fillId="26" borderId="19" xfId="0" applyFont="1" applyFill="1" applyBorder="1" applyAlignment="1">
      <alignment horizontal="left" vertical="center" wrapText="1"/>
    </xf>
    <xf numFmtId="175" fontId="51" fillId="26" borderId="19" xfId="0" applyNumberFormat="1" applyFont="1" applyFill="1" applyBorder="1" applyAlignment="1">
      <alignment horizontal="right" vertical="center"/>
    </xf>
    <xf numFmtId="175" fontId="51" fillId="26" borderId="18" xfId="0" applyNumberFormat="1" applyFont="1" applyFill="1" applyBorder="1" applyAlignment="1">
      <alignment horizontal="right" vertical="center"/>
    </xf>
    <xf numFmtId="0" fontId="51" fillId="26" borderId="78" xfId="0" applyFont="1" applyFill="1" applyBorder="1" applyAlignment="1">
      <alignment horizontal="left" vertical="center" wrapText="1"/>
    </xf>
    <xf numFmtId="0" fontId="51" fillId="26" borderId="17" xfId="0" applyFont="1" applyFill="1" applyBorder="1" applyAlignment="1">
      <alignment horizontal="left" vertical="center" wrapText="1"/>
    </xf>
    <xf numFmtId="0" fontId="0" fillId="0" borderId="78" xfId="0" applyBorder="1"/>
    <xf numFmtId="0" fontId="2" fillId="6" borderId="78" xfId="0" applyFont="1" applyFill="1" applyBorder="1" applyAlignment="1">
      <alignment horizontal="center" vertical="center"/>
    </xf>
    <xf numFmtId="0" fontId="2" fillId="6" borderId="18" xfId="0" applyFont="1" applyFill="1" applyBorder="1" applyAlignment="1">
      <alignment horizontal="center" vertical="center"/>
    </xf>
    <xf numFmtId="0" fontId="9" fillId="3" borderId="0" xfId="0" applyFont="1" applyFill="1" applyAlignment="1">
      <alignment horizontal="left"/>
    </xf>
    <xf numFmtId="167" fontId="0" fillId="0" borderId="1" xfId="1" applyNumberFormat="1" applyFont="1" applyFill="1" applyBorder="1"/>
    <xf numFmtId="0" fontId="0" fillId="28" borderId="1" xfId="0" applyFill="1" applyBorder="1"/>
    <xf numFmtId="0" fontId="9" fillId="0" borderId="17" xfId="0" applyFont="1" applyBorder="1"/>
    <xf numFmtId="0" fontId="0" fillId="0" borderId="82" xfId="0" applyBorder="1" applyAlignment="1">
      <alignment horizontal="center"/>
    </xf>
    <xf numFmtId="43" fontId="0" fillId="0" borderId="68" xfId="1" applyFont="1" applyBorder="1"/>
    <xf numFmtId="43" fontId="0" fillId="0" borderId="79" xfId="0" applyNumberFormat="1" applyBorder="1"/>
    <xf numFmtId="0" fontId="0" fillId="0" borderId="82" xfId="0" applyBorder="1" applyAlignment="1">
      <alignment horizontal="center" wrapText="1"/>
    </xf>
    <xf numFmtId="0" fontId="0" fillId="0" borderId="81" xfId="0" applyBorder="1" applyAlignment="1">
      <alignment horizontal="center" wrapText="1"/>
    </xf>
    <xf numFmtId="43" fontId="0" fillId="0" borderId="80" xfId="0" applyNumberFormat="1" applyBorder="1" applyAlignment="1">
      <alignment horizontal="center"/>
    </xf>
    <xf numFmtId="43" fontId="2" fillId="0" borderId="79" xfId="0" applyNumberFormat="1" applyFont="1" applyBorder="1" applyAlignment="1">
      <alignment horizontal="center"/>
    </xf>
    <xf numFmtId="43" fontId="0" fillId="28" borderId="68" xfId="0" applyNumberFormat="1" applyFill="1" applyBorder="1" applyAlignment="1">
      <alignment horizontal="center"/>
    </xf>
    <xf numFmtId="0" fontId="2" fillId="0" borderId="0" xfId="0" applyFont="1" applyAlignment="1">
      <alignment wrapText="1"/>
    </xf>
    <xf numFmtId="0" fontId="0" fillId="0" borderId="0" xfId="0" applyAlignment="1">
      <alignment wrapText="1"/>
    </xf>
    <xf numFmtId="0" fontId="0" fillId="2" borderId="1" xfId="0" applyFill="1" applyBorder="1" applyAlignment="1">
      <alignment wrapText="1"/>
    </xf>
    <xf numFmtId="0" fontId="0" fillId="28" borderId="1" xfId="0" applyFill="1" applyBorder="1" applyAlignment="1">
      <alignment wrapText="1"/>
    </xf>
    <xf numFmtId="43" fontId="0" fillId="0" borderId="0" xfId="0" applyNumberFormat="1" applyAlignment="1">
      <alignment horizontal="center" wrapText="1"/>
    </xf>
    <xf numFmtId="43" fontId="0" fillId="0" borderId="0" xfId="0" applyNumberFormat="1" applyAlignment="1">
      <alignment wrapText="1"/>
    </xf>
    <xf numFmtId="0" fontId="2" fillId="0" borderId="0" xfId="0" applyFont="1" applyAlignment="1">
      <alignment horizontal="center" vertical="center" wrapText="1"/>
    </xf>
    <xf numFmtId="0" fontId="0" fillId="0" borderId="1" xfId="0" applyBorder="1" applyAlignment="1">
      <alignment horizontal="center" vertical="center" wrapText="1"/>
    </xf>
    <xf numFmtId="43" fontId="0" fillId="0" borderId="1" xfId="1" applyFont="1" applyBorder="1" applyAlignment="1">
      <alignment wrapText="1"/>
    </xf>
    <xf numFmtId="9" fontId="0" fillId="0" borderId="1" xfId="2" applyFont="1" applyFill="1" applyBorder="1" applyAlignment="1">
      <alignment wrapText="1"/>
    </xf>
    <xf numFmtId="10" fontId="0" fillId="0" borderId="1" xfId="2" applyNumberFormat="1" applyFont="1" applyFill="1" applyBorder="1" applyAlignment="1">
      <alignment wrapText="1"/>
    </xf>
    <xf numFmtId="10" fontId="2" fillId="0" borderId="1" xfId="2" applyNumberFormat="1" applyFont="1" applyBorder="1" applyAlignment="1">
      <alignment horizontal="center" vertical="center" wrapText="1"/>
    </xf>
    <xf numFmtId="10" fontId="0" fillId="0" borderId="1" xfId="2" applyNumberFormat="1" applyFont="1" applyBorder="1" applyAlignment="1">
      <alignment wrapText="1"/>
    </xf>
    <xf numFmtId="43" fontId="0" fillId="0" borderId="1" xfId="0" applyNumberFormat="1" applyBorder="1" applyAlignment="1">
      <alignment wrapText="1"/>
    </xf>
    <xf numFmtId="43" fontId="0" fillId="0" borderId="1" xfId="1" applyFont="1" applyFill="1" applyBorder="1" applyAlignment="1">
      <alignment wrapText="1"/>
    </xf>
    <xf numFmtId="43" fontId="0" fillId="23" borderId="1" xfId="1" applyFont="1" applyFill="1" applyBorder="1" applyAlignment="1">
      <alignment wrapText="1"/>
    </xf>
    <xf numFmtId="166" fontId="0" fillId="0" borderId="1" xfId="2" applyNumberFormat="1" applyFont="1" applyFill="1" applyBorder="1" applyAlignment="1">
      <alignment wrapText="1"/>
    </xf>
    <xf numFmtId="166" fontId="0" fillId="0" borderId="1" xfId="2" applyNumberFormat="1" applyFont="1" applyBorder="1" applyAlignment="1">
      <alignment wrapText="1"/>
    </xf>
    <xf numFmtId="43" fontId="0" fillId="23" borderId="1" xfId="0" applyNumberFormat="1" applyFill="1" applyBorder="1" applyAlignment="1">
      <alignment wrapText="1"/>
    </xf>
    <xf numFmtId="43" fontId="48" fillId="0" borderId="1" xfId="0" applyNumberFormat="1" applyFont="1" applyBorder="1" applyAlignment="1">
      <alignment horizontal="center" wrapText="1"/>
    </xf>
    <xf numFmtId="43" fontId="48" fillId="0" borderId="0" xfId="0" applyNumberFormat="1" applyFont="1" applyAlignment="1">
      <alignment wrapText="1"/>
    </xf>
    <xf numFmtId="43" fontId="2" fillId="0" borderId="0" xfId="0" applyNumberFormat="1" applyFont="1" applyAlignment="1">
      <alignment horizontal="center" vertical="center" wrapText="1"/>
    </xf>
    <xf numFmtId="0" fontId="0" fillId="0" borderId="16" xfId="0" applyBorder="1" applyAlignment="1">
      <alignment wrapText="1"/>
    </xf>
    <xf numFmtId="0" fontId="0" fillId="0" borderId="15" xfId="0" applyBorder="1" applyAlignment="1">
      <alignment wrapText="1"/>
    </xf>
    <xf numFmtId="43" fontId="0" fillId="0" borderId="80" xfId="0" applyNumberFormat="1" applyBorder="1" applyAlignment="1">
      <alignment horizontal="center" wrapText="1"/>
    </xf>
    <xf numFmtId="10" fontId="0" fillId="0" borderId="68" xfId="2" applyNumberFormat="1" applyFont="1" applyFill="1" applyBorder="1" applyAlignment="1">
      <alignment horizontal="center" wrapText="1"/>
    </xf>
    <xf numFmtId="43" fontId="0" fillId="0" borderId="68" xfId="1" applyFont="1" applyBorder="1" applyAlignment="1">
      <alignment horizontal="center" wrapText="1"/>
    </xf>
    <xf numFmtId="43" fontId="2" fillId="0" borderId="79" xfId="0" applyNumberFormat="1" applyFont="1" applyBorder="1" applyAlignment="1">
      <alignment horizontal="center" wrapText="1"/>
    </xf>
    <xf numFmtId="0" fontId="2" fillId="0" borderId="16" xfId="0" applyFont="1" applyBorder="1" applyAlignment="1">
      <alignment wrapText="1"/>
    </xf>
    <xf numFmtId="0" fontId="0" fillId="0" borderId="82" xfId="0" applyBorder="1" applyAlignment="1">
      <alignment horizontal="center" vertical="center" wrapText="1"/>
    </xf>
    <xf numFmtId="43" fontId="0" fillId="0" borderId="81" xfId="1" applyFont="1" applyBorder="1" applyAlignment="1">
      <alignment wrapText="1"/>
    </xf>
    <xf numFmtId="0" fontId="0" fillId="0" borderId="44" xfId="0" applyBorder="1" applyAlignment="1">
      <alignment horizontal="center" vertical="center" wrapText="1"/>
    </xf>
    <xf numFmtId="0" fontId="0" fillId="0" borderId="14" xfId="0" applyBorder="1" applyAlignment="1">
      <alignment wrapText="1"/>
    </xf>
    <xf numFmtId="166" fontId="0" fillId="0" borderId="0" xfId="2" applyNumberFormat="1" applyFont="1" applyBorder="1" applyAlignment="1">
      <alignment wrapText="1"/>
    </xf>
    <xf numFmtId="10" fontId="0" fillId="0" borderId="0" xfId="2" applyNumberFormat="1" applyFont="1" applyBorder="1" applyAlignment="1">
      <alignment wrapText="1"/>
    </xf>
    <xf numFmtId="43" fontId="48" fillId="0" borderId="81" xfId="0" applyNumberFormat="1" applyFont="1" applyBorder="1" applyAlignment="1">
      <alignment wrapText="1"/>
    </xf>
    <xf numFmtId="0" fontId="0" fillId="0" borderId="12" xfId="0" applyBorder="1" applyAlignment="1">
      <alignment wrapText="1"/>
    </xf>
    <xf numFmtId="0" fontId="0" fillId="0" borderId="11" xfId="0" applyBorder="1" applyAlignment="1">
      <alignment wrapText="1"/>
    </xf>
    <xf numFmtId="0" fontId="0" fillId="0" borderId="11" xfId="0" applyBorder="1" applyAlignment="1">
      <alignment horizontal="center" vertical="center" wrapText="1"/>
    </xf>
    <xf numFmtId="43" fontId="0" fillId="0" borderId="11" xfId="1" applyFont="1" applyBorder="1" applyAlignment="1">
      <alignment wrapText="1"/>
    </xf>
    <xf numFmtId="43" fontId="0" fillId="0" borderId="11" xfId="0" applyNumberFormat="1" applyBorder="1" applyAlignment="1">
      <alignment wrapText="1"/>
    </xf>
    <xf numFmtId="166" fontId="0" fillId="0" borderId="11" xfId="2" applyNumberFormat="1" applyFont="1" applyBorder="1" applyAlignment="1">
      <alignment wrapText="1"/>
    </xf>
    <xf numFmtId="10" fontId="0" fillId="0" borderId="11" xfId="2" applyNumberFormat="1" applyFont="1" applyBorder="1" applyAlignment="1">
      <alignment wrapText="1"/>
    </xf>
    <xf numFmtId="43" fontId="0" fillId="0" borderId="11" xfId="0" applyNumberFormat="1" applyBorder="1" applyAlignment="1">
      <alignment vertical="center" wrapText="1"/>
    </xf>
    <xf numFmtId="43" fontId="47" fillId="0" borderId="11" xfId="1" applyFont="1" applyFill="1" applyBorder="1" applyAlignment="1">
      <alignment wrapText="1"/>
    </xf>
    <xf numFmtId="43" fontId="48" fillId="0" borderId="68" xfId="1" applyFont="1" applyFill="1" applyBorder="1" applyAlignment="1">
      <alignment horizontal="center" wrapText="1"/>
    </xf>
    <xf numFmtId="43" fontId="48" fillId="0" borderId="79" xfId="0" applyNumberFormat="1" applyFont="1" applyBorder="1" applyAlignment="1">
      <alignment wrapText="1"/>
    </xf>
    <xf numFmtId="169" fontId="0" fillId="3" borderId="1" xfId="0" applyNumberFormat="1" applyFill="1" applyBorder="1" applyAlignment="1">
      <alignment horizontal="center"/>
    </xf>
    <xf numFmtId="169" fontId="0" fillId="0" borderId="1" xfId="0" applyNumberFormat="1" applyBorder="1" applyAlignment="1">
      <alignment horizontal="center"/>
    </xf>
    <xf numFmtId="0" fontId="2" fillId="21" borderId="1" xfId="0" applyFont="1" applyFill="1" applyBorder="1" applyAlignment="1">
      <alignment horizontal="center" vertical="center" wrapText="1"/>
    </xf>
    <xf numFmtId="169" fontId="0" fillId="24" borderId="19" xfId="0" applyNumberFormat="1" applyFill="1" applyBorder="1" applyAlignment="1">
      <alignment horizontal="center"/>
    </xf>
    <xf numFmtId="0" fontId="0" fillId="0" borderId="81" xfId="0" applyBorder="1" applyAlignment="1">
      <alignment horizontal="center"/>
    </xf>
    <xf numFmtId="0" fontId="6" fillId="0" borderId="82" xfId="0" applyFont="1" applyBorder="1" applyAlignment="1">
      <alignment horizontal="left" vertical="center" wrapText="1"/>
    </xf>
    <xf numFmtId="43" fontId="0" fillId="0" borderId="0" xfId="1" applyFont="1" applyBorder="1" applyAlignment="1">
      <alignment horizontal="center" wrapText="1"/>
    </xf>
    <xf numFmtId="176" fontId="0" fillId="0" borderId="0" xfId="0" applyNumberFormat="1" applyAlignment="1">
      <alignment horizontal="center" wrapText="1"/>
    </xf>
    <xf numFmtId="43" fontId="2" fillId="0" borderId="0" xfId="0" applyNumberFormat="1" applyFont="1" applyAlignment="1">
      <alignment horizontal="center" wrapText="1"/>
    </xf>
    <xf numFmtId="43" fontId="0" fillId="0" borderId="0" xfId="1" applyFont="1" applyFill="1" applyAlignment="1">
      <alignment wrapText="1"/>
    </xf>
    <xf numFmtId="0" fontId="55" fillId="29" borderId="0" xfId="0" applyFont="1" applyFill="1" applyAlignment="1">
      <alignment vertical="center" wrapText="1"/>
    </xf>
    <xf numFmtId="0" fontId="56" fillId="29" borderId="0" xfId="0" applyFont="1" applyFill="1" applyAlignment="1">
      <alignment vertical="center" wrapText="1"/>
    </xf>
    <xf numFmtId="9" fontId="56" fillId="29" borderId="0" xfId="0" applyNumberFormat="1" applyFont="1" applyFill="1" applyAlignment="1">
      <alignment horizontal="right" vertical="center" wrapText="1"/>
    </xf>
    <xf numFmtId="10" fontId="56" fillId="29" borderId="0" xfId="0" applyNumberFormat="1" applyFont="1" applyFill="1" applyAlignment="1">
      <alignment horizontal="right" vertical="center" wrapText="1"/>
    </xf>
    <xf numFmtId="0" fontId="57" fillId="29" borderId="0" xfId="0" applyFont="1" applyFill="1" applyAlignment="1">
      <alignment vertical="center" wrapText="1"/>
    </xf>
    <xf numFmtId="10" fontId="57" fillId="29" borderId="0" xfId="0" applyNumberFormat="1" applyFont="1" applyFill="1" applyAlignment="1">
      <alignment horizontal="right" vertical="center" wrapText="1"/>
    </xf>
    <xf numFmtId="0" fontId="58" fillId="0" borderId="0" xfId="0" applyFont="1"/>
    <xf numFmtId="0" fontId="0" fillId="30" borderId="17" xfId="0" applyFill="1" applyBorder="1"/>
    <xf numFmtId="0" fontId="0" fillId="30" borderId="16" xfId="0" applyFill="1" applyBorder="1"/>
    <xf numFmtId="0" fontId="0" fillId="30" borderId="77" xfId="0" applyFill="1" applyBorder="1"/>
    <xf numFmtId="0" fontId="0" fillId="30" borderId="14" xfId="0" applyFill="1" applyBorder="1"/>
    <xf numFmtId="0" fontId="0" fillId="30" borderId="13" xfId="0" applyFill="1" applyBorder="1"/>
    <xf numFmtId="4" fontId="0" fillId="30" borderId="77" xfId="0" applyNumberFormat="1" applyFill="1" applyBorder="1"/>
    <xf numFmtId="9" fontId="0" fillId="30" borderId="77" xfId="0" applyNumberFormat="1" applyFill="1" applyBorder="1"/>
    <xf numFmtId="0" fontId="0" fillId="4" borderId="19" xfId="0" applyFill="1" applyBorder="1"/>
    <xf numFmtId="0" fontId="0" fillId="4" borderId="60" xfId="0" applyFill="1" applyBorder="1"/>
    <xf numFmtId="0" fontId="0" fillId="4" borderId="76" xfId="0" applyFill="1" applyBorder="1"/>
    <xf numFmtId="4" fontId="2" fillId="4" borderId="19" xfId="0" applyNumberFormat="1" applyFont="1" applyFill="1" applyBorder="1"/>
    <xf numFmtId="4" fontId="0" fillId="30" borderId="13" xfId="0" applyNumberFormat="1" applyFill="1" applyBorder="1"/>
    <xf numFmtId="0" fontId="2" fillId="4" borderId="19" xfId="0" applyFont="1" applyFill="1" applyBorder="1" applyAlignment="1">
      <alignment horizontal="center"/>
    </xf>
    <xf numFmtId="0" fontId="0" fillId="0" borderId="19" xfId="0" applyBorder="1"/>
    <xf numFmtId="175" fontId="19" fillId="26" borderId="19" xfId="0" applyNumberFormat="1" applyFont="1" applyFill="1" applyBorder="1" applyAlignment="1">
      <alignment horizontal="right" vertical="center"/>
    </xf>
    <xf numFmtId="0" fontId="59" fillId="0" borderId="0" xfId="0" applyFont="1"/>
    <xf numFmtId="0" fontId="58" fillId="0" borderId="11" xfId="0" applyFont="1" applyBorder="1"/>
    <xf numFmtId="8" fontId="58" fillId="0" borderId="11" xfId="0" applyNumberFormat="1" applyFont="1" applyBorder="1"/>
    <xf numFmtId="8" fontId="58" fillId="0" borderId="0" xfId="0" applyNumberFormat="1" applyFont="1"/>
    <xf numFmtId="0" fontId="60" fillId="0" borderId="0" xfId="0" applyFont="1" applyAlignment="1">
      <alignment vertical="center"/>
    </xf>
    <xf numFmtId="0" fontId="2" fillId="0" borderId="85" xfId="0" applyFont="1" applyBorder="1"/>
    <xf numFmtId="0" fontId="2" fillId="4" borderId="60" xfId="0" applyFont="1" applyFill="1" applyBorder="1"/>
    <xf numFmtId="0" fontId="2" fillId="4" borderId="85" xfId="0" applyFont="1" applyFill="1" applyBorder="1"/>
    <xf numFmtId="0" fontId="52" fillId="4" borderId="60" xfId="0" applyFont="1" applyFill="1" applyBorder="1"/>
    <xf numFmtId="0" fontId="49" fillId="4" borderId="85" xfId="0" applyFont="1" applyFill="1" applyBorder="1"/>
    <xf numFmtId="43" fontId="52" fillId="4" borderId="91" xfId="0" applyNumberFormat="1" applyFont="1" applyFill="1" applyBorder="1" applyAlignment="1">
      <alignment horizontal="left"/>
    </xf>
    <xf numFmtId="43" fontId="52" fillId="4" borderId="91" xfId="0" applyNumberFormat="1" applyFont="1" applyFill="1" applyBorder="1"/>
    <xf numFmtId="43" fontId="52" fillId="4" borderId="19" xfId="0" applyNumberFormat="1" applyFont="1" applyFill="1" applyBorder="1"/>
    <xf numFmtId="0" fontId="0" fillId="4" borderId="17" xfId="0" applyFill="1" applyBorder="1"/>
    <xf numFmtId="0" fontId="0" fillId="4" borderId="16" xfId="0" applyFill="1" applyBorder="1"/>
    <xf numFmtId="0" fontId="0" fillId="4" borderId="15" xfId="0" applyFill="1" applyBorder="1"/>
    <xf numFmtId="0" fontId="0" fillId="4" borderId="12" xfId="0" applyFill="1" applyBorder="1"/>
    <xf numFmtId="0" fontId="0" fillId="4" borderId="11" xfId="0" applyFill="1" applyBorder="1"/>
    <xf numFmtId="0" fontId="0" fillId="4" borderId="10" xfId="0" applyFill="1" applyBorder="1"/>
    <xf numFmtId="4" fontId="2" fillId="0" borderId="78" xfId="0" applyNumberFormat="1" applyFont="1" applyBorder="1"/>
    <xf numFmtId="0" fontId="2" fillId="0" borderId="77" xfId="0" applyFont="1" applyBorder="1" applyAlignment="1">
      <alignment horizontal="center"/>
    </xf>
    <xf numFmtId="4" fontId="2" fillId="0" borderId="77" xfId="0" applyNumberFormat="1" applyFont="1" applyBorder="1"/>
    <xf numFmtId="44" fontId="2" fillId="0" borderId="77" xfId="0" applyNumberFormat="1" applyFont="1" applyBorder="1"/>
    <xf numFmtId="0" fontId="2" fillId="0" borderId="77" xfId="0" applyFont="1" applyBorder="1"/>
    <xf numFmtId="0" fontId="2" fillId="4" borderId="76" xfId="0" applyFont="1" applyFill="1" applyBorder="1"/>
    <xf numFmtId="44" fontId="2" fillId="4" borderId="19" xfId="0" applyNumberFormat="1" applyFont="1" applyFill="1" applyBorder="1"/>
    <xf numFmtId="175" fontId="12" fillId="3" borderId="19" xfId="0" applyNumberFormat="1" applyFont="1" applyFill="1" applyBorder="1" applyAlignment="1">
      <alignment horizontal="right" vertical="center"/>
    </xf>
    <xf numFmtId="0" fontId="61" fillId="27" borderId="19" xfId="0" applyFont="1" applyFill="1" applyBorder="1" applyAlignment="1">
      <alignment vertical="center" wrapText="1"/>
    </xf>
    <xf numFmtId="0" fontId="61" fillId="27" borderId="76" xfId="0" applyFont="1" applyFill="1" applyBorder="1" applyAlignment="1">
      <alignment vertical="center" wrapText="1"/>
    </xf>
    <xf numFmtId="0" fontId="61" fillId="27" borderId="19" xfId="0" applyFont="1" applyFill="1" applyBorder="1" applyAlignment="1">
      <alignment horizontal="center" wrapText="1"/>
    </xf>
    <xf numFmtId="0" fontId="61" fillId="27" borderId="12" xfId="0" applyFont="1" applyFill="1" applyBorder="1" applyAlignment="1">
      <alignment horizontal="center" wrapText="1"/>
    </xf>
    <xf numFmtId="0" fontId="61" fillId="27" borderId="78" xfId="0" applyFont="1" applyFill="1" applyBorder="1" applyAlignment="1">
      <alignment horizontal="center" wrapText="1"/>
    </xf>
    <xf numFmtId="0" fontId="61" fillId="27" borderId="78" xfId="0" applyFont="1" applyFill="1" applyBorder="1" applyAlignment="1">
      <alignment vertical="center" wrapText="1"/>
    </xf>
    <xf numFmtId="0" fontId="61" fillId="27" borderId="15" xfId="0" applyFont="1" applyFill="1" applyBorder="1" applyAlignment="1">
      <alignment vertical="center" wrapText="1"/>
    </xf>
    <xf numFmtId="0" fontId="2" fillId="4" borderId="52" xfId="0" applyFont="1" applyFill="1" applyBorder="1"/>
    <xf numFmtId="0" fontId="0" fillId="0" borderId="44" xfId="0" applyBorder="1"/>
    <xf numFmtId="0" fontId="0" fillId="0" borderId="94" xfId="0" applyBorder="1"/>
    <xf numFmtId="43" fontId="2" fillId="4" borderId="90" xfId="0" applyNumberFormat="1" applyFont="1" applyFill="1" applyBorder="1"/>
    <xf numFmtId="43" fontId="0" fillId="11" borderId="91" xfId="1" applyFont="1" applyFill="1" applyBorder="1"/>
    <xf numFmtId="43" fontId="0" fillId="11" borderId="93" xfId="1" applyFont="1" applyFill="1" applyBorder="1"/>
    <xf numFmtId="0" fontId="0" fillId="12" borderId="95" xfId="0" applyFill="1" applyBorder="1"/>
    <xf numFmtId="3" fontId="2" fillId="12" borderId="91" xfId="0" applyNumberFormat="1" applyFont="1" applyFill="1" applyBorder="1"/>
    <xf numFmtId="3" fontId="0" fillId="12" borderId="91" xfId="0" applyNumberFormat="1" applyFill="1" applyBorder="1"/>
    <xf numFmtId="4" fontId="2" fillId="12" borderId="91" xfId="0" applyNumberFormat="1" applyFont="1" applyFill="1" applyBorder="1"/>
    <xf numFmtId="0" fontId="0" fillId="12" borderId="90" xfId="0" applyFill="1" applyBorder="1"/>
    <xf numFmtId="0" fontId="2" fillId="0" borderId="90" xfId="0" applyFont="1" applyBorder="1"/>
    <xf numFmtId="0" fontId="2" fillId="0" borderId="91" xfId="0" applyFont="1" applyBorder="1"/>
    <xf numFmtId="0" fontId="0" fillId="0" borderId="91" xfId="0" applyBorder="1"/>
    <xf numFmtId="0" fontId="2" fillId="4" borderId="19" xfId="0" applyFont="1" applyFill="1" applyBorder="1"/>
    <xf numFmtId="0" fontId="44" fillId="0" borderId="0" xfId="0" applyFont="1" applyAlignment="1">
      <alignment horizontal="center" vertical="center"/>
    </xf>
    <xf numFmtId="4" fontId="44" fillId="0" borderId="0" xfId="0" applyNumberFormat="1" applyFont="1" applyAlignment="1">
      <alignment horizontal="center" vertical="center"/>
    </xf>
    <xf numFmtId="43" fontId="0" fillId="2" borderId="80" xfId="0" applyNumberFormat="1" applyFill="1" applyBorder="1" applyAlignment="1">
      <alignment horizontal="center" wrapText="1"/>
    </xf>
    <xf numFmtId="43" fontId="0" fillId="2" borderId="68" xfId="0" applyNumberFormat="1" applyFill="1" applyBorder="1" applyAlignment="1">
      <alignment horizontal="center" wrapText="1"/>
    </xf>
    <xf numFmtId="0" fontId="49" fillId="0" borderId="72" xfId="0" applyFont="1" applyBorder="1" applyAlignment="1">
      <alignment vertical="center"/>
    </xf>
    <xf numFmtId="4" fontId="40" fillId="12" borderId="78" xfId="0" applyNumberFormat="1" applyFont="1" applyFill="1" applyBorder="1" applyAlignment="1">
      <alignment horizontal="center" vertical="center"/>
    </xf>
    <xf numFmtId="17" fontId="61" fillId="27" borderId="60" xfId="0" applyNumberFormat="1" applyFont="1" applyFill="1" applyBorder="1" applyAlignment="1">
      <alignment horizontal="center" wrapText="1"/>
    </xf>
    <xf numFmtId="0" fontId="40" fillId="11" borderId="78" xfId="0" applyFont="1" applyFill="1" applyBorder="1" applyAlignment="1">
      <alignment horizontal="center" vertical="center"/>
    </xf>
    <xf numFmtId="0" fontId="40" fillId="11" borderId="18" xfId="0" applyFont="1" applyFill="1" applyBorder="1" applyAlignment="1">
      <alignment horizontal="center" vertical="center"/>
    </xf>
    <xf numFmtId="0" fontId="61" fillId="27" borderId="60" xfId="0" applyFont="1" applyFill="1" applyBorder="1" applyAlignment="1">
      <alignment horizontal="left" vertical="center" wrapText="1"/>
    </xf>
    <xf numFmtId="0" fontId="61" fillId="27" borderId="76" xfId="0" applyFont="1" applyFill="1" applyBorder="1" applyAlignment="1">
      <alignment horizontal="left" vertical="center" wrapText="1"/>
    </xf>
    <xf numFmtId="0" fontId="0" fillId="0" borderId="60" xfId="0" applyBorder="1"/>
    <xf numFmtId="0" fontId="52" fillId="0" borderId="0" xfId="0" applyFont="1" applyAlignment="1">
      <alignment horizontal="center"/>
    </xf>
    <xf numFmtId="3" fontId="49" fillId="0" borderId="0" xfId="0" applyNumberFormat="1" applyFont="1"/>
    <xf numFmtId="0" fontId="54" fillId="3" borderId="0" xfId="0" applyFont="1" applyFill="1" applyAlignment="1">
      <alignment horizontal="left"/>
    </xf>
    <xf numFmtId="0" fontId="39" fillId="0" borderId="60" xfId="0" applyFont="1" applyBorder="1"/>
    <xf numFmtId="0" fontId="39" fillId="0" borderId="85" xfId="0" applyFont="1" applyBorder="1"/>
    <xf numFmtId="0" fontId="9" fillId="0" borderId="85" xfId="0" applyFont="1" applyBorder="1"/>
    <xf numFmtId="4" fontId="40" fillId="0" borderId="76" xfId="0" applyNumberFormat="1" applyFont="1" applyBorder="1"/>
    <xf numFmtId="4" fontId="40" fillId="12" borderId="19" xfId="0" applyNumberFormat="1" applyFont="1" applyFill="1" applyBorder="1" applyAlignment="1">
      <alignment horizontal="center" vertical="center"/>
    </xf>
    <xf numFmtId="175" fontId="0" fillId="0" borderId="0" xfId="0" applyNumberFormat="1"/>
    <xf numFmtId="175" fontId="51" fillId="26" borderId="60" xfId="0" applyNumberFormat="1" applyFont="1" applyFill="1" applyBorder="1" applyAlignment="1">
      <alignment horizontal="right" vertical="center"/>
    </xf>
    <xf numFmtId="0" fontId="40" fillId="0" borderId="85" xfId="0" applyFont="1" applyBorder="1"/>
    <xf numFmtId="0" fontId="0" fillId="0" borderId="85" xfId="0" applyBorder="1"/>
    <xf numFmtId="175" fontId="51" fillId="26" borderId="12" xfId="0" applyNumberFormat="1" applyFont="1" applyFill="1" applyBorder="1" applyAlignment="1">
      <alignment horizontal="right" vertical="center"/>
    </xf>
    <xf numFmtId="0" fontId="51" fillId="26" borderId="77" xfId="0" applyFont="1" applyFill="1" applyBorder="1" applyAlignment="1">
      <alignment horizontal="left" vertical="center" wrapText="1"/>
    </xf>
    <xf numFmtId="4" fontId="39" fillId="0" borderId="76" xfId="0" applyNumberFormat="1" applyFont="1" applyBorder="1"/>
    <xf numFmtId="4" fontId="2" fillId="0" borderId="76" xfId="0" applyNumberFormat="1" applyFont="1" applyBorder="1"/>
    <xf numFmtId="0" fontId="0" fillId="0" borderId="72" xfId="0" applyBorder="1"/>
    <xf numFmtId="0" fontId="27" fillId="3" borderId="1" xfId="0" applyFont="1" applyFill="1" applyBorder="1"/>
    <xf numFmtId="0" fontId="27" fillId="5" borderId="1" xfId="0" applyFont="1" applyFill="1" applyBorder="1" applyAlignment="1">
      <alignment horizontal="center"/>
    </xf>
    <xf numFmtId="9" fontId="27" fillId="5" borderId="1" xfId="0" applyNumberFormat="1" applyFont="1" applyFill="1" applyBorder="1"/>
    <xf numFmtId="3" fontId="27" fillId="23" borderId="1" xfId="0" applyNumberFormat="1" applyFont="1" applyFill="1" applyBorder="1" applyAlignment="1">
      <alignment horizontal="right"/>
    </xf>
    <xf numFmtId="9" fontId="27" fillId="0" borderId="1" xfId="0" applyNumberFormat="1" applyFont="1" applyBorder="1"/>
    <xf numFmtId="3" fontId="27" fillId="23" borderId="1" xfId="0" applyNumberFormat="1" applyFont="1" applyFill="1" applyBorder="1"/>
    <xf numFmtId="0" fontId="41" fillId="2" borderId="1" xfId="0" applyFont="1" applyFill="1" applyBorder="1" applyAlignment="1">
      <alignment horizontal="center"/>
    </xf>
    <xf numFmtId="0" fontId="41" fillId="2" borderId="58" xfId="0" applyFont="1" applyFill="1" applyBorder="1" applyAlignment="1">
      <alignment horizontal="center" vertical="center" wrapText="1"/>
    </xf>
    <xf numFmtId="44" fontId="0" fillId="0" borderId="77" xfId="0" applyNumberFormat="1" applyBorder="1"/>
    <xf numFmtId="44" fontId="0" fillId="0" borderId="18" xfId="0" applyNumberFormat="1" applyBorder="1"/>
    <xf numFmtId="3" fontId="0" fillId="4" borderId="76" xfId="0" applyNumberFormat="1" applyFill="1" applyBorder="1" applyAlignment="1">
      <alignment horizontal="center"/>
    </xf>
    <xf numFmtId="0" fontId="0" fillId="4" borderId="60" xfId="0" applyFill="1" applyBorder="1" applyAlignment="1">
      <alignment horizontal="center"/>
    </xf>
    <xf numFmtId="0" fontId="0" fillId="4" borderId="19" xfId="0" applyFill="1" applyBorder="1" applyAlignment="1">
      <alignment horizontal="center"/>
    </xf>
    <xf numFmtId="4" fontId="0" fillId="4" borderId="19" xfId="0" applyNumberFormat="1" applyFill="1" applyBorder="1"/>
    <xf numFmtId="0" fontId="0" fillId="0" borderId="0" xfId="0" applyAlignment="1">
      <alignment vertical="top"/>
    </xf>
    <xf numFmtId="0" fontId="63" fillId="4" borderId="19" xfId="0" applyFont="1" applyFill="1" applyBorder="1" applyAlignment="1">
      <alignment horizontal="left" vertical="center" wrapText="1"/>
    </xf>
    <xf numFmtId="4" fontId="64" fillId="4" borderId="19" xfId="0" applyNumberFormat="1" applyFont="1" applyFill="1" applyBorder="1" applyAlignment="1">
      <alignment vertical="center"/>
    </xf>
    <xf numFmtId="0" fontId="63" fillId="4" borderId="18" xfId="0" applyFont="1" applyFill="1" applyBorder="1" applyAlignment="1">
      <alignment horizontal="left" vertical="center" wrapText="1"/>
    </xf>
    <xf numFmtId="4" fontId="64" fillId="4" borderId="18" xfId="0" applyNumberFormat="1" applyFont="1" applyFill="1" applyBorder="1" applyAlignment="1">
      <alignment vertical="center"/>
    </xf>
    <xf numFmtId="0" fontId="0" fillId="30" borderId="0" xfId="0" applyFill="1"/>
    <xf numFmtId="8" fontId="0" fillId="30" borderId="13" xfId="0" applyNumberFormat="1" applyFill="1" applyBorder="1"/>
    <xf numFmtId="14" fontId="0" fillId="30" borderId="18" xfId="0" applyNumberFormat="1" applyFill="1" applyBorder="1"/>
    <xf numFmtId="17" fontId="62" fillId="31" borderId="60" xfId="0" applyNumberFormat="1" applyFont="1" applyFill="1" applyBorder="1" applyAlignment="1">
      <alignment horizontal="center" wrapText="1"/>
    </xf>
    <xf numFmtId="0" fontId="62" fillId="31" borderId="19" xfId="0" applyFont="1" applyFill="1" applyBorder="1" applyAlignment="1">
      <alignment vertical="center" wrapText="1"/>
    </xf>
    <xf numFmtId="0" fontId="62" fillId="31" borderId="19" xfId="0" applyFont="1" applyFill="1" applyBorder="1" applyAlignment="1">
      <alignment horizontal="center" wrapText="1"/>
    </xf>
    <xf numFmtId="0" fontId="62" fillId="30" borderId="19" xfId="0" applyFont="1" applyFill="1" applyBorder="1" applyAlignment="1">
      <alignment horizontal="center" wrapText="1"/>
    </xf>
    <xf numFmtId="0" fontId="62" fillId="31" borderId="10" xfId="0" applyFont="1" applyFill="1" applyBorder="1" applyAlignment="1">
      <alignment horizontal="center" wrapText="1"/>
    </xf>
    <xf numFmtId="0" fontId="49" fillId="30" borderId="77" xfId="0" applyFont="1" applyFill="1" applyBorder="1"/>
    <xf numFmtId="3" fontId="49" fillId="30" borderId="14" xfId="0" applyNumberFormat="1" applyFont="1" applyFill="1" applyBorder="1"/>
    <xf numFmtId="0" fontId="49" fillId="30" borderId="14" xfId="0" applyFont="1" applyFill="1" applyBorder="1"/>
    <xf numFmtId="0" fontId="49" fillId="30" borderId="13" xfId="0" applyFont="1" applyFill="1" applyBorder="1"/>
    <xf numFmtId="3" fontId="49" fillId="30" borderId="13" xfId="0" applyNumberFormat="1" applyFont="1" applyFill="1" applyBorder="1"/>
    <xf numFmtId="4" fontId="49" fillId="30" borderId="13" xfId="0" applyNumberFormat="1" applyFont="1" applyFill="1" applyBorder="1"/>
    <xf numFmtId="0" fontId="49" fillId="30" borderId="10" xfId="0" applyFont="1" applyFill="1" applyBorder="1"/>
    <xf numFmtId="14" fontId="49" fillId="30" borderId="18" xfId="0" applyNumberFormat="1" applyFont="1" applyFill="1" applyBorder="1"/>
    <xf numFmtId="0" fontId="52" fillId="11" borderId="19" xfId="0" applyFont="1" applyFill="1" applyBorder="1" applyAlignment="1">
      <alignment horizontal="center"/>
    </xf>
    <xf numFmtId="0" fontId="49" fillId="3" borderId="0" xfId="0" applyFont="1" applyFill="1"/>
    <xf numFmtId="0" fontId="66" fillId="0" borderId="0" xfId="0" applyFont="1" applyAlignment="1">
      <alignment vertical="center" wrapText="1"/>
    </xf>
    <xf numFmtId="9" fontId="66" fillId="0" borderId="0" xfId="0" applyNumberFormat="1" applyFont="1" applyAlignment="1">
      <alignment horizontal="right" vertical="center" wrapText="1"/>
    </xf>
    <xf numFmtId="10" fontId="66" fillId="0" borderId="0" xfId="0" applyNumberFormat="1" applyFont="1" applyAlignment="1">
      <alignment horizontal="right" vertical="center" wrapText="1"/>
    </xf>
    <xf numFmtId="0" fontId="67" fillId="0" borderId="0" xfId="0" applyFont="1" applyAlignment="1">
      <alignment vertical="center" wrapText="1"/>
    </xf>
    <xf numFmtId="0" fontId="0" fillId="0" borderId="81" xfId="0" applyBorder="1" applyAlignment="1">
      <alignment horizontal="left" wrapText="1"/>
    </xf>
    <xf numFmtId="9" fontId="0" fillId="0" borderId="0" xfId="2" applyFont="1" applyBorder="1" applyAlignment="1">
      <alignment horizontal="center"/>
    </xf>
    <xf numFmtId="0" fontId="44" fillId="22" borderId="12" xfId="0" applyFont="1" applyFill="1" applyBorder="1" applyAlignment="1">
      <alignment horizontal="center" vertical="center"/>
    </xf>
    <xf numFmtId="4" fontId="44" fillId="22" borderId="19" xfId="0" applyNumberFormat="1" applyFont="1" applyFill="1" applyBorder="1" applyAlignment="1">
      <alignment horizontal="center" vertical="center"/>
    </xf>
    <xf numFmtId="10" fontId="45" fillId="0" borderId="19" xfId="2" applyNumberFormat="1" applyFont="1" applyBorder="1" applyAlignment="1">
      <alignment horizontal="center" vertical="center"/>
    </xf>
    <xf numFmtId="0" fontId="68" fillId="26" borderId="19" xfId="0" applyFont="1" applyFill="1" applyBorder="1" applyAlignment="1">
      <alignment horizontal="left" vertical="center" wrapText="1"/>
    </xf>
    <xf numFmtId="177" fontId="19" fillId="26" borderId="97" xfId="0" applyNumberFormat="1" applyFont="1" applyFill="1" applyBorder="1" applyAlignment="1">
      <alignment horizontal="right" vertical="center"/>
    </xf>
    <xf numFmtId="177" fontId="19" fillId="26" borderId="19" xfId="0" applyNumberFormat="1" applyFont="1" applyFill="1" applyBorder="1" applyAlignment="1">
      <alignment horizontal="right" vertical="center"/>
    </xf>
    <xf numFmtId="0" fontId="30" fillId="30" borderId="14" xfId="0" applyFont="1" applyFill="1" applyBorder="1"/>
    <xf numFmtId="0" fontId="30" fillId="30" borderId="0" xfId="0" applyFont="1" applyFill="1"/>
    <xf numFmtId="0" fontId="0" fillId="2" borderId="0" xfId="0" applyFill="1"/>
    <xf numFmtId="0" fontId="0" fillId="8" borderId="59" xfId="0" applyFill="1" applyBorder="1"/>
    <xf numFmtId="4" fontId="0" fillId="8" borderId="87" xfId="0" applyNumberFormat="1" applyFill="1" applyBorder="1"/>
    <xf numFmtId="0" fontId="0" fillId="9" borderId="59" xfId="0" applyFill="1" applyBorder="1" applyAlignment="1">
      <alignment horizontal="right"/>
    </xf>
    <xf numFmtId="0" fontId="0" fillId="9" borderId="87" xfId="0" applyFill="1" applyBorder="1"/>
    <xf numFmtId="0" fontId="0" fillId="0" borderId="86" xfId="0" applyBorder="1"/>
    <xf numFmtId="4" fontId="0" fillId="0" borderId="86" xfId="0" applyNumberFormat="1" applyBorder="1"/>
    <xf numFmtId="0" fontId="59" fillId="0" borderId="16" xfId="0" applyFont="1" applyBorder="1"/>
    <xf numFmtId="0" fontId="47" fillId="0" borderId="0" xfId="0" applyFont="1" applyAlignment="1">
      <alignment horizontal="center" wrapText="1"/>
    </xf>
    <xf numFmtId="172" fontId="0" fillId="2" borderId="1" xfId="0" applyNumberFormat="1" applyFill="1" applyBorder="1" applyAlignment="1">
      <alignment wrapText="1"/>
    </xf>
    <xf numFmtId="172" fontId="0" fillId="0" borderId="1" xfId="0" applyNumberFormat="1" applyBorder="1" applyAlignment="1">
      <alignment wrapText="1"/>
    </xf>
    <xf numFmtId="0" fontId="49" fillId="0" borderId="72" xfId="0" applyFont="1" applyBorder="1" applyAlignment="1">
      <alignment horizontal="center" vertical="center"/>
    </xf>
    <xf numFmtId="2" fontId="49" fillId="0" borderId="13" xfId="0" applyNumberFormat="1" applyFont="1" applyBorder="1"/>
    <xf numFmtId="0" fontId="49" fillId="0" borderId="101" xfId="0" applyFont="1" applyBorder="1"/>
    <xf numFmtId="0" fontId="49" fillId="0" borderId="102" xfId="0" applyFont="1" applyBorder="1"/>
    <xf numFmtId="0" fontId="49" fillId="0" borderId="78" xfId="0" applyFont="1" applyBorder="1" applyAlignment="1">
      <alignment vertical="center"/>
    </xf>
    <xf numFmtId="0" fontId="49" fillId="0" borderId="98" xfId="0" applyFont="1" applyBorder="1" applyAlignment="1">
      <alignment vertical="center"/>
    </xf>
    <xf numFmtId="0" fontId="49" fillId="0" borderId="96" xfId="0" applyFont="1" applyBorder="1"/>
    <xf numFmtId="4" fontId="49" fillId="0" borderId="61" xfId="0" applyNumberFormat="1" applyFont="1" applyBorder="1" applyAlignment="1">
      <alignment horizontal="center" vertical="center"/>
    </xf>
    <xf numFmtId="4" fontId="49" fillId="0" borderId="19" xfId="0" applyNumberFormat="1" applyFont="1" applyBorder="1" applyAlignment="1">
      <alignment horizontal="center" vertical="center"/>
    </xf>
    <xf numFmtId="4" fontId="49" fillId="0" borderId="103" xfId="0" applyNumberFormat="1" applyFont="1" applyBorder="1" applyAlignment="1">
      <alignment horizontal="center" vertical="center"/>
    </xf>
    <xf numFmtId="39" fontId="32" fillId="0" borderId="108" xfId="0" applyNumberFormat="1" applyFont="1" applyBorder="1" applyAlignment="1" applyProtection="1">
      <alignment horizontal="center" vertical="center"/>
      <protection locked="0"/>
    </xf>
    <xf numFmtId="4" fontId="17" fillId="0" borderId="108" xfId="6" applyNumberFormat="1" applyFont="1" applyBorder="1" applyAlignment="1">
      <alignment horizontal="right" vertical="center"/>
    </xf>
    <xf numFmtId="49" fontId="31" fillId="0" borderId="110" xfId="6" applyNumberFormat="1" applyFont="1" applyBorder="1" applyAlignment="1">
      <alignment horizontal="left" vertical="center"/>
    </xf>
    <xf numFmtId="39" fontId="32" fillId="0" borderId="110" xfId="0" applyNumberFormat="1" applyFont="1" applyBorder="1" applyAlignment="1" applyProtection="1">
      <alignment horizontal="center" vertical="center"/>
      <protection locked="0"/>
    </xf>
    <xf numFmtId="1" fontId="31" fillId="0" borderId="110" xfId="6" applyNumberFormat="1" applyFont="1" applyBorder="1" applyAlignment="1">
      <alignment horizontal="center" vertical="center"/>
    </xf>
    <xf numFmtId="4" fontId="31" fillId="0" borderId="110" xfId="6" applyNumberFormat="1" applyFont="1" applyBorder="1" applyAlignment="1">
      <alignment horizontal="right" vertical="center"/>
    </xf>
    <xf numFmtId="4" fontId="17" fillId="0" borderId="110" xfId="6" applyNumberFormat="1" applyFont="1" applyBorder="1" applyAlignment="1">
      <alignment horizontal="right" vertical="center"/>
    </xf>
    <xf numFmtId="43" fontId="2" fillId="0" borderId="109" xfId="0" applyNumberFormat="1" applyFont="1" applyBorder="1"/>
    <xf numFmtId="43" fontId="0" fillId="0" borderId="109" xfId="1" applyFont="1" applyBorder="1"/>
    <xf numFmtId="40" fontId="0" fillId="10" borderId="109" xfId="1" applyNumberFormat="1" applyFont="1" applyFill="1" applyBorder="1"/>
    <xf numFmtId="43" fontId="0" fillId="3" borderId="109" xfId="1" applyFont="1" applyFill="1" applyBorder="1"/>
    <xf numFmtId="43" fontId="0" fillId="2" borderId="109" xfId="1" applyFont="1" applyFill="1" applyBorder="1"/>
    <xf numFmtId="0" fontId="38" fillId="20" borderId="110" xfId="0" applyFont="1" applyFill="1" applyBorder="1" applyAlignment="1">
      <alignment horizontal="left" vertical="center"/>
    </xf>
    <xf numFmtId="0" fontId="38" fillId="20" borderId="110" xfId="0" applyFont="1" applyFill="1" applyBorder="1" applyAlignment="1">
      <alignment vertical="center"/>
    </xf>
    <xf numFmtId="43" fontId="38" fillId="20" borderId="111" xfId="0" applyNumberFormat="1" applyFont="1" applyFill="1" applyBorder="1" applyAlignment="1">
      <alignment vertical="center"/>
    </xf>
    <xf numFmtId="0" fontId="30" fillId="0" borderId="111" xfId="0" applyFont="1" applyBorder="1" applyAlignment="1">
      <alignment horizontal="left" vertical="center"/>
    </xf>
    <xf numFmtId="49" fontId="30" fillId="0" borderId="112" xfId="0" applyNumberFormat="1" applyFont="1" applyBorder="1" applyAlignment="1">
      <alignment horizontal="left" wrapText="1"/>
    </xf>
    <xf numFmtId="49" fontId="30" fillId="0" borderId="109" xfId="0" applyNumberFormat="1" applyFont="1" applyBorder="1" applyAlignment="1">
      <alignment horizontal="left"/>
    </xf>
    <xf numFmtId="0" fontId="30" fillId="0" borderId="111" xfId="0" applyFont="1" applyBorder="1" applyAlignment="1">
      <alignment horizontal="left"/>
    </xf>
    <xf numFmtId="0" fontId="30" fillId="0" borderId="109" xfId="0" applyFont="1" applyBorder="1" applyAlignment="1">
      <alignment horizontal="left" vertical="center"/>
    </xf>
    <xf numFmtId="0" fontId="30" fillId="0" borderId="111" xfId="0" applyFont="1" applyBorder="1" applyAlignment="1">
      <alignment horizontal="left" vertical="center" wrapText="1"/>
    </xf>
    <xf numFmtId="0" fontId="2" fillId="0" borderId="113" xfId="0" applyFont="1" applyBorder="1"/>
    <xf numFmtId="4" fontId="2" fillId="12" borderId="113" xfId="0" applyNumberFormat="1" applyFont="1" applyFill="1" applyBorder="1"/>
    <xf numFmtId="3" fontId="2" fillId="12" borderId="113" xfId="0" applyNumberFormat="1" applyFont="1" applyFill="1" applyBorder="1"/>
    <xf numFmtId="2" fontId="27" fillId="0" borderId="111" xfId="0" applyNumberFormat="1" applyFont="1" applyBorder="1"/>
    <xf numFmtId="174" fontId="0" fillId="8" borderId="111" xfId="0" applyNumberFormat="1" applyFill="1" applyBorder="1"/>
    <xf numFmtId="43" fontId="3" fillId="13" borderId="109" xfId="0" applyNumberFormat="1" applyFont="1" applyFill="1" applyBorder="1"/>
    <xf numFmtId="43" fontId="3" fillId="13" borderId="111" xfId="0" applyNumberFormat="1" applyFont="1" applyFill="1" applyBorder="1"/>
    <xf numFmtId="43" fontId="3" fillId="8" borderId="109" xfId="0" applyNumberFormat="1" applyFont="1" applyFill="1" applyBorder="1"/>
    <xf numFmtId="43" fontId="3" fillId="8" borderId="111" xfId="0" applyNumberFormat="1" applyFont="1" applyFill="1" applyBorder="1"/>
    <xf numFmtId="0" fontId="0" fillId="0" borderId="112" xfId="0" applyBorder="1" applyAlignment="1">
      <alignment horizontal="center"/>
    </xf>
    <xf numFmtId="174" fontId="0" fillId="13" borderId="111" xfId="0" applyNumberFormat="1" applyFill="1" applyBorder="1"/>
    <xf numFmtId="0" fontId="49" fillId="0" borderId="110" xfId="0" applyFont="1" applyBorder="1"/>
    <xf numFmtId="0" fontId="49" fillId="0" borderId="114" xfId="0" applyFont="1" applyBorder="1"/>
    <xf numFmtId="43" fontId="69" fillId="4" borderId="113" xfId="0" applyNumberFormat="1" applyFont="1" applyFill="1" applyBorder="1"/>
    <xf numFmtId="0" fontId="4" fillId="0" borderId="109" xfId="0" applyFont="1" applyBorder="1"/>
    <xf numFmtId="0" fontId="4" fillId="0" borderId="111" xfId="0" applyFont="1" applyBorder="1"/>
    <xf numFmtId="0" fontId="49" fillId="0" borderId="111" xfId="0" applyFont="1" applyBorder="1"/>
    <xf numFmtId="0" fontId="49" fillId="0" borderId="109" xfId="0" applyFont="1" applyBorder="1" applyAlignment="1">
      <alignment horizontal="center"/>
    </xf>
    <xf numFmtId="0" fontId="41" fillId="2" borderId="112" xfId="0" applyFont="1" applyFill="1" applyBorder="1" applyAlignment="1">
      <alignment horizontal="center" vertical="center" wrapText="1"/>
    </xf>
    <xf numFmtId="0" fontId="2" fillId="0" borderId="83" xfId="0" applyFont="1" applyBorder="1" applyAlignment="1">
      <alignment horizontal="center"/>
    </xf>
    <xf numFmtId="0" fontId="47" fillId="0" borderId="0" xfId="0" applyFont="1"/>
    <xf numFmtId="0" fontId="2" fillId="3" borderId="109" xfId="0" applyFont="1" applyFill="1" applyBorder="1" applyAlignment="1">
      <alignment horizontal="center"/>
    </xf>
    <xf numFmtId="0" fontId="0" fillId="0" borderId="111" xfId="0" applyBorder="1" applyAlignment="1">
      <alignment horizontal="center" vertical="center" wrapText="1"/>
    </xf>
    <xf numFmtId="0" fontId="0" fillId="30" borderId="77" xfId="0" applyFill="1" applyBorder="1" applyAlignment="1">
      <alignment wrapText="1"/>
    </xf>
    <xf numFmtId="2" fontId="0" fillId="30" borderId="13" xfId="0" applyNumberFormat="1" applyFill="1" applyBorder="1"/>
    <xf numFmtId="0" fontId="47" fillId="0" borderId="78" xfId="0" applyFont="1" applyBorder="1"/>
    <xf numFmtId="0" fontId="59" fillId="0" borderId="14" xfId="0" applyFont="1" applyBorder="1"/>
    <xf numFmtId="174" fontId="66" fillId="0" borderId="0" xfId="0" applyNumberFormat="1" applyFont="1" applyAlignment="1">
      <alignment horizontal="right" vertical="center" wrapText="1"/>
    </xf>
    <xf numFmtId="174" fontId="42" fillId="2" borderId="1" xfId="2" applyNumberFormat="1" applyFont="1" applyFill="1" applyBorder="1" applyAlignment="1">
      <alignment horizontal="left"/>
    </xf>
    <xf numFmtId="0" fontId="51" fillId="26" borderId="0" xfId="0" applyFont="1" applyFill="1" applyAlignment="1">
      <alignment horizontal="left" vertical="center" wrapText="1"/>
    </xf>
    <xf numFmtId="164" fontId="0" fillId="30" borderId="15" xfId="0" applyNumberFormat="1" applyFill="1" applyBorder="1"/>
    <xf numFmtId="164" fontId="0" fillId="30" borderId="13" xfId="0" applyNumberFormat="1" applyFill="1" applyBorder="1"/>
    <xf numFmtId="8" fontId="0" fillId="0" borderId="0" xfId="0" applyNumberFormat="1"/>
    <xf numFmtId="0" fontId="0" fillId="0" borderId="77" xfId="0" applyBorder="1"/>
    <xf numFmtId="43" fontId="69" fillId="4" borderId="78" xfId="0" applyNumberFormat="1" applyFont="1" applyFill="1" applyBorder="1" applyAlignment="1">
      <alignment horizontal="left"/>
    </xf>
    <xf numFmtId="43" fontId="69" fillId="4" borderId="91" xfId="0" applyNumberFormat="1" applyFont="1" applyFill="1" applyBorder="1" applyAlignment="1">
      <alignment horizontal="left"/>
    </xf>
    <xf numFmtId="43" fontId="69" fillId="4" borderId="95" xfId="0" applyNumberFormat="1" applyFont="1" applyFill="1" applyBorder="1" applyAlignment="1">
      <alignment horizontal="left"/>
    </xf>
    <xf numFmtId="0" fontId="70" fillId="0" borderId="0" xfId="0" quotePrefix="1" applyFont="1"/>
    <xf numFmtId="0" fontId="19" fillId="0" borderId="45" xfId="6" applyFont="1" applyBorder="1" applyAlignment="1">
      <alignment horizontal="center" vertical="center" wrapText="1"/>
    </xf>
    <xf numFmtId="1" fontId="19" fillId="0" borderId="57" xfId="0" applyNumberFormat="1" applyFont="1" applyBorder="1" applyAlignment="1">
      <alignment horizontal="center" vertical="center"/>
    </xf>
    <xf numFmtId="1" fontId="19" fillId="0" borderId="108" xfId="6" applyNumberFormat="1" applyFont="1" applyBorder="1" applyAlignment="1">
      <alignment horizontal="center" vertical="center"/>
    </xf>
    <xf numFmtId="4" fontId="19" fillId="0" borderId="108" xfId="6" applyNumberFormat="1" applyFont="1" applyBorder="1" applyAlignment="1">
      <alignment horizontal="right" vertical="center"/>
    </xf>
    <xf numFmtId="1" fontId="19" fillId="0" borderId="45" xfId="6" applyNumberFormat="1" applyFont="1" applyBorder="1" applyAlignment="1">
      <alignment horizontal="center" vertical="center"/>
    </xf>
    <xf numFmtId="4" fontId="19" fillId="0" borderId="45" xfId="6" applyNumberFormat="1" applyFont="1" applyBorder="1" applyAlignment="1">
      <alignment horizontal="right" vertical="center"/>
    </xf>
    <xf numFmtId="1" fontId="19" fillId="0" borderId="1" xfId="6" applyNumberFormat="1" applyFont="1" applyBorder="1" applyAlignment="1">
      <alignment horizontal="center" vertical="center"/>
    </xf>
    <xf numFmtId="4" fontId="19" fillId="0" borderId="1" xfId="6" applyNumberFormat="1" applyFont="1" applyBorder="1" applyAlignment="1">
      <alignment horizontal="right" vertical="center"/>
    </xf>
    <xf numFmtId="43" fontId="73" fillId="4" borderId="113" xfId="0" applyNumberFormat="1" applyFont="1" applyFill="1" applyBorder="1"/>
    <xf numFmtId="4" fontId="45" fillId="30" borderId="77" xfId="0" applyNumberFormat="1" applyFont="1" applyFill="1" applyBorder="1"/>
    <xf numFmtId="0" fontId="0" fillId="32" borderId="0" xfId="0" applyFill="1" applyAlignment="1">
      <alignment horizontal="center"/>
    </xf>
    <xf numFmtId="17" fontId="0" fillId="32" borderId="1" xfId="0" applyNumberFormat="1" applyFill="1" applyBorder="1" applyAlignment="1">
      <alignment horizontal="center"/>
    </xf>
    <xf numFmtId="0" fontId="74" fillId="0" borderId="81" xfId="0" applyFont="1" applyBorder="1"/>
    <xf numFmtId="0" fontId="0" fillId="2" borderId="0" xfId="0" applyFill="1" applyAlignment="1">
      <alignment horizontal="center"/>
    </xf>
    <xf numFmtId="0" fontId="48" fillId="3" borderId="0" xfId="0" applyFont="1" applyFill="1" applyAlignment="1">
      <alignment horizontal="left"/>
    </xf>
    <xf numFmtId="2" fontId="0" fillId="0" borderId="0" xfId="3" applyNumberFormat="1" applyFont="1"/>
    <xf numFmtId="0" fontId="0" fillId="30" borderId="81" xfId="0" applyFill="1" applyBorder="1" applyAlignment="1">
      <alignment horizontal="left"/>
    </xf>
    <xf numFmtId="177" fontId="19" fillId="4" borderId="19" xfId="0" applyNumberFormat="1" applyFont="1" applyFill="1" applyBorder="1" applyAlignment="1">
      <alignment horizontal="right" vertical="center"/>
    </xf>
    <xf numFmtId="177" fontId="19" fillId="2" borderId="19" xfId="0" applyNumberFormat="1" applyFont="1" applyFill="1" applyBorder="1" applyAlignment="1">
      <alignment horizontal="right" vertical="center"/>
    </xf>
    <xf numFmtId="175" fontId="19" fillId="4" borderId="19" xfId="0" applyNumberFormat="1" applyFont="1" applyFill="1" applyBorder="1" applyAlignment="1">
      <alignment horizontal="right" vertical="center"/>
    </xf>
    <xf numFmtId="175" fontId="19" fillId="4" borderId="18" xfId="0" applyNumberFormat="1" applyFont="1" applyFill="1" applyBorder="1" applyAlignment="1">
      <alignment horizontal="right" vertical="center"/>
    </xf>
    <xf numFmtId="175" fontId="19" fillId="26" borderId="60" xfId="0" applyNumberFormat="1" applyFont="1" applyFill="1" applyBorder="1" applyAlignment="1">
      <alignment horizontal="right" vertical="center"/>
    </xf>
    <xf numFmtId="175" fontId="19" fillId="26" borderId="18" xfId="0" applyNumberFormat="1" applyFont="1" applyFill="1" applyBorder="1" applyAlignment="1">
      <alignment horizontal="right" vertical="center"/>
    </xf>
    <xf numFmtId="17" fontId="0" fillId="32" borderId="1" xfId="0" applyNumberFormat="1" applyFill="1" applyBorder="1" applyAlignment="1">
      <alignment horizontal="left"/>
    </xf>
    <xf numFmtId="0" fontId="46" fillId="0" borderId="81" xfId="8" applyBorder="1" applyAlignment="1">
      <alignment horizontal="left"/>
    </xf>
    <xf numFmtId="0" fontId="46" fillId="0" borderId="0" xfId="8"/>
    <xf numFmtId="2" fontId="0" fillId="2" borderId="0" xfId="0" applyNumberFormat="1" applyFill="1"/>
    <xf numFmtId="0" fontId="75" fillId="0" borderId="115" xfId="0" applyFont="1" applyBorder="1" applyAlignment="1">
      <alignment wrapText="1"/>
    </xf>
    <xf numFmtId="4" fontId="76" fillId="0" borderId="115" xfId="0" applyNumberFormat="1" applyFont="1" applyBorder="1"/>
    <xf numFmtId="0" fontId="75" fillId="0" borderId="116" xfId="0" applyFont="1" applyBorder="1" applyAlignment="1">
      <alignment wrapText="1"/>
    </xf>
    <xf numFmtId="4" fontId="76" fillId="0" borderId="116" xfId="0" applyNumberFormat="1" applyFont="1" applyBorder="1"/>
    <xf numFmtId="0" fontId="77" fillId="0" borderId="116" xfId="0" applyFont="1" applyBorder="1" applyAlignment="1">
      <alignment wrapText="1"/>
    </xf>
    <xf numFmtId="4" fontId="78" fillId="0" borderId="116" xfId="0" applyNumberFormat="1" applyFont="1" applyBorder="1"/>
    <xf numFmtId="0" fontId="79" fillId="0" borderId="116" xfId="0" applyFont="1" applyBorder="1" applyAlignment="1">
      <alignment wrapText="1"/>
    </xf>
    <xf numFmtId="4" fontId="80" fillId="0" borderId="116" xfId="0" applyNumberFormat="1" applyFont="1" applyBorder="1"/>
    <xf numFmtId="4" fontId="49" fillId="0" borderId="0" xfId="0" applyNumberFormat="1" applyFont="1" applyAlignment="1">
      <alignment horizontal="center"/>
    </xf>
    <xf numFmtId="3" fontId="49" fillId="0" borderId="0" xfId="0" applyNumberFormat="1" applyFont="1" applyAlignment="1">
      <alignment horizontal="center"/>
    </xf>
    <xf numFmtId="14" fontId="49" fillId="0" borderId="0" xfId="0" applyNumberFormat="1" applyFont="1"/>
    <xf numFmtId="0" fontId="2" fillId="21" borderId="112" xfId="0" applyFont="1" applyFill="1" applyBorder="1" applyAlignment="1">
      <alignment horizontal="center" vertical="center" wrapText="1"/>
    </xf>
    <xf numFmtId="0" fontId="2" fillId="4" borderId="12" xfId="0" applyFont="1" applyFill="1" applyBorder="1" applyAlignment="1">
      <alignment horizontal="center"/>
    </xf>
    <xf numFmtId="0" fontId="2" fillId="4" borderId="18" xfId="0" applyFont="1" applyFill="1" applyBorder="1"/>
    <xf numFmtId="0" fontId="2" fillId="4" borderId="10" xfId="0" applyFont="1" applyFill="1" applyBorder="1" applyAlignment="1">
      <alignment horizontal="center"/>
    </xf>
    <xf numFmtId="3" fontId="2" fillId="2" borderId="91" xfId="0" applyNumberFormat="1" applyFont="1" applyFill="1" applyBorder="1"/>
    <xf numFmtId="0" fontId="2" fillId="2" borderId="113" xfId="0" applyFont="1" applyFill="1" applyBorder="1"/>
    <xf numFmtId="43" fontId="0" fillId="0" borderId="0" xfId="1" applyFont="1" applyFill="1" applyBorder="1" applyAlignment="1"/>
    <xf numFmtId="0" fontId="46" fillId="0" borderId="0" xfId="8" applyAlignment="1"/>
    <xf numFmtId="178" fontId="71" fillId="2" borderId="1" xfId="0" applyNumberFormat="1" applyFont="1" applyFill="1" applyBorder="1" applyAlignment="1">
      <alignment horizontal="right"/>
    </xf>
    <xf numFmtId="178" fontId="49" fillId="0" borderId="61" xfId="0" applyNumberFormat="1" applyFont="1" applyBorder="1" applyAlignment="1">
      <alignment vertical="center" wrapText="1"/>
    </xf>
    <xf numFmtId="3" fontId="71" fillId="3" borderId="1" xfId="0" applyNumberFormat="1" applyFont="1" applyFill="1" applyBorder="1"/>
    <xf numFmtId="4" fontId="2" fillId="2" borderId="91" xfId="0" applyNumberFormat="1" applyFont="1" applyFill="1" applyBorder="1"/>
    <xf numFmtId="43" fontId="2" fillId="2" borderId="91" xfId="0" applyNumberFormat="1" applyFont="1" applyFill="1" applyBorder="1"/>
    <xf numFmtId="43" fontId="0" fillId="2" borderId="91" xfId="0" applyNumberFormat="1" applyFill="1" applyBorder="1"/>
    <xf numFmtId="43" fontId="2" fillId="4" borderId="19" xfId="0" applyNumberFormat="1" applyFont="1" applyFill="1" applyBorder="1"/>
    <xf numFmtId="0" fontId="51" fillId="30" borderId="19" xfId="0" applyFont="1" applyFill="1" applyBorder="1" applyAlignment="1">
      <alignment horizontal="left" vertical="center" wrapText="1"/>
    </xf>
    <xf numFmtId="177" fontId="19" fillId="30" borderId="19" xfId="0" applyNumberFormat="1" applyFont="1" applyFill="1" applyBorder="1" applyAlignment="1">
      <alignment horizontal="right" vertical="center"/>
    </xf>
    <xf numFmtId="175" fontId="19" fillId="30" borderId="19" xfId="0" applyNumberFormat="1" applyFont="1" applyFill="1" applyBorder="1" applyAlignment="1">
      <alignment horizontal="right" vertical="center"/>
    </xf>
    <xf numFmtId="4" fontId="40" fillId="30" borderId="78" xfId="0" applyNumberFormat="1" applyFont="1" applyFill="1" applyBorder="1" applyAlignment="1">
      <alignment horizontal="center" vertical="center"/>
    </xf>
    <xf numFmtId="49" fontId="62" fillId="31" borderId="76" xfId="0" applyNumberFormat="1" applyFont="1" applyFill="1" applyBorder="1" applyAlignment="1">
      <alignment wrapText="1"/>
    </xf>
    <xf numFmtId="0" fontId="9" fillId="0" borderId="0" xfId="0" applyFont="1" applyAlignment="1">
      <alignment horizontal="left"/>
    </xf>
    <xf numFmtId="43" fontId="0" fillId="0" borderId="0" xfId="1" applyFont="1" applyBorder="1" applyAlignment="1">
      <alignment wrapText="1"/>
    </xf>
    <xf numFmtId="43" fontId="0" fillId="0" borderId="0" xfId="2" applyNumberFormat="1" applyFont="1" applyBorder="1" applyAlignment="1">
      <alignment horizontal="center" wrapText="1"/>
    </xf>
    <xf numFmtId="169" fontId="0" fillId="3" borderId="0" xfId="0" applyNumberFormat="1" applyFill="1"/>
    <xf numFmtId="10" fontId="0" fillId="2" borderId="0" xfId="0" applyNumberFormat="1" applyFill="1" applyAlignment="1">
      <alignment wrapText="1"/>
    </xf>
    <xf numFmtId="178" fontId="0" fillId="2" borderId="0" xfId="0" applyNumberFormat="1" applyFill="1" applyAlignment="1">
      <alignment wrapText="1"/>
    </xf>
    <xf numFmtId="10" fontId="0" fillId="2" borderId="0" xfId="0" applyNumberFormat="1" applyFill="1" applyAlignment="1">
      <alignment horizontal="right" wrapText="1"/>
    </xf>
    <xf numFmtId="0" fontId="2" fillId="6" borderId="8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81" xfId="0" applyFont="1" applyFill="1" applyBorder="1" applyAlignment="1">
      <alignment horizontal="center" vertical="center" wrapText="1"/>
    </xf>
    <xf numFmtId="0" fontId="9" fillId="6" borderId="17" xfId="0" applyFont="1" applyFill="1" applyBorder="1"/>
    <xf numFmtId="43" fontId="0" fillId="6" borderId="16" xfId="0" applyNumberFormat="1" applyFill="1" applyBorder="1" applyAlignment="1">
      <alignment wrapText="1"/>
    </xf>
    <xf numFmtId="43" fontId="0" fillId="6" borderId="16" xfId="0" applyNumberFormat="1" applyFill="1" applyBorder="1" applyAlignment="1">
      <alignment horizontal="center" wrapText="1"/>
    </xf>
    <xf numFmtId="0" fontId="0" fillId="6" borderId="16" xfId="0" applyFill="1" applyBorder="1" applyAlignment="1">
      <alignment wrapText="1"/>
    </xf>
    <xf numFmtId="0" fontId="0" fillId="6" borderId="15" xfId="0" applyFill="1" applyBorder="1" applyAlignment="1">
      <alignment wrapText="1"/>
    </xf>
    <xf numFmtId="0" fontId="0" fillId="6" borderId="16" xfId="0" applyFill="1" applyBorder="1" applyAlignment="1">
      <alignment horizontal="center" wrapText="1"/>
    </xf>
    <xf numFmtId="0" fontId="0" fillId="6" borderId="15" xfId="0" applyFill="1" applyBorder="1" applyAlignment="1">
      <alignment horizontal="center" wrapText="1"/>
    </xf>
    <xf numFmtId="0" fontId="0" fillId="6" borderId="82" xfId="0" applyFill="1" applyBorder="1"/>
    <xf numFmtId="0" fontId="0" fillId="6" borderId="1" xfId="0" applyFill="1" applyBorder="1" applyAlignment="1">
      <alignment horizontal="center" wrapText="1"/>
    </xf>
    <xf numFmtId="0" fontId="0" fillId="6" borderId="82" xfId="0" applyFill="1" applyBorder="1" applyAlignment="1">
      <alignment horizontal="center"/>
    </xf>
    <xf numFmtId="0" fontId="0" fillId="6" borderId="1" xfId="0" applyFill="1" applyBorder="1" applyAlignment="1">
      <alignment horizontal="center"/>
    </xf>
    <xf numFmtId="0" fontId="0" fillId="6" borderId="82" xfId="0" applyFill="1" applyBorder="1" applyAlignment="1">
      <alignment horizontal="center" wrapText="1"/>
    </xf>
    <xf numFmtId="0" fontId="0" fillId="6" borderId="81" xfId="0" applyFill="1" applyBorder="1" applyAlignment="1">
      <alignment horizontal="center" wrapText="1"/>
    </xf>
    <xf numFmtId="178" fontId="0" fillId="0" borderId="0" xfId="2" applyNumberFormat="1" applyFont="1" applyBorder="1" applyAlignment="1">
      <alignment horizontal="left" wrapText="1"/>
    </xf>
    <xf numFmtId="43" fontId="0" fillId="0" borderId="89" xfId="0" applyNumberFormat="1" applyBorder="1"/>
    <xf numFmtId="0" fontId="81" fillId="33" borderId="87" xfId="0" applyFont="1" applyFill="1" applyBorder="1" applyAlignment="1">
      <alignment wrapText="1"/>
    </xf>
    <xf numFmtId="0" fontId="81" fillId="33" borderId="86" xfId="0" applyFont="1" applyFill="1" applyBorder="1" applyAlignment="1">
      <alignment wrapText="1"/>
    </xf>
    <xf numFmtId="0" fontId="82" fillId="0" borderId="87" xfId="0" applyFont="1" applyBorder="1" applyAlignment="1">
      <alignment wrapText="1"/>
    </xf>
    <xf numFmtId="0" fontId="82" fillId="0" borderId="86" xfId="0" applyFont="1" applyBorder="1" applyAlignment="1">
      <alignment wrapText="1"/>
    </xf>
    <xf numFmtId="178" fontId="0" fillId="0" borderId="0" xfId="0" applyNumberFormat="1"/>
    <xf numFmtId="43" fontId="0" fillId="28" borderId="89" xfId="0" applyNumberFormat="1" applyFill="1" applyBorder="1"/>
    <xf numFmtId="43" fontId="0" fillId="0" borderId="79" xfId="0" applyNumberFormat="1" applyBorder="1" applyAlignment="1">
      <alignment horizontal="center" wrapText="1"/>
    </xf>
    <xf numFmtId="0" fontId="44" fillId="34" borderId="19" xfId="0" applyFont="1" applyFill="1" applyBorder="1" applyAlignment="1">
      <alignment horizontal="center" vertical="center"/>
    </xf>
    <xf numFmtId="0" fontId="44" fillId="34" borderId="76" xfId="0" applyFont="1" applyFill="1" applyBorder="1" applyAlignment="1">
      <alignment horizontal="center" vertical="center"/>
    </xf>
    <xf numFmtId="43" fontId="0" fillId="3" borderId="0" xfId="0" applyNumberFormat="1" applyFill="1"/>
    <xf numFmtId="2" fontId="83" fillId="0" borderId="0" xfId="0" applyNumberFormat="1" applyFont="1"/>
    <xf numFmtId="179" fontId="0" fillId="0" borderId="0" xfId="0" applyNumberFormat="1"/>
    <xf numFmtId="169" fontId="2" fillId="0" borderId="1" xfId="0" applyNumberFormat="1" applyFont="1" applyBorder="1" applyAlignment="1">
      <alignment horizontal="center"/>
    </xf>
    <xf numFmtId="0" fontId="74" fillId="0" borderId="0" xfId="0" applyFont="1"/>
    <xf numFmtId="0" fontId="0" fillId="0" borderId="109" xfId="0" applyBorder="1" applyAlignment="1">
      <alignment horizontal="center" wrapText="1"/>
    </xf>
    <xf numFmtId="43" fontId="0" fillId="0" borderId="89" xfId="1" applyFont="1" applyFill="1" applyBorder="1" applyAlignment="1">
      <alignment horizontal="center" wrapText="1"/>
    </xf>
    <xf numFmtId="0" fontId="0" fillId="0" borderId="111" xfId="0" applyBorder="1" applyAlignment="1">
      <alignment horizontal="center" wrapText="1"/>
    </xf>
    <xf numFmtId="169" fontId="47" fillId="3" borderId="102" xfId="0" applyNumberFormat="1" applyFont="1" applyFill="1" applyBorder="1" applyAlignment="1">
      <alignment horizontal="center" wrapText="1"/>
    </xf>
    <xf numFmtId="0" fontId="0" fillId="2" borderId="121" xfId="0" applyFill="1" applyBorder="1" applyAlignment="1">
      <alignment wrapText="1"/>
    </xf>
    <xf numFmtId="10" fontId="0" fillId="2" borderId="121" xfId="0" applyNumberFormat="1" applyFill="1" applyBorder="1" applyAlignment="1">
      <alignment wrapText="1"/>
    </xf>
    <xf numFmtId="10" fontId="47" fillId="3" borderId="109" xfId="0" applyNumberFormat="1" applyFont="1" applyFill="1" applyBorder="1" applyAlignment="1">
      <alignment horizontal="center"/>
    </xf>
    <xf numFmtId="172" fontId="0" fillId="0" borderId="121" xfId="0" applyNumberFormat="1" applyBorder="1"/>
    <xf numFmtId="0" fontId="0" fillId="0" borderId="122" xfId="0" applyBorder="1"/>
    <xf numFmtId="180" fontId="0" fillId="0" borderId="0" xfId="0" applyNumberFormat="1"/>
    <xf numFmtId="172" fontId="0" fillId="0" borderId="0" xfId="0" applyNumberFormat="1" applyAlignment="1">
      <alignment wrapText="1"/>
    </xf>
    <xf numFmtId="10" fontId="0" fillId="0" borderId="0" xfId="2" applyNumberFormat="1" applyFont="1" applyAlignment="1">
      <alignment wrapText="1"/>
    </xf>
    <xf numFmtId="43" fontId="0" fillId="0" borderId="0" xfId="1" applyFont="1" applyAlignment="1">
      <alignment wrapText="1"/>
    </xf>
    <xf numFmtId="0" fontId="2" fillId="21" borderId="123" xfId="0" applyFont="1" applyFill="1" applyBorder="1" applyAlignment="1">
      <alignment horizontal="center" vertical="center" wrapText="1"/>
    </xf>
    <xf numFmtId="0" fontId="33" fillId="0" borderId="125" xfId="6" applyFont="1" applyBorder="1" applyAlignment="1">
      <alignment horizontal="center" vertical="center"/>
    </xf>
    <xf numFmtId="0" fontId="33" fillId="0" borderId="126" xfId="6" applyFont="1" applyBorder="1" applyAlignment="1">
      <alignment horizontal="center" vertical="center"/>
    </xf>
    <xf numFmtId="3" fontId="17" fillId="0" borderId="125" xfId="0" applyNumberFormat="1" applyFont="1" applyBorder="1" applyAlignment="1" applyProtection="1">
      <alignment horizontal="center" vertical="center"/>
      <protection locked="0"/>
    </xf>
    <xf numFmtId="4" fontId="17" fillId="17" borderId="125" xfId="6" applyNumberFormat="1" applyFont="1" applyFill="1" applyBorder="1" applyAlignment="1">
      <alignment horizontal="right" vertical="center"/>
    </xf>
    <xf numFmtId="49" fontId="17" fillId="0" borderId="127" xfId="6" applyNumberFormat="1" applyFont="1" applyBorder="1" applyAlignment="1">
      <alignment horizontal="left" vertical="center"/>
    </xf>
    <xf numFmtId="49" fontId="17" fillId="0" borderId="128" xfId="6" applyNumberFormat="1" applyFont="1" applyBorder="1" applyAlignment="1">
      <alignment horizontal="left" vertical="center"/>
    </xf>
    <xf numFmtId="49" fontId="17" fillId="0" borderId="126" xfId="6" applyNumberFormat="1" applyFont="1" applyBorder="1" applyAlignment="1">
      <alignment horizontal="left" vertical="center"/>
    </xf>
    <xf numFmtId="4" fontId="20" fillId="17" borderId="125" xfId="6" applyNumberFormat="1" applyFont="1" applyFill="1" applyBorder="1" applyAlignment="1">
      <alignment horizontal="right" vertical="center"/>
    </xf>
    <xf numFmtId="0" fontId="20" fillId="15" borderId="124" xfId="6" applyFont="1" applyFill="1" applyBorder="1" applyAlignment="1">
      <alignment horizontal="right" vertical="center"/>
    </xf>
    <xf numFmtId="0" fontId="34" fillId="0" borderId="125" xfId="0" applyFont="1" applyBorder="1" applyAlignment="1">
      <alignment horizontal="center"/>
    </xf>
    <xf numFmtId="4" fontId="34" fillId="0" borderId="125" xfId="0" applyNumberFormat="1" applyFont="1" applyBorder="1" applyProtection="1">
      <protection locked="0"/>
    </xf>
    <xf numFmtId="4" fontId="17" fillId="0" borderId="125" xfId="7" applyNumberFormat="1" applyFont="1" applyBorder="1" applyAlignment="1">
      <alignment horizontal="right" vertical="center"/>
    </xf>
    <xf numFmtId="0" fontId="17" fillId="0" borderId="125" xfId="6" applyFont="1" applyBorder="1" applyAlignment="1">
      <alignment horizontal="center" vertical="center"/>
    </xf>
    <xf numFmtId="0" fontId="17" fillId="0" borderId="126" xfId="6" applyFont="1" applyBorder="1" applyAlignment="1">
      <alignment horizontal="center" vertical="center"/>
    </xf>
    <xf numFmtId="4" fontId="17" fillId="0" borderId="125" xfId="6" applyNumberFormat="1" applyFont="1" applyBorder="1" applyAlignment="1">
      <alignment horizontal="right" vertical="center"/>
    </xf>
    <xf numFmtId="4" fontId="17" fillId="0" borderId="127" xfId="6" applyNumberFormat="1" applyFont="1" applyBorder="1" applyAlignment="1">
      <alignment horizontal="right" vertical="center"/>
    </xf>
    <xf numFmtId="4" fontId="20" fillId="0" borderId="124" xfId="6" applyNumberFormat="1" applyFont="1" applyBorder="1" applyAlignment="1">
      <alignment horizontal="right" vertical="center"/>
    </xf>
    <xf numFmtId="49" fontId="31" fillId="0" borderId="128" xfId="6" applyNumberFormat="1" applyFont="1" applyBorder="1" applyAlignment="1">
      <alignment horizontal="left" vertical="center"/>
    </xf>
    <xf numFmtId="1" fontId="19" fillId="0" borderId="126" xfId="0" applyNumberFormat="1" applyFont="1" applyBorder="1" applyAlignment="1">
      <alignment horizontal="center" vertical="center"/>
    </xf>
    <xf numFmtId="4" fontId="19" fillId="17" borderId="125" xfId="6" applyNumberFormat="1" applyFont="1" applyFill="1" applyBorder="1" applyAlignment="1">
      <alignment horizontal="right" vertical="center"/>
    </xf>
    <xf numFmtId="4" fontId="19" fillId="0" borderId="125" xfId="6" applyNumberFormat="1" applyFont="1" applyBorder="1" applyAlignment="1">
      <alignment horizontal="right" vertical="center"/>
    </xf>
    <xf numFmtId="49" fontId="17" fillId="0" borderId="130" xfId="6" applyNumberFormat="1" applyFont="1" applyBorder="1" applyAlignment="1">
      <alignment horizontal="left" vertical="center"/>
    </xf>
    <xf numFmtId="49" fontId="17" fillId="0" borderId="131" xfId="6" applyNumberFormat="1" applyFont="1" applyBorder="1" applyAlignment="1">
      <alignment horizontal="left" vertical="center"/>
    </xf>
    <xf numFmtId="49" fontId="17" fillId="0" borderId="132" xfId="6" applyNumberFormat="1" applyFont="1" applyBorder="1" applyAlignment="1">
      <alignment horizontal="left" vertical="center"/>
    </xf>
    <xf numFmtId="4" fontId="19" fillId="0" borderId="133" xfId="6" applyNumberFormat="1" applyFont="1" applyBorder="1" applyAlignment="1">
      <alignment horizontal="right" vertical="center"/>
    </xf>
    <xf numFmtId="39" fontId="32" fillId="0" borderId="125" xfId="0" applyNumberFormat="1" applyFont="1" applyBorder="1" applyAlignment="1" applyProtection="1">
      <alignment horizontal="center" vertical="center"/>
      <protection locked="0"/>
    </xf>
    <xf numFmtId="1" fontId="17" fillId="0" borderId="125" xfId="6" applyNumberFormat="1" applyFont="1" applyBorder="1" applyAlignment="1">
      <alignment horizontal="center" vertical="center"/>
    </xf>
    <xf numFmtId="39" fontId="32" fillId="0" borderId="133" xfId="0" applyNumberFormat="1" applyFont="1" applyBorder="1" applyAlignment="1" applyProtection="1">
      <alignment horizontal="center" vertical="center"/>
      <protection locked="0"/>
    </xf>
    <xf numFmtId="1" fontId="19" fillId="0" borderId="133" xfId="6" applyNumberFormat="1" applyFont="1" applyBorder="1" applyAlignment="1">
      <alignment horizontal="center" vertical="center"/>
    </xf>
    <xf numFmtId="4" fontId="17" fillId="0" borderId="133" xfId="6" applyNumberFormat="1" applyFont="1" applyBorder="1" applyAlignment="1">
      <alignment horizontal="right" vertical="center"/>
    </xf>
    <xf numFmtId="1" fontId="19" fillId="0" borderId="125" xfId="6" applyNumberFormat="1" applyFont="1" applyBorder="1" applyAlignment="1">
      <alignment horizontal="center" vertical="center"/>
    </xf>
    <xf numFmtId="39" fontId="17" fillId="0" borderId="125" xfId="0" applyNumberFormat="1" applyFont="1" applyBorder="1" applyAlignment="1" applyProtection="1">
      <alignment horizontal="center" vertical="center"/>
      <protection locked="0"/>
    </xf>
    <xf numFmtId="1" fontId="72" fillId="0" borderId="125" xfId="6" applyNumberFormat="1" applyFont="1" applyBorder="1" applyAlignment="1">
      <alignment horizontal="center" vertical="center"/>
    </xf>
    <xf numFmtId="4" fontId="72" fillId="0" borderId="125" xfId="6" applyNumberFormat="1" applyFont="1" applyBorder="1" applyAlignment="1">
      <alignment horizontal="right" vertical="center"/>
    </xf>
    <xf numFmtId="49" fontId="17" fillId="0" borderId="128" xfId="6" applyNumberFormat="1" applyFont="1" applyBorder="1" applyAlignment="1">
      <alignment horizontal="left" vertical="center" wrapText="1"/>
    </xf>
    <xf numFmtId="39" fontId="17" fillId="0" borderId="133" xfId="0" applyNumberFormat="1" applyFont="1" applyBorder="1" applyAlignment="1" applyProtection="1">
      <alignment horizontal="center" vertical="center"/>
      <protection locked="0"/>
    </xf>
    <xf numFmtId="174" fontId="0" fillId="13" borderId="136" xfId="0" applyNumberFormat="1" applyFill="1" applyBorder="1"/>
    <xf numFmtId="0" fontId="30" fillId="0" borderId="136" xfId="0" applyFont="1" applyBorder="1" applyAlignment="1">
      <alignment horizontal="left" vertical="center"/>
    </xf>
    <xf numFmtId="0" fontId="4" fillId="0" borderId="137" xfId="0" applyFont="1" applyBorder="1"/>
    <xf numFmtId="4" fontId="0" fillId="13" borderId="136" xfId="0" applyNumberFormat="1" applyFill="1" applyBorder="1"/>
    <xf numFmtId="0" fontId="0" fillId="0" borderId="137" xfId="0" applyBorder="1"/>
    <xf numFmtId="4" fontId="0" fillId="0" borderId="136" xfId="0" applyNumberFormat="1" applyBorder="1"/>
    <xf numFmtId="17" fontId="0" fillId="9" borderId="137" xfId="0" applyNumberFormat="1" applyFill="1" applyBorder="1"/>
    <xf numFmtId="0" fontId="0" fillId="9" borderId="136" xfId="0" applyFill="1" applyBorder="1"/>
    <xf numFmtId="0" fontId="49" fillId="0" borderId="138" xfId="0" applyFont="1" applyBorder="1"/>
    <xf numFmtId="0" fontId="84" fillId="0" borderId="0" xfId="0" applyFont="1"/>
    <xf numFmtId="166" fontId="0" fillId="0" borderId="0" xfId="0" applyNumberFormat="1"/>
    <xf numFmtId="0" fontId="2" fillId="6" borderId="1" xfId="0" applyFont="1" applyFill="1" applyBorder="1" applyAlignment="1">
      <alignment horizontal="center" vertical="center"/>
    </xf>
    <xf numFmtId="0" fontId="2" fillId="6" borderId="1" xfId="0" applyFont="1" applyFill="1" applyBorder="1" applyAlignment="1">
      <alignment horizontal="center"/>
    </xf>
    <xf numFmtId="43" fontId="2" fillId="0" borderId="0" xfId="1" applyFont="1" applyAlignment="1">
      <alignment horizontal="center"/>
    </xf>
    <xf numFmtId="44" fontId="0" fillId="3" borderId="0" xfId="3" applyFont="1" applyFill="1"/>
    <xf numFmtId="178" fontId="0" fillId="0" borderId="0" xfId="3" applyNumberFormat="1" applyFont="1"/>
    <xf numFmtId="166" fontId="0" fillId="3" borderId="0" xfId="0" applyNumberFormat="1" applyFill="1" applyAlignment="1">
      <alignment horizontal="center"/>
    </xf>
    <xf numFmtId="10" fontId="0" fillId="0" borderId="0" xfId="2" applyNumberFormat="1" applyFont="1"/>
    <xf numFmtId="166" fontId="0" fillId="0" borderId="0" xfId="2" applyNumberFormat="1" applyFont="1" applyAlignment="1">
      <alignment horizontal="center" wrapText="1"/>
    </xf>
    <xf numFmtId="44" fontId="0" fillId="0" borderId="0" xfId="3" applyFont="1" applyAlignment="1">
      <alignment horizontal="center" wrapText="1"/>
    </xf>
    <xf numFmtId="8" fontId="0" fillId="0" borderId="0" xfId="0" applyNumberFormat="1" applyAlignment="1">
      <alignment wrapText="1"/>
    </xf>
    <xf numFmtId="44" fontId="0" fillId="0" borderId="0" xfId="3" applyFont="1" applyAlignment="1">
      <alignment wrapText="1"/>
    </xf>
    <xf numFmtId="180" fontId="0" fillId="0" borderId="0" xfId="0" applyNumberFormat="1" applyAlignment="1">
      <alignment wrapText="1"/>
    </xf>
    <xf numFmtId="182" fontId="0" fillId="0" borderId="0" xfId="3" applyNumberFormat="1" applyFont="1" applyAlignment="1">
      <alignment horizontal="center" wrapText="1"/>
    </xf>
    <xf numFmtId="183" fontId="0" fillId="0" borderId="0" xfId="0" applyNumberFormat="1" applyAlignment="1">
      <alignment wrapText="1"/>
    </xf>
    <xf numFmtId="172" fontId="0" fillId="0" borderId="0" xfId="1" applyNumberFormat="1" applyFont="1" applyAlignment="1">
      <alignment wrapText="1"/>
    </xf>
    <xf numFmtId="176" fontId="0" fillId="0" borderId="0" xfId="1" applyNumberFormat="1" applyFont="1" applyAlignment="1">
      <alignment wrapText="1"/>
    </xf>
    <xf numFmtId="181" fontId="0" fillId="0" borderId="0" xfId="3" applyNumberFormat="1" applyFont="1" applyAlignment="1">
      <alignment wrapText="1"/>
    </xf>
    <xf numFmtId="184" fontId="0" fillId="0" borderId="0" xfId="0" applyNumberFormat="1" applyAlignment="1">
      <alignment wrapText="1"/>
    </xf>
    <xf numFmtId="182" fontId="0" fillId="0" borderId="0" xfId="1" applyNumberFormat="1" applyFont="1" applyAlignment="1">
      <alignment wrapText="1"/>
    </xf>
    <xf numFmtId="43" fontId="0" fillId="0" borderId="0" xfId="1" applyFont="1" applyFill="1" applyBorder="1" applyAlignment="1">
      <alignment horizontal="center" vertical="center"/>
    </xf>
    <xf numFmtId="172" fontId="0" fillId="0" borderId="0" xfId="0" applyNumberFormat="1"/>
    <xf numFmtId="2" fontId="27" fillId="30" borderId="111" xfId="0" applyNumberFormat="1" applyFont="1" applyFill="1" applyBorder="1"/>
    <xf numFmtId="2" fontId="27" fillId="30" borderId="1" xfId="0" applyNumberFormat="1" applyFont="1" applyFill="1" applyBorder="1"/>
    <xf numFmtId="0" fontId="17" fillId="24" borderId="1" xfId="0" applyFont="1" applyFill="1" applyBorder="1" applyAlignment="1">
      <alignment horizontal="left" vertical="center" wrapText="1"/>
    </xf>
    <xf numFmtId="0" fontId="17" fillId="24" borderId="1" xfId="0" applyFont="1" applyFill="1" applyBorder="1" applyAlignment="1">
      <alignment horizontal="center" vertical="center" wrapText="1"/>
    </xf>
    <xf numFmtId="0" fontId="17" fillId="24" borderId="1" xfId="0" applyFont="1" applyFill="1" applyBorder="1" applyAlignment="1">
      <alignment horizontal="right" vertical="center" wrapText="1"/>
    </xf>
    <xf numFmtId="4" fontId="17" fillId="24" borderId="1" xfId="0" applyNumberFormat="1" applyFont="1" applyFill="1" applyBorder="1" applyAlignment="1">
      <alignment horizontal="right" vertical="center" wrapText="1"/>
    </xf>
    <xf numFmtId="10" fontId="0" fillId="24" borderId="1" xfId="0" applyNumberFormat="1" applyFill="1" applyBorder="1"/>
    <xf numFmtId="0" fontId="0" fillId="24" borderId="0" xfId="0" applyFill="1"/>
    <xf numFmtId="43" fontId="17" fillId="24" borderId="1" xfId="1" applyFont="1" applyFill="1" applyBorder="1" applyAlignment="1">
      <alignment horizontal="right" vertical="center" wrapText="1"/>
    </xf>
    <xf numFmtId="43" fontId="24" fillId="0" borderId="0" xfId="0" applyNumberFormat="1" applyFont="1"/>
    <xf numFmtId="43" fontId="2" fillId="0" borderId="1" xfId="0" applyNumberFormat="1" applyFont="1" applyBorder="1"/>
    <xf numFmtId="43" fontId="0" fillId="24" borderId="1" xfId="1" applyFont="1" applyFill="1" applyBorder="1"/>
    <xf numFmtId="0" fontId="41" fillId="24" borderId="0" xfId="0" applyFont="1" applyFill="1"/>
    <xf numFmtId="4" fontId="41" fillId="24" borderId="0" xfId="0" applyNumberFormat="1" applyFont="1" applyFill="1"/>
    <xf numFmtId="4" fontId="2" fillId="24" borderId="0" xfId="0" applyNumberFormat="1" applyFont="1" applyFill="1"/>
    <xf numFmtId="0" fontId="6" fillId="0" borderId="4" xfId="0" applyFont="1" applyBorder="1" applyAlignment="1">
      <alignment horizontal="center" vertical="center" wrapText="1"/>
    </xf>
    <xf numFmtId="0" fontId="61" fillId="0" borderId="0" xfId="0" applyFont="1"/>
    <xf numFmtId="44" fontId="1" fillId="0" borderId="1" xfId="1" applyNumberFormat="1" applyFont="1" applyBorder="1"/>
    <xf numFmtId="44" fontId="2" fillId="0" borderId="1" xfId="1" applyNumberFormat="1" applyFont="1" applyBorder="1"/>
    <xf numFmtId="44" fontId="2" fillId="6" borderId="1" xfId="1" applyNumberFormat="1" applyFont="1" applyFill="1" applyBorder="1"/>
    <xf numFmtId="0" fontId="85" fillId="3" borderId="4" xfId="0" applyFont="1" applyFill="1" applyBorder="1" applyAlignment="1">
      <alignment horizontal="left" vertical="top"/>
    </xf>
    <xf numFmtId="0" fontId="2" fillId="6" borderId="77" xfId="0" applyFont="1" applyFill="1" applyBorder="1" applyAlignment="1">
      <alignment horizontal="center" vertical="center"/>
    </xf>
    <xf numFmtId="0" fontId="2" fillId="19" borderId="4" xfId="0" applyFont="1" applyFill="1" applyBorder="1" applyAlignment="1">
      <alignment horizontal="center"/>
    </xf>
    <xf numFmtId="0" fontId="2" fillId="19" borderId="71" xfId="0" applyFont="1" applyFill="1" applyBorder="1" applyAlignment="1">
      <alignment horizontal="center"/>
    </xf>
    <xf numFmtId="44" fontId="0" fillId="0" borderId="1" xfId="3" applyFont="1" applyBorder="1"/>
    <xf numFmtId="44" fontId="2" fillId="0" borderId="81" xfId="1" applyNumberFormat="1" applyFont="1" applyBorder="1"/>
    <xf numFmtId="44" fontId="2" fillId="6" borderId="68" xfId="1" applyNumberFormat="1" applyFont="1" applyFill="1" applyBorder="1"/>
    <xf numFmtId="44" fontId="2" fillId="6" borderId="79" xfId="1" applyNumberFormat="1" applyFont="1" applyFill="1" applyBorder="1"/>
    <xf numFmtId="166" fontId="0" fillId="0" borderId="0" xfId="0" applyNumberFormat="1" applyAlignment="1">
      <alignment horizontal="center"/>
    </xf>
    <xf numFmtId="9" fontId="0" fillId="0" borderId="1" xfId="0" applyNumberFormat="1" applyBorder="1"/>
    <xf numFmtId="9" fontId="0" fillId="0" borderId="1" xfId="3" applyNumberFormat="1" applyFont="1" applyBorder="1"/>
    <xf numFmtId="0" fontId="2" fillId="10" borderId="1" xfId="0" applyFont="1" applyFill="1" applyBorder="1"/>
    <xf numFmtId="0" fontId="20" fillId="8" borderId="1" xfId="0" applyFont="1" applyFill="1" applyBorder="1" applyAlignment="1">
      <alignment horizontal="left" vertical="center" wrapText="1"/>
    </xf>
    <xf numFmtId="0" fontId="17" fillId="8" borderId="1" xfId="0" applyFont="1" applyFill="1" applyBorder="1" applyAlignment="1">
      <alignment horizontal="center" vertical="center" wrapText="1"/>
    </xf>
    <xf numFmtId="0" fontId="2" fillId="19" borderId="1" xfId="0" applyFont="1" applyFill="1" applyBorder="1" applyAlignment="1">
      <alignment horizontal="center" vertical="center" wrapText="1"/>
    </xf>
    <xf numFmtId="0" fontId="37" fillId="0" borderId="60" xfId="0" applyFont="1" applyBorder="1" applyAlignment="1">
      <alignment horizontal="center"/>
    </xf>
    <xf numFmtId="0" fontId="37" fillId="0" borderId="85" xfId="0" applyFont="1" applyBorder="1" applyAlignment="1">
      <alignment horizontal="center"/>
    </xf>
    <xf numFmtId="0" fontId="37" fillId="0" borderId="76" xfId="0" applyFont="1" applyBorder="1" applyAlignment="1">
      <alignment horizontal="center"/>
    </xf>
    <xf numFmtId="0" fontId="2" fillId="6" borderId="60" xfId="0" applyFont="1" applyFill="1" applyBorder="1" applyAlignment="1">
      <alignment horizontal="center"/>
    </xf>
    <xf numFmtId="0" fontId="2" fillId="6" borderId="85" xfId="0" applyFont="1" applyFill="1" applyBorder="1" applyAlignment="1">
      <alignment horizontal="center"/>
    </xf>
    <xf numFmtId="0" fontId="2" fillId="6" borderId="76" xfId="0" applyFont="1" applyFill="1" applyBorder="1" applyAlignment="1">
      <alignment horizontal="center"/>
    </xf>
    <xf numFmtId="0" fontId="2" fillId="21" borderId="112" xfId="0" applyFont="1" applyFill="1" applyBorder="1" applyAlignment="1">
      <alignment horizontal="center" vertical="center" wrapText="1"/>
    </xf>
    <xf numFmtId="0" fontId="2" fillId="21" borderId="58" xfId="0" applyFont="1" applyFill="1" applyBorder="1" applyAlignment="1">
      <alignment horizontal="center" vertical="center" wrapText="1"/>
    </xf>
    <xf numFmtId="0" fontId="2" fillId="0" borderId="0" xfId="0" applyFont="1" applyAlignment="1">
      <alignment horizontal="center"/>
    </xf>
    <xf numFmtId="0" fontId="2" fillId="6" borderId="17" xfId="0" applyFont="1" applyFill="1" applyBorder="1" applyAlignment="1">
      <alignment horizontal="center"/>
    </xf>
    <xf numFmtId="0" fontId="2" fillId="6" borderId="16" xfId="0" applyFont="1" applyFill="1" applyBorder="1" applyAlignment="1">
      <alignment horizontal="center"/>
    </xf>
    <xf numFmtId="0" fontId="2" fillId="6" borderId="15" xfId="0" applyFont="1" applyFill="1" applyBorder="1" applyAlignment="1">
      <alignment horizontal="center"/>
    </xf>
    <xf numFmtId="0" fontId="2" fillId="21" borderId="4" xfId="0" applyFont="1" applyFill="1" applyBorder="1" applyAlignment="1">
      <alignment horizontal="center" vertical="center" wrapText="1"/>
    </xf>
    <xf numFmtId="0" fontId="2" fillId="10" borderId="1" xfId="0" applyFont="1" applyFill="1" applyBorder="1" applyAlignment="1">
      <alignment horizontal="center"/>
    </xf>
    <xf numFmtId="0" fontId="0" fillId="6" borderId="109" xfId="0" applyFill="1" applyBorder="1" applyAlignment="1">
      <alignment horizontal="center"/>
    </xf>
    <xf numFmtId="0" fontId="0" fillId="6" borderId="111" xfId="0" applyFill="1" applyBorder="1" applyAlignment="1">
      <alignment horizontal="center"/>
    </xf>
    <xf numFmtId="0" fontId="0" fillId="6" borderId="104" xfId="0" applyFill="1" applyBorder="1" applyAlignment="1">
      <alignment horizontal="center" vertical="center"/>
    </xf>
    <xf numFmtId="0" fontId="0" fillId="6" borderId="71" xfId="0" applyFill="1" applyBorder="1" applyAlignment="1">
      <alignment horizontal="center" vertical="center"/>
    </xf>
    <xf numFmtId="0" fontId="0" fillId="6" borderId="73" xfId="0" applyFill="1" applyBorder="1" applyAlignment="1">
      <alignment horizontal="center" vertical="center"/>
    </xf>
    <xf numFmtId="0" fontId="0" fillId="0" borderId="44" xfId="0" applyBorder="1" applyAlignment="1">
      <alignment horizontal="center" vertical="center" wrapText="1"/>
    </xf>
    <xf numFmtId="0" fontId="0" fillId="0" borderId="111" xfId="0" applyBorder="1" applyAlignment="1">
      <alignment horizontal="center" vertical="center" wrapText="1"/>
    </xf>
    <xf numFmtId="0" fontId="0" fillId="0" borderId="0" xfId="0" applyAlignment="1">
      <alignment horizontal="center" wrapText="1"/>
    </xf>
    <xf numFmtId="0" fontId="2" fillId="0" borderId="0" xfId="0" applyFont="1" applyAlignment="1">
      <alignment horizontal="center" wrapText="1"/>
    </xf>
    <xf numFmtId="0" fontId="37" fillId="0" borderId="0" xfId="0" applyFont="1" applyAlignment="1">
      <alignment horizontal="center"/>
    </xf>
    <xf numFmtId="49" fontId="17" fillId="0" borderId="47" xfId="6" applyNumberFormat="1" applyFont="1" applyBorder="1" applyAlignment="1">
      <alignment horizontal="left" vertical="center"/>
    </xf>
    <xf numFmtId="49" fontId="17" fillId="0" borderId="46" xfId="6" applyNumberFormat="1" applyFont="1" applyBorder="1" applyAlignment="1">
      <alignment horizontal="left" vertical="center"/>
    </xf>
    <xf numFmtId="49" fontId="17" fillId="0" borderId="109" xfId="6" applyNumberFormat="1" applyFont="1" applyBorder="1" applyAlignment="1">
      <alignment horizontal="left" vertical="center"/>
    </xf>
    <xf numFmtId="49" fontId="17" fillId="0" borderId="110" xfId="6" applyNumberFormat="1" applyFont="1" applyBorder="1" applyAlignment="1">
      <alignment horizontal="left" vertical="center"/>
    </xf>
    <xf numFmtId="49" fontId="17" fillId="0" borderId="111" xfId="6" applyNumberFormat="1" applyFont="1" applyBorder="1" applyAlignment="1">
      <alignment horizontal="left" vertical="center"/>
    </xf>
    <xf numFmtId="49" fontId="17" fillId="0" borderId="49" xfId="6" applyNumberFormat="1" applyFont="1" applyBorder="1" applyAlignment="1">
      <alignment horizontal="left" vertical="center"/>
    </xf>
    <xf numFmtId="49" fontId="17" fillId="0" borderId="48" xfId="6" applyNumberFormat="1" applyFont="1" applyBorder="1" applyAlignment="1">
      <alignment horizontal="left" vertical="center"/>
    </xf>
    <xf numFmtId="49" fontId="17" fillId="0" borderId="50" xfId="6" applyNumberFormat="1" applyFont="1" applyBorder="1" applyAlignment="1">
      <alignment horizontal="left" vertical="center"/>
    </xf>
    <xf numFmtId="49" fontId="17" fillId="0" borderId="45" xfId="6" applyNumberFormat="1" applyFont="1" applyBorder="1" applyAlignment="1">
      <alignment horizontal="left" vertical="center"/>
    </xf>
    <xf numFmtId="0" fontId="20" fillId="0" borderId="127" xfId="6" applyFont="1" applyBorder="1" applyAlignment="1">
      <alignment horizontal="left" vertical="center"/>
    </xf>
    <xf numFmtId="0" fontId="20" fillId="0" borderId="128" xfId="6" applyFont="1" applyBorder="1" applyAlignment="1">
      <alignment horizontal="left" vertical="center"/>
    </xf>
    <xf numFmtId="0" fontId="20" fillId="0" borderId="126" xfId="6" applyFont="1" applyBorder="1" applyAlignment="1">
      <alignment horizontal="left" vertical="center"/>
    </xf>
    <xf numFmtId="49" fontId="17" fillId="0" borderId="127" xfId="6" applyNumberFormat="1" applyFont="1" applyBorder="1" applyAlignment="1">
      <alignment horizontal="left" vertical="center"/>
    </xf>
    <xf numFmtId="49" fontId="17" fillId="0" borderId="128" xfId="6" applyNumberFormat="1" applyFont="1" applyBorder="1" applyAlignment="1">
      <alignment horizontal="left" vertical="center"/>
    </xf>
    <xf numFmtId="49" fontId="17" fillId="0" borderId="126" xfId="6" applyNumberFormat="1" applyFont="1" applyBorder="1" applyAlignment="1">
      <alignment horizontal="left" vertical="center"/>
    </xf>
    <xf numFmtId="0" fontId="20" fillId="0" borderId="43" xfId="6" applyFont="1" applyBorder="1" applyAlignment="1">
      <alignment horizontal="right" vertical="center"/>
    </xf>
    <xf numFmtId="0" fontId="20" fillId="0" borderId="42" xfId="6" applyFont="1" applyBorder="1" applyAlignment="1">
      <alignment horizontal="right" vertical="center"/>
    </xf>
    <xf numFmtId="0" fontId="20" fillId="0" borderId="41" xfId="6" applyFont="1" applyBorder="1" applyAlignment="1">
      <alignment horizontal="right" vertical="center"/>
    </xf>
    <xf numFmtId="49" fontId="20" fillId="0" borderId="127" xfId="6" applyNumberFormat="1" applyFont="1" applyBorder="1" applyAlignment="1">
      <alignment horizontal="right" vertical="center"/>
    </xf>
    <xf numFmtId="49" fontId="20" fillId="0" borderId="128" xfId="6" applyNumberFormat="1" applyFont="1" applyBorder="1" applyAlignment="1">
      <alignment horizontal="right" vertical="center"/>
    </xf>
    <xf numFmtId="49" fontId="20" fillId="0" borderId="126" xfId="6" applyNumberFormat="1" applyFont="1" applyBorder="1" applyAlignment="1">
      <alignment horizontal="right" vertical="center"/>
    </xf>
    <xf numFmtId="0" fontId="20" fillId="0" borderId="129" xfId="6" applyFont="1" applyBorder="1" applyAlignment="1">
      <alignment horizontal="right" vertical="center"/>
    </xf>
    <xf numFmtId="49" fontId="17" fillId="0" borderId="128" xfId="6" applyNumberFormat="1" applyFont="1" applyBorder="1" applyAlignment="1">
      <alignment horizontal="left" vertical="center" wrapText="1"/>
    </xf>
    <xf numFmtId="49" fontId="17" fillId="0" borderId="126" xfId="6" applyNumberFormat="1" applyFont="1" applyBorder="1" applyAlignment="1">
      <alignment horizontal="left" vertical="center" wrapText="1"/>
    </xf>
    <xf numFmtId="49" fontId="17" fillId="0" borderId="53" xfId="6" applyNumberFormat="1" applyFont="1" applyBorder="1" applyAlignment="1">
      <alignment horizontal="left" vertical="center"/>
    </xf>
    <xf numFmtId="0" fontId="20" fillId="0" borderId="56" xfId="6" applyFont="1" applyBorder="1" applyAlignment="1">
      <alignment horizontal="right" vertical="center"/>
    </xf>
    <xf numFmtId="0" fontId="20" fillId="0" borderId="55" xfId="6" applyFont="1" applyBorder="1" applyAlignment="1">
      <alignment horizontal="right" vertical="center"/>
    </xf>
    <xf numFmtId="49" fontId="17" fillId="0" borderId="135" xfId="6" applyNumberFormat="1" applyFont="1" applyBorder="1" applyAlignment="1">
      <alignment horizontal="left" vertical="center"/>
    </xf>
    <xf numFmtId="49" fontId="17" fillId="0" borderId="131" xfId="6" applyNumberFormat="1" applyFont="1" applyBorder="1" applyAlignment="1">
      <alignment horizontal="left" vertical="center"/>
    </xf>
    <xf numFmtId="49" fontId="20" fillId="0" borderId="127" xfId="6" applyNumberFormat="1" applyFont="1" applyBorder="1" applyAlignment="1">
      <alignment horizontal="left" vertical="center"/>
    </xf>
    <xf numFmtId="49" fontId="20" fillId="0" borderId="128" xfId="6" applyNumberFormat="1" applyFont="1" applyBorder="1" applyAlignment="1">
      <alignment horizontal="left" vertical="center"/>
    </xf>
    <xf numFmtId="49" fontId="20" fillId="0" borderId="126" xfId="6" applyNumberFormat="1" applyFont="1" applyBorder="1" applyAlignment="1">
      <alignment horizontal="left" vertical="center"/>
    </xf>
    <xf numFmtId="0" fontId="20" fillId="0" borderId="127" xfId="6" applyFont="1" applyBorder="1" applyAlignment="1">
      <alignment horizontal="center" vertical="center"/>
    </xf>
    <xf numFmtId="0" fontId="20" fillId="0" borderId="128" xfId="6" applyFont="1" applyBorder="1" applyAlignment="1">
      <alignment horizontal="center" vertical="center"/>
    </xf>
    <xf numFmtId="0" fontId="20" fillId="0" borderId="126" xfId="6" applyFont="1" applyBorder="1" applyAlignment="1">
      <alignment horizontal="center" vertical="center"/>
    </xf>
    <xf numFmtId="0" fontId="17" fillId="0" borderId="125" xfId="6" applyFont="1" applyBorder="1" applyAlignment="1">
      <alignment horizontal="left" vertical="center"/>
    </xf>
    <xf numFmtId="170" fontId="31" fillId="0" borderId="53" xfId="0" applyNumberFormat="1" applyFont="1" applyBorder="1" applyAlignment="1" applyProtection="1">
      <alignment horizontal="left" vertical="center"/>
      <protection locked="0"/>
    </xf>
    <xf numFmtId="0" fontId="36" fillId="18" borderId="124" xfId="7" applyFont="1" applyFill="1" applyBorder="1" applyAlignment="1">
      <alignment horizontal="center" vertical="center"/>
    </xf>
    <xf numFmtId="49" fontId="17" fillId="0" borderId="130" xfId="6" applyNumberFormat="1" applyFont="1" applyBorder="1" applyAlignment="1">
      <alignment horizontal="left" vertical="center"/>
    </xf>
    <xf numFmtId="49" fontId="17" fillId="0" borderId="132" xfId="6" applyNumberFormat="1" applyFont="1" applyBorder="1" applyAlignment="1">
      <alignment horizontal="left" vertical="center"/>
    </xf>
    <xf numFmtId="49" fontId="17" fillId="0" borderId="105" xfId="6" applyNumberFormat="1" applyFont="1" applyBorder="1" applyAlignment="1">
      <alignment horizontal="left" vertical="center" wrapText="1"/>
    </xf>
    <xf numFmtId="49" fontId="17" fillId="0" borderId="106" xfId="6" applyNumberFormat="1" applyFont="1" applyBorder="1" applyAlignment="1">
      <alignment horizontal="left" vertical="center" wrapText="1"/>
    </xf>
    <xf numFmtId="49" fontId="17" fillId="0" borderId="107" xfId="6" applyNumberFormat="1" applyFont="1" applyBorder="1" applyAlignment="1">
      <alignment horizontal="left" vertical="center" wrapText="1"/>
    </xf>
    <xf numFmtId="0" fontId="20" fillId="0" borderId="134" xfId="6" applyFont="1" applyBorder="1" applyAlignment="1">
      <alignment horizontal="right" vertical="center"/>
    </xf>
    <xf numFmtId="49" fontId="17" fillId="0" borderId="127" xfId="6" applyNumberFormat="1" applyFont="1" applyBorder="1" applyAlignment="1">
      <alignment horizontal="left" vertical="center" wrapText="1"/>
    </xf>
    <xf numFmtId="0" fontId="33" fillId="0" borderId="53" xfId="6" applyFont="1" applyBorder="1" applyAlignment="1">
      <alignment horizontal="center" vertical="center" wrapText="1"/>
    </xf>
    <xf numFmtId="0" fontId="20" fillId="0" borderId="45" xfId="6" applyFont="1" applyBorder="1" applyAlignment="1">
      <alignment horizontal="center" vertical="center" wrapText="1"/>
    </xf>
    <xf numFmtId="0" fontId="20" fillId="0" borderId="45" xfId="6" applyFont="1" applyBorder="1" applyAlignment="1">
      <alignment horizontal="center" vertical="center"/>
    </xf>
    <xf numFmtId="0" fontId="0" fillId="0" borderId="1" xfId="0" applyBorder="1" applyAlignment="1">
      <alignment horizontal="center"/>
    </xf>
    <xf numFmtId="0" fontId="0" fillId="10" borderId="1" xfId="0" applyFill="1" applyBorder="1" applyAlignment="1">
      <alignment horizontal="center"/>
    </xf>
    <xf numFmtId="0" fontId="2" fillId="19" borderId="1" xfId="0" applyFont="1" applyFill="1" applyBorder="1" applyAlignment="1">
      <alignment horizontal="center"/>
    </xf>
    <xf numFmtId="0" fontId="38" fillId="20" borderId="110" xfId="0" applyFont="1" applyFill="1" applyBorder="1" applyAlignment="1">
      <alignment horizontal="left" vertical="center"/>
    </xf>
    <xf numFmtId="0" fontId="30" fillId="0" borderId="136" xfId="0" applyFont="1" applyBorder="1" applyAlignment="1">
      <alignment horizontal="left" vertical="center"/>
    </xf>
    <xf numFmtId="0" fontId="30" fillId="0" borderId="87" xfId="0" applyFont="1" applyBorder="1" applyAlignment="1">
      <alignment horizontal="left" vertical="center"/>
    </xf>
    <xf numFmtId="0" fontId="37" fillId="0" borderId="0" xfId="0" applyFont="1" applyAlignment="1">
      <alignment horizontal="center" vertical="center"/>
    </xf>
    <xf numFmtId="0" fontId="30" fillId="0" borderId="112" xfId="0" applyFont="1" applyBorder="1" applyAlignment="1">
      <alignment horizontal="left" vertical="center" wrapText="1"/>
    </xf>
    <xf numFmtId="0" fontId="30" fillId="0" borderId="58" xfId="0" applyFont="1" applyBorder="1" applyAlignment="1">
      <alignment horizontal="left" vertical="center" wrapText="1"/>
    </xf>
    <xf numFmtId="0" fontId="2" fillId="4" borderId="90" xfId="0" applyFont="1" applyFill="1" applyBorder="1" applyAlignment="1">
      <alignment horizontal="center"/>
    </xf>
    <xf numFmtId="0" fontId="2" fillId="4" borderId="94" xfId="0" applyFont="1" applyFill="1" applyBorder="1" applyAlignment="1">
      <alignment horizontal="center"/>
    </xf>
    <xf numFmtId="0" fontId="2" fillId="4" borderId="117" xfId="0" applyFont="1" applyFill="1" applyBorder="1" applyAlignment="1">
      <alignment horizontal="center"/>
    </xf>
    <xf numFmtId="0" fontId="2" fillId="4" borderId="118" xfId="0" applyFont="1" applyFill="1" applyBorder="1" applyAlignment="1">
      <alignment horizontal="center"/>
    </xf>
    <xf numFmtId="0" fontId="2" fillId="4" borderId="119" xfId="0" applyFont="1" applyFill="1" applyBorder="1" applyAlignment="1">
      <alignment horizontal="center"/>
    </xf>
    <xf numFmtId="0" fontId="6" fillId="8" borderId="1" xfId="0" applyFont="1" applyFill="1" applyBorder="1" applyAlignment="1">
      <alignment horizontal="center" vertical="center" wrapText="1"/>
    </xf>
    <xf numFmtId="0" fontId="81" fillId="33" borderId="112" xfId="0" applyFont="1" applyFill="1" applyBorder="1" applyAlignment="1">
      <alignment wrapText="1"/>
    </xf>
    <xf numFmtId="0" fontId="81" fillId="33" borderId="58" xfId="0" applyFont="1" applyFill="1" applyBorder="1" applyAlignment="1">
      <alignment wrapText="1"/>
    </xf>
    <xf numFmtId="0" fontId="81" fillId="33" borderId="110" xfId="0" applyFont="1" applyFill="1" applyBorder="1" applyAlignment="1">
      <alignment wrapText="1"/>
    </xf>
    <xf numFmtId="0" fontId="81" fillId="33" borderId="111" xfId="0" applyFont="1" applyFill="1" applyBorder="1" applyAlignment="1">
      <alignment wrapText="1"/>
    </xf>
    <xf numFmtId="0" fontId="82" fillId="0" borderId="3" xfId="0" applyFont="1" applyBorder="1" applyAlignment="1">
      <alignment wrapText="1"/>
    </xf>
    <xf numFmtId="0" fontId="82" fillId="0" borderId="87" xfId="0" applyFont="1" applyBorder="1" applyAlignment="1">
      <alignment wrapText="1"/>
    </xf>
    <xf numFmtId="0" fontId="5" fillId="8" borderId="8" xfId="0" applyFont="1" applyFill="1" applyBorder="1" applyAlignment="1">
      <alignment horizontal="center" vertical="center" wrapText="1"/>
    </xf>
    <xf numFmtId="0" fontId="5" fillId="8" borderId="120" xfId="0" applyFont="1" applyFill="1" applyBorder="1" applyAlignment="1">
      <alignment horizontal="center" vertical="center" wrapText="1"/>
    </xf>
    <xf numFmtId="0" fontId="81" fillId="33" borderId="136" xfId="0" applyFont="1" applyFill="1" applyBorder="1" applyAlignment="1">
      <alignment wrapText="1"/>
    </xf>
    <xf numFmtId="0" fontId="81" fillId="33" borderId="87" xfId="0" applyFont="1" applyFill="1" applyBorder="1" applyAlignment="1">
      <alignment wrapText="1"/>
    </xf>
    <xf numFmtId="0" fontId="0" fillId="0" borderId="109" xfId="0" applyBorder="1" applyAlignment="1">
      <alignment horizontal="center"/>
    </xf>
    <xf numFmtId="0" fontId="0" fillId="0" borderId="110" xfId="0" applyBorder="1" applyAlignment="1">
      <alignment horizontal="center"/>
    </xf>
    <xf numFmtId="0" fontId="0" fillId="0" borderId="111" xfId="0" applyBorder="1" applyAlignment="1">
      <alignment horizontal="center"/>
    </xf>
    <xf numFmtId="0" fontId="18" fillId="0" borderId="24" xfId="0" applyFont="1" applyBorder="1" applyAlignment="1">
      <alignment horizontal="right" vertical="center" wrapText="1"/>
    </xf>
    <xf numFmtId="0" fontId="18" fillId="0" borderId="23" xfId="0" applyFont="1" applyBorder="1" applyAlignment="1">
      <alignment horizontal="right" vertical="center" wrapText="1"/>
    </xf>
    <xf numFmtId="0" fontId="18" fillId="0" borderId="22" xfId="0" applyFont="1" applyBorder="1" applyAlignment="1">
      <alignment horizontal="right" vertical="center" wrapText="1"/>
    </xf>
    <xf numFmtId="0" fontId="19" fillId="0" borderId="8" xfId="0" applyFont="1" applyBorder="1" applyAlignment="1">
      <alignment horizontal="center" vertical="center" wrapText="1"/>
    </xf>
    <xf numFmtId="0" fontId="19" fillId="0" borderId="27" xfId="0" applyFont="1" applyBorder="1" applyAlignment="1">
      <alignment horizontal="center" vertical="center" wrapText="1"/>
    </xf>
    <xf numFmtId="0" fontId="18" fillId="12" borderId="24" xfId="0" applyFont="1" applyFill="1" applyBorder="1" applyAlignment="1">
      <alignment horizontal="center" vertical="center" wrapText="1"/>
    </xf>
    <xf numFmtId="0" fontId="18" fillId="12" borderId="23" xfId="0" applyFont="1" applyFill="1" applyBorder="1" applyAlignment="1">
      <alignment horizontal="center" vertical="center" wrapText="1"/>
    </xf>
    <xf numFmtId="0" fontId="18" fillId="13" borderId="24" xfId="0" applyFont="1" applyFill="1" applyBorder="1" applyAlignment="1">
      <alignment horizontal="center" vertical="center" wrapText="1"/>
    </xf>
    <xf numFmtId="0" fontId="18" fillId="13" borderId="23" xfId="0" applyFont="1" applyFill="1" applyBorder="1" applyAlignment="1">
      <alignment horizontal="center" vertical="center" wrapText="1"/>
    </xf>
    <xf numFmtId="0" fontId="18" fillId="13" borderId="22" xfId="0"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27" xfId="0" applyFont="1" applyBorder="1" applyAlignment="1">
      <alignment horizontal="center" vertical="center" wrapText="1"/>
    </xf>
    <xf numFmtId="0" fontId="19" fillId="0" borderId="8" xfId="0" applyFont="1" applyBorder="1" applyAlignment="1">
      <alignment horizontal="left" vertical="center" wrapText="1"/>
    </xf>
    <xf numFmtId="0" fontId="19" fillId="0" borderId="27" xfId="0" applyFont="1" applyBorder="1" applyAlignment="1">
      <alignment horizontal="left" vertical="center" wrapText="1"/>
    </xf>
    <xf numFmtId="4" fontId="18" fillId="0" borderId="30" xfId="0" applyNumberFormat="1" applyFont="1" applyBorder="1" applyAlignment="1">
      <alignment horizontal="center" vertical="center" wrapText="1"/>
    </xf>
    <xf numFmtId="4" fontId="18" fillId="0" borderId="29" xfId="0" applyNumberFormat="1" applyFont="1" applyBorder="1" applyAlignment="1">
      <alignment horizontal="center" vertical="center" wrapText="1"/>
    </xf>
    <xf numFmtId="4" fontId="18" fillId="0" borderId="28" xfId="0" applyNumberFormat="1" applyFont="1" applyBorder="1" applyAlignment="1">
      <alignment horizontal="center" vertical="center" wrapText="1"/>
    </xf>
    <xf numFmtId="0" fontId="16" fillId="0" borderId="26" xfId="0" applyFont="1" applyBorder="1" applyAlignment="1">
      <alignment horizontal="center"/>
    </xf>
    <xf numFmtId="0" fontId="16" fillId="0" borderId="25" xfId="0" applyFont="1" applyBorder="1" applyAlignment="1">
      <alignment horizontal="center"/>
    </xf>
    <xf numFmtId="0" fontId="20" fillId="12" borderId="24" xfId="0" applyFont="1" applyFill="1" applyBorder="1" applyAlignment="1">
      <alignment horizontal="center" vertical="center" wrapText="1"/>
    </xf>
    <xf numFmtId="0" fontId="20" fillId="12" borderId="23" xfId="0" applyFont="1" applyFill="1" applyBorder="1" applyAlignment="1">
      <alignment horizontal="center" vertical="center" wrapText="1"/>
    </xf>
    <xf numFmtId="0" fontId="20" fillId="12" borderId="22" xfId="0" applyFont="1" applyFill="1" applyBorder="1" applyAlignment="1">
      <alignment horizontal="center" vertical="center" wrapText="1"/>
    </xf>
    <xf numFmtId="0" fontId="18" fillId="12" borderId="24" xfId="0" applyFont="1" applyFill="1" applyBorder="1" applyAlignment="1">
      <alignment horizontal="right" vertical="center" wrapText="1"/>
    </xf>
    <xf numFmtId="0" fontId="18" fillId="12" borderId="23" xfId="0" applyFont="1" applyFill="1" applyBorder="1" applyAlignment="1">
      <alignment horizontal="right" vertical="center" wrapText="1"/>
    </xf>
    <xf numFmtId="0" fontId="18" fillId="12" borderId="22" xfId="0" applyFont="1" applyFill="1" applyBorder="1" applyAlignment="1">
      <alignment horizontal="right"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2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7" xfId="0" applyFont="1" applyBorder="1" applyAlignment="1">
      <alignment horizontal="center" vertical="center" wrapText="1"/>
    </xf>
    <xf numFmtId="4" fontId="0" fillId="3" borderId="1" xfId="0" applyNumberFormat="1" applyFill="1" applyBorder="1" applyAlignment="1">
      <alignment horizontal="center"/>
    </xf>
    <xf numFmtId="4" fontId="3" fillId="13" borderId="1" xfId="0" applyNumberFormat="1" applyFont="1" applyFill="1" applyBorder="1" applyAlignment="1">
      <alignment horizontal="center"/>
    </xf>
    <xf numFmtId="4" fontId="3" fillId="12" borderId="1" xfId="0" applyNumberFormat="1" applyFont="1" applyFill="1" applyBorder="1" applyAlignment="1">
      <alignment horizontal="center"/>
    </xf>
    <xf numFmtId="174" fontId="0" fillId="13" borderId="109" xfId="0" applyNumberFormat="1" applyFill="1" applyBorder="1" applyAlignment="1">
      <alignment horizontal="center"/>
    </xf>
    <xf numFmtId="174" fontId="0" fillId="13" borderId="111" xfId="0" applyNumberFormat="1" applyFill="1" applyBorder="1" applyAlignment="1">
      <alignment horizontal="center"/>
    </xf>
    <xf numFmtId="43" fontId="3" fillId="13" borderId="109" xfId="0" applyNumberFormat="1" applyFont="1" applyFill="1" applyBorder="1"/>
    <xf numFmtId="43" fontId="3" fillId="13" borderId="111" xfId="0" applyNumberFormat="1" applyFont="1" applyFill="1" applyBorder="1"/>
    <xf numFmtId="0" fontId="4" fillId="0" borderId="20" xfId="4" applyBorder="1" applyAlignment="1">
      <alignment horizontal="center" vertical="center"/>
    </xf>
    <xf numFmtId="0" fontId="20" fillId="3" borderId="8" xfId="0" applyFont="1" applyFill="1" applyBorder="1" applyAlignment="1">
      <alignment horizontal="center" vertical="center" wrapText="1"/>
    </xf>
    <xf numFmtId="0" fontId="20" fillId="3" borderId="27" xfId="0" applyFont="1" applyFill="1" applyBorder="1" applyAlignment="1">
      <alignment horizontal="center" vertical="center" wrapText="1"/>
    </xf>
    <xf numFmtId="0" fontId="17" fillId="3" borderId="8" xfId="0" applyFont="1" applyFill="1" applyBorder="1" applyAlignment="1">
      <alignment horizontal="left" vertical="center" wrapText="1"/>
    </xf>
    <xf numFmtId="0" fontId="17" fillId="3" borderId="27" xfId="0" applyFont="1" applyFill="1" applyBorder="1" applyAlignment="1">
      <alignment horizontal="left" vertical="center" wrapText="1"/>
    </xf>
    <xf numFmtId="0" fontId="17" fillId="3" borderId="8"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20" fillId="0" borderId="24" xfId="4" applyFont="1" applyBorder="1" applyAlignment="1">
      <alignment horizontal="right" vertical="center" wrapText="1"/>
    </xf>
    <xf numFmtId="0" fontId="20" fillId="0" borderId="23" xfId="4" applyFont="1" applyBorder="1" applyAlignment="1">
      <alignment horizontal="right" vertical="center" wrapText="1"/>
    </xf>
    <xf numFmtId="0" fontId="20" fillId="0" borderId="22" xfId="4" applyFont="1" applyBorder="1" applyAlignment="1">
      <alignment horizontal="right" vertical="center" wrapText="1"/>
    </xf>
    <xf numFmtId="0" fontId="20" fillId="3" borderId="24" xfId="0" applyFont="1" applyFill="1" applyBorder="1" applyAlignment="1">
      <alignment horizontal="right" vertical="center" wrapText="1"/>
    </xf>
    <xf numFmtId="0" fontId="20" fillId="3" borderId="23" xfId="0" applyFont="1" applyFill="1" applyBorder="1" applyAlignment="1">
      <alignment horizontal="right" vertical="center" wrapText="1"/>
    </xf>
    <xf numFmtId="0" fontId="20" fillId="3" borderId="22" xfId="0" applyFont="1" applyFill="1" applyBorder="1" applyAlignment="1">
      <alignment horizontal="right" vertical="center" wrapText="1"/>
    </xf>
    <xf numFmtId="4" fontId="18" fillId="0" borderId="39" xfId="0" applyNumberFormat="1" applyFont="1" applyBorder="1" applyAlignment="1">
      <alignment horizontal="center" vertical="center" wrapText="1"/>
    </xf>
    <xf numFmtId="4" fontId="18" fillId="0" borderId="38" xfId="0" applyNumberFormat="1" applyFont="1" applyBorder="1" applyAlignment="1">
      <alignment horizontal="center" vertical="center" wrapText="1"/>
    </xf>
    <xf numFmtId="4" fontId="18" fillId="0" borderId="37" xfId="0" applyNumberFormat="1" applyFont="1" applyBorder="1" applyAlignment="1">
      <alignment horizontal="center" vertical="center" wrapText="1"/>
    </xf>
    <xf numFmtId="4" fontId="18" fillId="0" borderId="36" xfId="0" applyNumberFormat="1" applyFont="1" applyBorder="1" applyAlignment="1">
      <alignment horizontal="center" vertical="center" wrapText="1"/>
    </xf>
    <xf numFmtId="4" fontId="18" fillId="0" borderId="0" xfId="0" applyNumberFormat="1" applyFont="1" applyAlignment="1">
      <alignment horizontal="center" vertical="center" wrapText="1"/>
    </xf>
    <xf numFmtId="4" fontId="18" fillId="0" borderId="35" xfId="0" applyNumberFormat="1" applyFont="1" applyBorder="1" applyAlignment="1">
      <alignment horizontal="center" vertical="center" wrapText="1"/>
    </xf>
    <xf numFmtId="4" fontId="18" fillId="0" borderId="34" xfId="0" applyNumberFormat="1" applyFont="1" applyBorder="1" applyAlignment="1">
      <alignment horizontal="center" vertical="center" wrapText="1"/>
    </xf>
    <xf numFmtId="4" fontId="18" fillId="0" borderId="33" xfId="0" applyNumberFormat="1" applyFont="1" applyBorder="1" applyAlignment="1">
      <alignment horizontal="center" vertical="center" wrapText="1"/>
    </xf>
    <xf numFmtId="4" fontId="18" fillId="0" borderId="32" xfId="0" applyNumberFormat="1" applyFont="1" applyBorder="1" applyAlignment="1">
      <alignment horizontal="center" vertical="center" wrapText="1"/>
    </xf>
    <xf numFmtId="0" fontId="20" fillId="12" borderId="24" xfId="4" applyFont="1" applyFill="1" applyBorder="1" applyAlignment="1">
      <alignment horizontal="right" vertical="center" wrapText="1"/>
    </xf>
    <xf numFmtId="0" fontId="20" fillId="12" borderId="23" xfId="4" applyFont="1" applyFill="1" applyBorder="1" applyAlignment="1">
      <alignment horizontal="right" vertical="center" wrapText="1"/>
    </xf>
    <xf numFmtId="0" fontId="20" fillId="12" borderId="22" xfId="4" applyFont="1" applyFill="1" applyBorder="1" applyAlignment="1">
      <alignment horizontal="right" vertical="center" wrapText="1"/>
    </xf>
    <xf numFmtId="0" fontId="20" fillId="3" borderId="24"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24"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2" xfId="0" applyFont="1" applyBorder="1" applyAlignment="1">
      <alignment horizontal="center" vertical="center" wrapText="1"/>
    </xf>
    <xf numFmtId="0" fontId="3" fillId="5" borderId="0" xfId="0" applyFont="1" applyFill="1" applyAlignment="1">
      <alignment horizontal="right" wrapText="1"/>
    </xf>
    <xf numFmtId="0" fontId="3" fillId="0" borderId="0" xfId="0" applyFont="1" applyAlignment="1">
      <alignment horizontal="left" wrapText="1"/>
    </xf>
    <xf numFmtId="0" fontId="3" fillId="0" borderId="0" xfId="0" applyFont="1" applyAlignment="1">
      <alignment horizontal="right" wrapText="1"/>
    </xf>
    <xf numFmtId="0" fontId="3" fillId="5" borderId="1" xfId="0" applyFont="1" applyFill="1" applyBorder="1" applyAlignment="1">
      <alignment horizontal="right" wrapText="1"/>
    </xf>
    <xf numFmtId="0" fontId="3" fillId="7" borderId="1" xfId="0" applyFont="1" applyFill="1" applyBorder="1" applyAlignment="1">
      <alignment horizontal="right" wrapText="1"/>
    </xf>
    <xf numFmtId="0" fontId="5" fillId="8" borderId="6"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20" fillId="12" borderId="36" xfId="0" applyFont="1" applyFill="1" applyBorder="1" applyAlignment="1">
      <alignment horizontal="center" vertical="center" wrapText="1"/>
    </xf>
    <xf numFmtId="0" fontId="20" fillId="12" borderId="0" xfId="0" applyFont="1" applyFill="1" applyAlignment="1">
      <alignment horizontal="center" vertical="center" wrapText="1"/>
    </xf>
    <xf numFmtId="0" fontId="20" fillId="12" borderId="35" xfId="0" applyFont="1" applyFill="1" applyBorder="1" applyAlignment="1">
      <alignment horizontal="center" vertical="center" wrapText="1"/>
    </xf>
    <xf numFmtId="3" fontId="49" fillId="11" borderId="60" xfId="0" applyNumberFormat="1" applyFont="1" applyFill="1" applyBorder="1" applyAlignment="1">
      <alignment horizontal="center"/>
    </xf>
    <xf numFmtId="3" fontId="49" fillId="11" borderId="76" xfId="0" applyNumberFormat="1" applyFont="1" applyFill="1" applyBorder="1" applyAlignment="1">
      <alignment horizontal="center"/>
    </xf>
    <xf numFmtId="0" fontId="2" fillId="4" borderId="60" xfId="0" applyFont="1" applyFill="1" applyBorder="1" applyAlignment="1">
      <alignment horizontal="center"/>
    </xf>
    <xf numFmtId="0" fontId="2" fillId="4" borderId="85" xfId="0" applyFont="1" applyFill="1" applyBorder="1" applyAlignment="1">
      <alignment horizontal="center"/>
    </xf>
    <xf numFmtId="0" fontId="2" fillId="4" borderId="76" xfId="0" applyFont="1" applyFill="1" applyBorder="1" applyAlignment="1">
      <alignment horizontal="center"/>
    </xf>
    <xf numFmtId="0" fontId="62" fillId="31" borderId="60" xfId="0" applyFont="1" applyFill="1" applyBorder="1" applyAlignment="1">
      <alignment horizontal="left" vertical="center" wrapText="1"/>
    </xf>
    <xf numFmtId="0" fontId="62" fillId="31" borderId="92" xfId="0" applyFont="1" applyFill="1" applyBorder="1" applyAlignment="1">
      <alignment horizontal="left" vertical="center" wrapText="1"/>
    </xf>
    <xf numFmtId="0" fontId="52" fillId="11" borderId="78" xfId="0" applyFont="1" applyFill="1" applyBorder="1" applyAlignment="1">
      <alignment horizontal="center" vertical="center"/>
    </xf>
    <xf numFmtId="0" fontId="52" fillId="11" borderId="18" xfId="0" applyFont="1" applyFill="1" applyBorder="1" applyAlignment="1">
      <alignment horizontal="center" vertical="center"/>
    </xf>
    <xf numFmtId="0" fontId="52" fillId="11" borderId="60" xfId="0" applyFont="1" applyFill="1" applyBorder="1" applyAlignment="1">
      <alignment horizontal="center"/>
    </xf>
    <xf numFmtId="0" fontId="52" fillId="11" borderId="76" xfId="0" applyFont="1" applyFill="1" applyBorder="1" applyAlignment="1">
      <alignment horizontal="center"/>
    </xf>
    <xf numFmtId="0" fontId="52" fillId="11" borderId="15" xfId="0" applyFont="1" applyFill="1" applyBorder="1" applyAlignment="1">
      <alignment horizontal="center" vertical="center"/>
    </xf>
    <xf numFmtId="0" fontId="52" fillId="11" borderId="10" xfId="0" applyFont="1" applyFill="1" applyBorder="1" applyAlignment="1">
      <alignment horizontal="center" vertical="center"/>
    </xf>
    <xf numFmtId="0" fontId="0" fillId="4" borderId="60" xfId="0" applyFill="1" applyBorder="1" applyAlignment="1">
      <alignment horizontal="center"/>
    </xf>
    <xf numFmtId="0" fontId="0" fillId="4" borderId="85" xfId="0" applyFill="1" applyBorder="1" applyAlignment="1">
      <alignment horizontal="center"/>
    </xf>
    <xf numFmtId="0" fontId="0" fillId="4" borderId="76" xfId="0" applyFill="1" applyBorder="1" applyAlignment="1">
      <alignment horizontal="center"/>
    </xf>
    <xf numFmtId="0" fontId="2" fillId="4" borderId="78"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78" xfId="0" applyFont="1" applyFill="1" applyBorder="1" applyAlignment="1">
      <alignment horizontal="center"/>
    </xf>
    <xf numFmtId="0" fontId="2" fillId="4" borderId="18" xfId="0" applyFont="1" applyFill="1" applyBorder="1" applyAlignment="1">
      <alignment horizontal="center"/>
    </xf>
    <xf numFmtId="0" fontId="61" fillId="27" borderId="60" xfId="0" applyFont="1" applyFill="1" applyBorder="1" applyAlignment="1">
      <alignment horizontal="left" vertical="center" wrapText="1"/>
    </xf>
    <xf numFmtId="0" fontId="61" fillId="27" borderId="76" xfId="0" applyFont="1" applyFill="1" applyBorder="1" applyAlignment="1">
      <alignment horizontal="left" vertical="center" wrapText="1"/>
    </xf>
    <xf numFmtId="0" fontId="40" fillId="11" borderId="78" xfId="0" applyFont="1" applyFill="1" applyBorder="1" applyAlignment="1">
      <alignment horizontal="center" vertical="center"/>
    </xf>
    <xf numFmtId="0" fontId="40" fillId="11" borderId="18" xfId="0" applyFont="1" applyFill="1" applyBorder="1" applyAlignment="1">
      <alignment horizontal="center" vertical="center"/>
    </xf>
    <xf numFmtId="0" fontId="0" fillId="12" borderId="86" xfId="0" applyFill="1" applyBorder="1" applyAlignment="1">
      <alignment horizontal="center"/>
    </xf>
    <xf numFmtId="4" fontId="49" fillId="0" borderId="64" xfId="0" applyNumberFormat="1" applyFont="1" applyBorder="1" applyAlignment="1">
      <alignment horizontal="center" vertical="center"/>
    </xf>
    <xf numFmtId="4" fontId="49" fillId="0" borderId="71" xfId="0" applyNumberFormat="1" applyFont="1" applyBorder="1" applyAlignment="1">
      <alignment horizontal="center" vertical="center"/>
    </xf>
    <xf numFmtId="0" fontId="49" fillId="0" borderId="72" xfId="0" applyFont="1" applyBorder="1" applyAlignment="1">
      <alignment horizontal="center" vertical="center"/>
    </xf>
    <xf numFmtId="0" fontId="49" fillId="0" borderId="69" xfId="0" applyFont="1" applyBorder="1" applyAlignment="1">
      <alignment horizontal="center" vertical="center"/>
    </xf>
    <xf numFmtId="4" fontId="49" fillId="0" borderId="77" xfId="0" applyNumberFormat="1" applyFont="1" applyBorder="1" applyAlignment="1">
      <alignment horizontal="center" vertical="center"/>
    </xf>
    <xf numFmtId="4" fontId="49" fillId="0" borderId="18" xfId="0" applyNumberFormat="1" applyFont="1" applyBorder="1" applyAlignment="1">
      <alignment horizontal="center" vertical="center"/>
    </xf>
    <xf numFmtId="0" fontId="49" fillId="0" borderId="66" xfId="0" applyFont="1" applyBorder="1" applyAlignment="1">
      <alignment horizontal="center" vertical="center"/>
    </xf>
    <xf numFmtId="4" fontId="49" fillId="0" borderId="67" xfId="0" applyNumberFormat="1" applyFont="1" applyBorder="1" applyAlignment="1">
      <alignment horizontal="center" vertical="center"/>
    </xf>
    <xf numFmtId="0" fontId="49" fillId="0" borderId="17" xfId="0" applyFont="1" applyBorder="1" applyAlignment="1">
      <alignment horizontal="center" vertical="center"/>
    </xf>
    <xf numFmtId="0" fontId="49" fillId="0" borderId="14" xfId="0" applyFont="1" applyBorder="1" applyAlignment="1">
      <alignment horizontal="center" vertical="center"/>
    </xf>
    <xf numFmtId="0" fontId="49" fillId="0" borderId="12" xfId="0" applyFont="1" applyBorder="1" applyAlignment="1">
      <alignment horizontal="center" vertical="center"/>
    </xf>
    <xf numFmtId="0" fontId="49" fillId="0" borderId="98" xfId="0" applyFont="1" applyBorder="1" applyAlignment="1">
      <alignment horizontal="left" vertical="center"/>
    </xf>
    <xf numFmtId="0" fontId="49" fillId="0" borderId="99" xfId="0" applyFont="1" applyBorder="1" applyAlignment="1">
      <alignment horizontal="left" vertical="center"/>
    </xf>
    <xf numFmtId="0" fontId="49" fillId="0" borderId="100" xfId="0" applyFont="1" applyBorder="1" applyAlignment="1">
      <alignment horizontal="left" vertical="center"/>
    </xf>
    <xf numFmtId="0" fontId="52" fillId="0" borderId="78" xfId="0" applyFont="1" applyBorder="1" applyAlignment="1">
      <alignment horizontal="center" vertical="center"/>
    </xf>
    <xf numFmtId="0" fontId="52" fillId="0" borderId="18" xfId="0" applyFont="1" applyBorder="1" applyAlignment="1">
      <alignment horizontal="center" vertical="center"/>
    </xf>
    <xf numFmtId="0" fontId="52" fillId="0" borderId="60" xfId="0" applyFont="1" applyBorder="1" applyAlignment="1">
      <alignment horizontal="center"/>
    </xf>
    <xf numFmtId="0" fontId="52" fillId="0" borderId="76" xfId="0" applyFont="1" applyBorder="1" applyAlignment="1">
      <alignment horizontal="center"/>
    </xf>
    <xf numFmtId="3" fontId="49" fillId="0" borderId="60" xfId="0" applyNumberFormat="1" applyFont="1" applyBorder="1" applyAlignment="1">
      <alignment horizontal="center"/>
    </xf>
    <xf numFmtId="3" fontId="49" fillId="0" borderId="76" xfId="0" applyNumberFormat="1" applyFont="1" applyBorder="1" applyAlignment="1">
      <alignment horizontal="center"/>
    </xf>
    <xf numFmtId="0" fontId="52" fillId="0" borderId="15" xfId="0" applyFont="1" applyBorder="1" applyAlignment="1">
      <alignment horizontal="center" vertical="center"/>
    </xf>
    <xf numFmtId="0" fontId="52" fillId="0" borderId="10" xfId="0" applyFont="1" applyBorder="1" applyAlignment="1">
      <alignment horizontal="center" vertical="center"/>
    </xf>
    <xf numFmtId="0" fontId="52" fillId="0" borderId="0" xfId="0" applyFont="1" applyAlignment="1">
      <alignment horizontal="center"/>
    </xf>
    <xf numFmtId="3" fontId="49" fillId="0" borderId="17" xfId="0" applyNumberFormat="1" applyFont="1" applyBorder="1" applyAlignment="1">
      <alignment horizontal="center"/>
    </xf>
    <xf numFmtId="3" fontId="49" fillId="0" borderId="15" xfId="0" applyNumberFormat="1" applyFont="1" applyBorder="1" applyAlignment="1">
      <alignment horizontal="center"/>
    </xf>
    <xf numFmtId="0" fontId="49" fillId="0" borderId="14" xfId="0" applyFont="1" applyBorder="1" applyAlignment="1">
      <alignment horizontal="center"/>
    </xf>
    <xf numFmtId="0" fontId="49" fillId="0" borderId="13" xfId="0" applyFont="1" applyBorder="1" applyAlignment="1">
      <alignment horizontal="center"/>
    </xf>
    <xf numFmtId="3" fontId="49" fillId="0" borderId="14" xfId="0" applyNumberFormat="1" applyFont="1" applyBorder="1" applyAlignment="1">
      <alignment horizontal="center"/>
    </xf>
    <xf numFmtId="3" fontId="49" fillId="0" borderId="13" xfId="0" applyNumberFormat="1" applyFont="1" applyBorder="1" applyAlignment="1">
      <alignment horizontal="center"/>
    </xf>
    <xf numFmtId="0" fontId="65" fillId="14" borderId="109" xfId="0" applyFont="1" applyFill="1" applyBorder="1" applyAlignment="1">
      <alignment horizontal="left" vertical="center"/>
    </xf>
    <xf numFmtId="0" fontId="65" fillId="14" borderId="110" xfId="0" applyFont="1" applyFill="1" applyBorder="1" applyAlignment="1">
      <alignment horizontal="left" vertical="center"/>
    </xf>
    <xf numFmtId="0" fontId="41" fillId="0" borderId="112" xfId="0" applyFont="1" applyBorder="1" applyAlignment="1">
      <alignment horizontal="center" vertical="center"/>
    </xf>
    <xf numFmtId="0" fontId="41" fillId="0" borderId="4" xfId="0" applyFont="1" applyBorder="1" applyAlignment="1">
      <alignment horizontal="center" vertical="center"/>
    </xf>
    <xf numFmtId="0" fontId="41" fillId="0" borderId="58" xfId="0" applyFont="1" applyBorder="1" applyAlignment="1">
      <alignment horizontal="center" vertical="center"/>
    </xf>
    <xf numFmtId="0" fontId="41" fillId="0" borderId="112"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58" xfId="0" applyFont="1" applyBorder="1" applyAlignment="1">
      <alignment horizontal="center" vertical="center" wrapText="1"/>
    </xf>
    <xf numFmtId="0" fontId="41" fillId="23" borderId="112" xfId="0" applyFont="1" applyFill="1" applyBorder="1" applyAlignment="1">
      <alignment horizontal="center" vertical="center" wrapText="1"/>
    </xf>
    <xf numFmtId="0" fontId="41" fillId="23" borderId="4" xfId="0" applyFont="1" applyFill="1" applyBorder="1" applyAlignment="1">
      <alignment horizontal="center" vertical="center" wrapText="1"/>
    </xf>
    <xf numFmtId="0" fontId="41" fillId="23" borderId="58" xfId="0" applyFont="1" applyFill="1" applyBorder="1" applyAlignment="1">
      <alignment horizontal="center" vertical="center" wrapText="1"/>
    </xf>
    <xf numFmtId="0" fontId="41" fillId="14" borderId="109" xfId="0" applyFont="1" applyFill="1" applyBorder="1" applyAlignment="1">
      <alignment horizontal="left" vertical="center"/>
    </xf>
    <xf numFmtId="0" fontId="41" fillId="14" borderId="110" xfId="0" applyFont="1" applyFill="1" applyBorder="1" applyAlignment="1">
      <alignment horizontal="left" vertical="center"/>
    </xf>
  </cellXfs>
  <cellStyles count="9">
    <cellStyle name="Hiperlink" xfId="8" builtinId="8"/>
    <cellStyle name="Moeda" xfId="3" builtinId="4"/>
    <cellStyle name="Normal" xfId="0" builtinId="0"/>
    <cellStyle name="Normal 4" xfId="5" xr:uid="{00000000-0005-0000-0000-000003000000}"/>
    <cellStyle name="Normal 5" xfId="4" xr:uid="{00000000-0005-0000-0000-000004000000}"/>
    <cellStyle name="Normal_PP-V" xfId="6" xr:uid="{00000000-0005-0000-0000-000005000000}"/>
    <cellStyle name="Normal_PP-VI" xfId="7" xr:uid="{00000000-0005-0000-0000-000006000000}"/>
    <cellStyle name="Porcentagem" xfId="2" builtinId="5"/>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connections" Target="connections.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Rateio</a:t>
            </a:r>
            <a:r>
              <a:rPr lang="pt-BR" baseline="0"/>
              <a:t> da</a:t>
            </a:r>
            <a:r>
              <a:rPr lang="pt-BR"/>
              <a:t> Parcela Fixa da Receita Requerida para 2025 com escalonamento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66FA-495C-B6E8-5D9D2A59E8E4}"/>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66FA-495C-B6E8-5D9D2A59E8E4}"/>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66FA-495C-B6E8-5D9D2A59E8E4}"/>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66FA-495C-B6E8-5D9D2A59E8E4}"/>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pt-BR"/>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Tarifa!$A$19:$A$22</c:f>
              <c:strCache>
                <c:ptCount val="4"/>
                <c:pt idx="0">
                  <c:v>CE</c:v>
                </c:pt>
                <c:pt idx="1">
                  <c:v>PB</c:v>
                </c:pt>
                <c:pt idx="2">
                  <c:v>PE</c:v>
                </c:pt>
                <c:pt idx="3">
                  <c:v>RN</c:v>
                </c:pt>
              </c:strCache>
            </c:strRef>
          </c:cat>
          <c:val>
            <c:numRef>
              <c:f>Tarifa!$B$19:$B$22</c:f>
              <c:numCache>
                <c:formatCode>_("R$"* #,##0.00_);_("R$"* \(#,##0.00\);_("R$"* "-"??_);_(@_)</c:formatCode>
                <c:ptCount val="4"/>
                <c:pt idx="0">
                  <c:v>4257804.2896074317</c:v>
                </c:pt>
                <c:pt idx="1">
                  <c:v>2840411.051851721</c:v>
                </c:pt>
                <c:pt idx="2">
                  <c:v>3031646.647421936</c:v>
                </c:pt>
                <c:pt idx="3">
                  <c:v>1108041.5390391864</c:v>
                </c:pt>
              </c:numCache>
            </c:numRef>
          </c:val>
          <c:extLst>
            <c:ext xmlns:c16="http://schemas.microsoft.com/office/drawing/2014/chart" uri="{C3380CC4-5D6E-409C-BE32-E72D297353CC}">
              <c16:uniqueId val="{00000000-D9E0-4FB3-8796-915BA4EF8C18}"/>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142875</xdr:colOff>
      <xdr:row>47</xdr:row>
      <xdr:rowOff>76199</xdr:rowOff>
    </xdr:from>
    <xdr:to>
      <xdr:col>3</xdr:col>
      <xdr:colOff>322792</xdr:colOff>
      <xdr:row>61</xdr:row>
      <xdr:rowOff>148166</xdr:rowOff>
    </xdr:to>
    <xdr:graphicFrame macro="">
      <xdr:nvGraphicFramePr>
        <xdr:cNvPr id="2" name="Gráfico 2">
          <a:extLst>
            <a:ext uri="{FF2B5EF4-FFF2-40B4-BE49-F238E27FC236}">
              <a16:creationId xmlns:a16="http://schemas.microsoft.com/office/drawing/2014/main" id="{CEA83376-0728-43C2-9ECC-66AB7FB3E1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8</xdr:col>
      <xdr:colOff>174625</xdr:colOff>
      <xdr:row>0</xdr:row>
      <xdr:rowOff>0</xdr:rowOff>
    </xdr:from>
    <xdr:ext cx="10502265" cy="2197735"/>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9728200" y="0"/>
          <a:ext cx="10502265" cy="2197735"/>
        </a:xfrm>
        <a:prstGeom prst="rect">
          <a:avLst/>
        </a:prstGeom>
      </xdr:spPr>
    </xdr:pic>
    <xdr:clientData/>
  </xdr:oneCellAnchor>
  <xdr:twoCellAnchor>
    <xdr:from>
      <xdr:col>8</xdr:col>
      <xdr:colOff>203200</xdr:colOff>
      <xdr:row>15</xdr:row>
      <xdr:rowOff>127000</xdr:rowOff>
    </xdr:from>
    <xdr:to>
      <xdr:col>14</xdr:col>
      <xdr:colOff>876300</xdr:colOff>
      <xdr:row>22</xdr:row>
      <xdr:rowOff>101600</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6908800" y="2984500"/>
          <a:ext cx="5664200" cy="13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Referência</a:t>
          </a:r>
          <a:r>
            <a:rPr lang="en-US" sz="1100" baseline="0"/>
            <a:t> para Custo de Softwares de Automação:</a:t>
          </a:r>
        </a:p>
        <a:p>
          <a:endParaRPr lang="en-US" sz="1100"/>
        </a:p>
        <a:p>
          <a:r>
            <a:rPr lang="en-US" sz="1100"/>
            <a:t>SCADA (Supervisiory Control and Data Acquisition) – sistema de aquisição de dados e controle de supervisão, proporcionando comunicação com os dispositivos de campo e controlando processos de forma automática, permitindo informações e gestão do processo produtivo</a:t>
          </a:r>
        </a:p>
      </xdr:txBody>
    </xdr:sp>
    <xdr:clientData/>
  </xdr:twoCellAnchor>
  <xdr:twoCellAnchor>
    <xdr:from>
      <xdr:col>8</xdr:col>
      <xdr:colOff>203200</xdr:colOff>
      <xdr:row>15</xdr:row>
      <xdr:rowOff>127000</xdr:rowOff>
    </xdr:from>
    <xdr:to>
      <xdr:col>14</xdr:col>
      <xdr:colOff>876300</xdr:colOff>
      <xdr:row>22</xdr:row>
      <xdr:rowOff>101600</xdr:rowOff>
    </xdr:to>
    <xdr:sp macro="" textlink="">
      <xdr:nvSpPr>
        <xdr:cNvPr id="5" name="TextBox 2">
          <a:extLst>
            <a:ext uri="{FF2B5EF4-FFF2-40B4-BE49-F238E27FC236}">
              <a16:creationId xmlns:a16="http://schemas.microsoft.com/office/drawing/2014/main" id="{00000000-0008-0000-0F00-000005000000}"/>
            </a:ext>
          </a:extLst>
        </xdr:cNvPr>
        <xdr:cNvSpPr txBox="1"/>
      </xdr:nvSpPr>
      <xdr:spPr>
        <a:xfrm>
          <a:off x="6908800" y="2984500"/>
          <a:ext cx="5664200" cy="13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Referência</a:t>
          </a:r>
          <a:r>
            <a:rPr lang="en-US" sz="1100" baseline="0"/>
            <a:t> para Custo de Softwares de Automação:</a:t>
          </a:r>
        </a:p>
        <a:p>
          <a:endParaRPr lang="en-US" sz="1100"/>
        </a:p>
        <a:p>
          <a:r>
            <a:rPr lang="en-US" sz="1100"/>
            <a:t>SCADA (Supervisiory Control and Data Acquisition) – sistema de aquisição de dados e controle de supervisão, proporcionando comunicação com os dispositivos de campo e controlando processos de forma automática, permitindo informações e gestão do processo produtivo</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naaguas.sharepoint.com/sites/SRB101/Documentos%20Compartilhados/CPISF/Tarifa%202024/3-calculo-da-tarifa-2024_EDITADA.xlsx" TargetMode="External"/><Relationship Id="rId1" Type="http://schemas.openxmlformats.org/officeDocument/2006/relationships/externalLinkPath" Target="/sites/SRB101/Documentos%20Compartilhados/CPISF/Tarifa%202024/3-calculo-da-tarifa-2024_EDITAD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anaaguas.sharepoint.com/sites/SRB101/Documentos%20Compartilhados/CPISF/Tarifa%202024/Calculo_da_tarifa_2024_marco_24.xlsx" TargetMode="External"/><Relationship Id="rId1" Type="http://schemas.openxmlformats.org/officeDocument/2006/relationships/externalLinkPath" Target="/sites/SRB101/Documentos%20Compartilhados/CPISF/Tarifa%202024/Calculo_da_tarifa_2024_marco_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anaaguas.sharepoint.com/sites/SRB101/Documentos%20Compartilhados/CPISF/Tarifa%202025/Custos%20Eixo%20Leste%202024%20-%20Contrato%20Principal%20O&amp;M.xlsx" TargetMode="External"/><Relationship Id="rId1" Type="http://schemas.openxmlformats.org/officeDocument/2006/relationships/externalLinkPath" Target="/sites/SRB101/Documentos%20Compartilhados/CPISF/Tarifa%202025/Custos%20Eixo%20Leste%202024%20-%20Contrato%20Principal%20O&amp;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gRNH6sXYsUqkmsX9kjuuFcYc8UAwpOZDu-WUoSnEQvOVs7Vq2mVAQJAc6y1EOQFZ" itemId="01AMOHAYWZ3MYA6HFQPFE3MYMI6C7X7R3P">
      <xxl21:absoluteUrl r:id="rId2"/>
    </xxl21:alternateUrls>
    <sheetNames>
      <sheetName val="custos unitários para atualizar"/>
      <sheetName val="Tarifa"/>
      <sheetName val="Anexo 1A_CF_ Energia Elétrica"/>
      <sheetName val="Anexo1B-CV Energia Elétrica"/>
      <sheetName val="Anexo 2_CF_O&amp;M"/>
      <sheetName val="Anexo 3_Custos Ambientais"/>
      <sheetName val="Anexo 4_CF_FRA"/>
      <sheetName val="Anexo 5_Desp Adm"/>
      <sheetName val="Anexo 6_Tx Adm"/>
      <sheetName val="mão de obra"/>
      <sheetName val="Veículos"/>
      <sheetName val="Equipamentos"/>
      <sheetName val="amoxarifado"/>
      <sheetName val="Ferramentas"/>
      <sheetName val="Materiais de consumo"/>
      <sheetName val="incendio"/>
      <sheetName val="automação"/>
      <sheetName val="helicoptero"/>
      <sheetName val="drone"/>
      <sheetName val="geomembranas"/>
      <sheetName val="linhas transmissão"/>
      <sheetName val="subestações"/>
      <sheetName val="baixa tensão"/>
      <sheetName val="materiais sobressalentes"/>
      <sheetName val="aferição medidores de vazão"/>
      <sheetName val="apoio rio Piranhas"/>
      <sheetName val="Depreciação"/>
      <sheetName val="Detalhe Custos Ambientais"/>
      <sheetName val="Custos Administrativos - Materi"/>
      <sheetName val="Impostos"/>
      <sheetName val="Benefícios"/>
      <sheetName val="Execução  Orçamentário "/>
      <sheetName val="Auditoria Contabilidade."/>
      <sheetName val="TABELA SALARIAL CODEVASF"/>
      <sheetName val="SALÁRIOS E ENCARGOS AJUSTADOS"/>
    </sheetNames>
    <sheetDataSet>
      <sheetData sheetId="0"/>
      <sheetData sheetId="1">
        <row r="19">
          <cell r="D19">
            <v>84523963.290677473</v>
          </cell>
        </row>
        <row r="23">
          <cell r="G23">
            <v>190398973.76556417</v>
          </cell>
        </row>
        <row r="24">
          <cell r="G24">
            <v>82650843.061139286</v>
          </cell>
        </row>
      </sheetData>
      <sheetData sheetId="2"/>
      <sheetData sheetId="3">
        <row r="7">
          <cell r="E7">
            <v>55006933.626428023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gRNH6sXYsUqkmsX9kjuuFcYc8UAwpOZDu-WUoSnEQvOVs7Vq2mVAQJAc6y1EOQFZ" itemId="01AMOHAYWXSR4AFROZ2FBYFOON5IPQR6FH">
      <xxl21:absoluteUrl r:id="rId2"/>
    </xxl21:alternateUrls>
    <sheetNames>
      <sheetName val="custos unitários para atualizar"/>
      <sheetName val="Tarifa"/>
      <sheetName val="Anexo 1A_CF_ Energia Elétrica"/>
      <sheetName val="Anexo1B-CV Energia Elétrica"/>
      <sheetName val="Anexo 2_CF_O&amp;M"/>
      <sheetName val="Anexo 3_Custos Ambientais"/>
      <sheetName val="Anexo 4_CF_FRA"/>
      <sheetName val="Anexo 5_Desp Adm"/>
      <sheetName val="Anexo 6_Tx Adm"/>
      <sheetName val="mão de obra"/>
      <sheetName val="Veículos"/>
      <sheetName val="Equipamentos"/>
      <sheetName val="amoxarifado"/>
      <sheetName val="Ferramentas"/>
      <sheetName val="Materiais de consumo"/>
      <sheetName val="incendio"/>
      <sheetName val="automação"/>
      <sheetName val="helicoptero"/>
      <sheetName val="drone"/>
      <sheetName val="geomembranas"/>
      <sheetName val="linhas transmissão"/>
      <sheetName val="subestações"/>
      <sheetName val="baixa tensão"/>
      <sheetName val="materiais sobressalentes"/>
      <sheetName val="aferição medidores de vazão"/>
      <sheetName val="apoio rio Piranhas"/>
      <sheetName val="Depreciação"/>
      <sheetName val="Custos Administrativos - Materi"/>
      <sheetName val="Impostos"/>
      <sheetName val="Benefícios"/>
      <sheetName val="Execução  Orçamentário "/>
      <sheetName val="Auditoria Contabilidade."/>
      <sheetName val="TABELA SALARIAL CODEVASF"/>
      <sheetName val="SALÁRIOS E ENCARGOS AJUSTADOS"/>
    </sheetNames>
    <sheetDataSet>
      <sheetData sheetId="0" refreshError="1"/>
      <sheetData sheetId="1" refreshError="1"/>
      <sheetData sheetId="2" refreshError="1"/>
      <sheetData sheetId="3">
        <row r="7">
          <cell r="C7">
            <v>493911.58863632951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 CODEVASF"/>
      <sheetName val="DE-PARA GRUPO"/>
    </sheetNames>
    <sheetDataSet>
      <sheetData sheetId="0">
        <row r="67">
          <cell r="J67">
            <v>8</v>
          </cell>
        </row>
        <row r="103">
          <cell r="J103">
            <v>117.33</v>
          </cell>
          <cell r="K103">
            <v>138.84</v>
          </cell>
        </row>
      </sheetData>
      <sheetData sheetId="1"/>
    </sheetDataSet>
  </externalBook>
</externalLink>
</file>

<file path=xl/persons/person.xml><?xml version="1.0" encoding="utf-8"?>
<personList xmlns="http://schemas.microsoft.com/office/spreadsheetml/2018/threadedcomments" xmlns:x="http://schemas.openxmlformats.org/spreadsheetml/2006/main">
  <person displayName="Rodrigo Cesar de Moraes Fonseca" id="{D2F0DBDB-88ED-4D75-89C8-27A77F18D4E4}" userId="S::rodrigo.fonseca@ana.gov.br::11f9dcee-88a6-48fa-8dd4-f60659c55d16" providerId="AD"/>
</personList>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7" dT="2025-01-02T18:18:49.87" personId="{D2F0DBDB-88ED-4D75-89C8-27A77F18D4E4}" id="{44AF65D4-2152-4967-B201-F0FF6C5D9745}">
    <text>RESOLUÇÃO HOMOLOGATÓRIA Nº 3.349 DE 16 DE JULHO DE 2024</text>
  </threadedComment>
  <threadedComment ref="A17" dT="2025-01-02T19:08:46.41" personId="{D2F0DBDB-88ED-4D75-89C8-27A77F18D4E4}" id="{B0806452-381F-4BF3-B8F5-C1D886E46404}" parentId="{44AF65D4-2152-4967-B201-F0FF6C5D9745}">
    <text>Checar se está adequado.</text>
  </threadedComment>
  <threadedComment ref="A17" dT="2025-01-02T19:19:40.76" personId="{D2F0DBDB-88ED-4D75-89C8-27A77F18D4E4}" id="{1C0DA66A-A7A3-4FD4-88E6-39FDD5745405}" parentId="{44AF65D4-2152-4967-B201-F0FF6C5D9745}">
    <text>Inclui ICMS?</text>
  </threadedComment>
  <threadedComment ref="A18" dT="2025-01-23T19:58:11.14" personId="{D2F0DBDB-88ED-4D75-89C8-27A77F18D4E4}" id="{3F1AEE98-EFF3-4340-B162-C02EDBA2BB81}">
    <text>Atualizar conforme CUST com o ONS (aditivos)</text>
  </threadedComment>
</ThreadedComments>
</file>

<file path=xl/threadedComments/threadedComment2.xml><?xml version="1.0" encoding="utf-8"?>
<ThreadedComments xmlns="http://schemas.microsoft.com/office/spreadsheetml/2018/threadedcomments" xmlns:x="http://schemas.openxmlformats.org/spreadsheetml/2006/main">
  <threadedComment ref="A7" dT="2025-01-23T17:46:15.29" personId="{D2F0DBDB-88ED-4D75-89C8-27A77F18D4E4}" id="{CF07694B-28EB-4404-B13E-05258066E966}">
    <text xml:space="preserve">Consumo "teórico". Baseado na vazão proporcional e coeficiente de eficiência normalizado. </text>
  </threadedComment>
  <threadedComment ref="B7" dT="2025-01-28T20:07:43.05" personId="{D2F0DBDB-88ED-4D75-89C8-27A77F18D4E4}" id="{78BF3B45-E951-45B0-953F-FF9F90187C01}">
    <text>Dois últimos anos de operação do PISF</text>
  </threadedComment>
  <threadedComment ref="E7" dT="2025-01-02T17:46:14.79" personId="{D2F0DBDB-88ED-4D75-89C8-27A77F18D4E4}" id="{069DA446-E2CE-4289-B28C-00EFBBA1CD04}">
    <text>CORRIGIDO PELO IPCA ANUALMENTE (CONTRATO CHESF) CALCULAR ICMS POR DENTRO.</text>
  </threadedComment>
  <threadedComment ref="E7" dT="2025-01-02T19:10:04.57" personId="{D2F0DBDB-88ED-4D75-89C8-27A77F18D4E4}" id="{F1058FBA-B9D7-42E2-BDBB-4777C922A4FC}" parentId="{069DA446-E2CE-4289-B28C-00EFBBA1CD04}">
    <text>Até nov/24, com ICMS, daria 116,11</text>
  </threadedComment>
  <threadedComment ref="E7" dT="2025-01-06T19:52:12.52" personId="{D2F0DBDB-88ED-4D75-89C8-27A77F18D4E4}" id="{9A9B6C08-38A6-4B94-9B56-81465D57D50A}" parentId="{069DA446-E2CE-4289-B28C-00EFBBA1CD04}">
    <text>Lei 14.182/2021 - § 6º  Em adição ao aporte especificado no caput deste artigo, as concessionárias de geração de energia elétrica localizadas nas bacias do Rio São Francisco, cujos contratos de concessão sejam afetados por esta Lei, deverão disponibilizar energia elétrica em um montante anual de 85 MWmed (oitenta e cinco megawatts médios), pelo prazo de 20 (vinte) anos, a partir da data de publicação desta Lei, pelo preço de R$ 80,00/MWh (oitenta reais por megawatt-hora), a ser corrigido pelo IPCA, ou por outro índice que vier a substituí-lo, por meio de contrato específico diretamente ao Operador Federal das instalações do PISF.</text>
  </threadedComment>
  <threadedComment ref="A11" dT="2025-01-02T16:43:04.47" personId="{D2F0DBDB-88ED-4D75-89C8-27A77F18D4E4}" id="{98307867-23DC-4567-B36D-A524DE339ED8}">
    <text>RESOLUÇÃO HOMOLOGATÓRIA Nº 3.426, DE 10 DE DEZEMBRO DE 2024</text>
  </threadedComment>
  <threadedComment ref="B11" dT="2025-01-02T16:50:13.83" personId="{D2F0DBDB-88ED-4D75-89C8-27A77F18D4E4}" id="{DC5A425C-91E9-4B77-91FE-926EE6E24EAB}">
    <text>ANEEL aprova quotas de custeio e energia elétrica do Proinfa para 2025 com custo médio de R$ 543,56/MWh — Agência Nacional de Energia Elétrica</text>
    <extLst>
      <x:ext xmlns:xltc2="http://schemas.microsoft.com/office/spreadsheetml/2020/threadedcomments2" uri="{F7C98A9C-CBB3-438F-8F68-D28B6AF4A901}">
        <xltc2:checksum>3129306588</xltc2:checksum>
        <xltc2:hyperlink startIndex="0" length="142" url="https://www.gov.br/aneel/pt-br/assuntos/noticias/2024/aneel-aprova-quotas-de-custeio-e-energia-eletrica-do-proinfa-para-2025-com-custo-medio-de-r-543-56-mwh"/>
      </x:ext>
    </extLst>
  </threadedComment>
  <threadedComment ref="L14" dT="2025-01-24T13:42:15.72" personId="{D2F0DBDB-88ED-4D75-89C8-27A77F18D4E4}" id="{E53E5432-F719-49C9-9444-56900D67D660}">
    <text>Atualizado conforme PGA 2025 desconsiderando restrições do Art. 8º (assinatura dos contrato)</text>
  </threadedComment>
</ThreadedComments>
</file>

<file path=xl/threadedComments/threadedComment3.xml><?xml version="1.0" encoding="utf-8"?>
<ThreadedComments xmlns="http://schemas.microsoft.com/office/spreadsheetml/2018/threadedcomments" xmlns:x="http://schemas.openxmlformats.org/spreadsheetml/2006/main">
  <threadedComment ref="B3" dT="2025-01-08T11:49:13.37" personId="{D2F0DBDB-88ED-4D75-89C8-27A77F18D4E4}" id="{BE090EA1-0538-486C-BFA2-FBFCC8B28746}">
    <text>Atualizar!</text>
  </threadedComment>
</ThreadedComments>
</file>

<file path=xl/threadedComments/threadedComment4.xml><?xml version="1.0" encoding="utf-8"?>
<ThreadedComments xmlns="http://schemas.microsoft.com/office/spreadsheetml/2018/threadedcomments" xmlns:x="http://schemas.openxmlformats.org/spreadsheetml/2006/main">
  <threadedComment ref="D7" dT="2025-03-21T14:09:06.67" personId="{D2F0DBDB-88ED-4D75-89C8-27A77F18D4E4}" id="{5F427B67-8DCF-493D-9806-2F7F2A2C40A0}">
    <text>Mantido preço tabela</text>
  </threadedComment>
</ThreadedComments>
</file>

<file path=xl/threadedComments/threadedComment5.xml><?xml version="1.0" encoding="utf-8"?>
<ThreadedComments xmlns="http://schemas.microsoft.com/office/spreadsheetml/2018/threadedcomments" xmlns:x="http://schemas.openxmlformats.org/spreadsheetml/2006/main">
  <threadedComment ref="D8" dT="2025-01-27T14:21:39.07" personId="{D2F0DBDB-88ED-4D75-89C8-27A77F18D4E4}" id="{37A6BA9E-8327-425A-9D0F-BB5D9E85D211}">
    <text>SEM BDI</text>
  </threadedComment>
</ThreadedComments>
</file>

<file path=xl/threadedComments/threadedComment6.xml><?xml version="1.0" encoding="utf-8"?>
<ThreadedComments xmlns="http://schemas.microsoft.com/office/spreadsheetml/2018/threadedcomments" xmlns:x="http://schemas.openxmlformats.org/spreadsheetml/2006/main">
  <threadedComment ref="C6" dT="2025-03-21T13:49:41.69" personId="{D2F0DBDB-88ED-4D75-89C8-27A77F18D4E4}" id="{4504A6D3-1143-46ED-B36F-4AD6718E75AB}">
    <text>Contemplado no item "Escavadeiras hidráulicas"</text>
  </threadedComment>
  <threadedComment ref="B7" dT="2025-03-21T13:43:43.76" personId="{D2F0DBDB-88ED-4D75-89C8-27A77F18D4E4}" id="{88BE724E-035E-4099-9C27-CD30FC02A41F}">
    <text>Descrição modificada para agrupar diversos portes de escavadeiras hidráulicas. Preço médio.</text>
  </threadedComment>
  <threadedComment ref="F7" dT="2025-03-21T13:41:00.19" personId="{D2F0DBDB-88ED-4D75-89C8-27A77F18D4E4}" id="{6F2B9B5E-B7E3-48DB-8150-8D307CC33150}">
    <text>Preço Médio para os diversos tipos</text>
  </threadedComment>
  <threadedComment ref="B8" dT="2025-03-21T13:44:23.76" personId="{D2F0DBDB-88ED-4D75-89C8-27A77F18D4E4}" id="{F2DAE348-DA98-4BCB-8BDD-46BC2065B478}">
    <text>Descrição modificada para agrupar diversos portes de escavadeiras hidráulicas. Preço médio.</text>
  </threadedComment>
  <threadedComment ref="F8" dT="2025-03-21T13:40:50.50" personId="{D2F0DBDB-88ED-4D75-89C8-27A77F18D4E4}" id="{7A9495AD-81AD-426B-99F5-F9424399A87F}">
    <text>Preço Médio para os diversos tipos</text>
  </threadedComment>
  <threadedComment ref="B11" dT="2025-03-21T13:48:58.58" personId="{D2F0DBDB-88ED-4D75-89C8-27A77F18D4E4}" id="{0260F082-CA4F-4F33-BF44-B429E8A1B753}">
    <text>Descrição modificada para adequar ao item nos contratos.</text>
  </threadedComment>
  <threadedComment ref="B12" dT="2025-03-21T13:44:15.53" personId="{D2F0DBDB-88ED-4D75-89C8-27A77F18D4E4}" id="{AADE7172-A698-41E2-9233-F5A308E8CEC7}">
    <text xml:space="preserve">Descrição modificada para agrupar diversos portes de escavadeiras hidráulicas. Preço médio.
</text>
  </threadedComment>
  <threadedComment ref="C13" dT="2025-03-21T13:49:26.39" personId="{D2F0DBDB-88ED-4D75-89C8-27A77F18D4E4}" id="{2663CCF9-1CD7-4E40-A717-1852FBC0BCBC}">
    <text>Contemplado no item "retroescavadeiras"</text>
  </threadedComment>
  <threadedComment ref="C14" dT="2025-03-21T13:49:12.59" personId="{D2F0DBDB-88ED-4D75-89C8-27A77F18D4E4}" id="{CEDA2D07-8445-4E43-80B4-0770EBCBD3D2}">
    <text>Contemplado no item Grupo Gerador</text>
  </threadedComment>
  <threadedComment ref="C20" dT="2025-03-21T13:49:57.53" personId="{D2F0DBDB-88ED-4D75-89C8-27A77F18D4E4}" id="{1EBDD57E-94B9-4FCB-9D31-CE77797DCA41}">
    <text>Contemplado no item "Grupo Gerador"</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n.gov.br/en/web/dou/-/decreto-n-11.872-de-29-de-dezembro-de-2023-534996945"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 Id="rId4" Type="http://schemas.microsoft.com/office/2017/10/relationships/threadedComment" Target="../threadedComments/threadedComment4.x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2.aneel.gov.br/cedoc/areh20243349_2.pdf"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https://www2.aneel.gov.br/cedoc/reh20243422ti.pdf"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L32"/>
  <sheetViews>
    <sheetView showGridLines="0" zoomScaleNormal="100" workbookViewId="0">
      <selection activeCell="D8" sqref="D8"/>
    </sheetView>
  </sheetViews>
  <sheetFormatPr defaultColWidth="8.85546875" defaultRowHeight="15" x14ac:dyDescent="0.25"/>
  <cols>
    <col min="1" max="1" width="69.140625" customWidth="1"/>
    <col min="2" max="3" width="20.7109375" customWidth="1"/>
    <col min="4" max="4" width="144.42578125" customWidth="1"/>
    <col min="5" max="5" width="12.42578125" bestFit="1" customWidth="1"/>
    <col min="6" max="6" width="12.7109375" customWidth="1"/>
    <col min="7" max="7" width="22.7109375" customWidth="1"/>
    <col min="8" max="8" width="12.7109375" customWidth="1"/>
    <col min="9" max="9" width="21.7109375" customWidth="1"/>
  </cols>
  <sheetData>
    <row r="1" spans="1:9" ht="21.75" thickBot="1" x14ac:dyDescent="0.4">
      <c r="A1" s="910" t="s">
        <v>0</v>
      </c>
      <c r="B1" s="911"/>
      <c r="C1" s="911"/>
      <c r="D1" s="912"/>
    </row>
    <row r="2" spans="1:9" ht="21.75" thickBot="1" x14ac:dyDescent="0.4">
      <c r="A2" s="34" t="s">
        <v>1</v>
      </c>
      <c r="D2" s="38"/>
      <c r="F2" s="41" t="s">
        <v>2</v>
      </c>
    </row>
    <row r="3" spans="1:9" ht="26.25" thickBot="1" x14ac:dyDescent="0.3">
      <c r="A3" s="400" t="s">
        <v>3</v>
      </c>
      <c r="B3" s="13" t="s">
        <v>4</v>
      </c>
      <c r="C3" s="13" t="s">
        <v>5</v>
      </c>
      <c r="D3" s="459" t="s">
        <v>6</v>
      </c>
      <c r="F3" s="335" t="s">
        <v>7</v>
      </c>
      <c r="G3" s="336" t="s">
        <v>8</v>
      </c>
      <c r="H3" s="336" t="s">
        <v>9</v>
      </c>
      <c r="I3" s="336" t="s">
        <v>8</v>
      </c>
    </row>
    <row r="4" spans="1:9" ht="15.75" thickBot="1" x14ac:dyDescent="0.3">
      <c r="A4" s="333" t="s">
        <v>10</v>
      </c>
      <c r="B4" s="331">
        <v>0.79693099999999994</v>
      </c>
      <c r="C4" s="707" t="s">
        <v>11</v>
      </c>
      <c r="D4" s="334" t="s">
        <v>12</v>
      </c>
      <c r="E4" s="706" t="s">
        <v>13</v>
      </c>
      <c r="F4" s="337" t="s">
        <v>14</v>
      </c>
      <c r="G4" s="458">
        <v>6.79</v>
      </c>
      <c r="H4" s="338" t="s">
        <v>15</v>
      </c>
      <c r="I4" s="458">
        <v>10.28</v>
      </c>
    </row>
    <row r="5" spans="1:9" ht="15.75" thickBot="1" x14ac:dyDescent="0.3">
      <c r="A5" s="333" t="s">
        <v>16</v>
      </c>
      <c r="B5" s="328">
        <v>5.7778999999999998</v>
      </c>
      <c r="C5" s="707">
        <v>45596</v>
      </c>
      <c r="D5" s="334" t="s">
        <v>17</v>
      </c>
      <c r="E5" s="706" t="s">
        <v>13</v>
      </c>
      <c r="F5" s="337" t="s">
        <v>18</v>
      </c>
      <c r="G5" s="458">
        <v>6.62</v>
      </c>
      <c r="H5" s="338" t="s">
        <v>19</v>
      </c>
      <c r="I5" s="458">
        <v>9.52</v>
      </c>
    </row>
    <row r="6" spans="1:9" ht="15.75" thickBot="1" x14ac:dyDescent="0.3">
      <c r="A6" s="333" t="s">
        <v>20</v>
      </c>
      <c r="B6" s="328">
        <v>22010.58</v>
      </c>
      <c r="C6" s="707">
        <v>45566</v>
      </c>
      <c r="D6" s="334" t="s">
        <v>21</v>
      </c>
      <c r="E6" s="706" t="s">
        <v>13</v>
      </c>
      <c r="F6" s="337" t="s">
        <v>22</v>
      </c>
      <c r="G6" s="458">
        <v>6.36</v>
      </c>
      <c r="H6" s="338" t="s">
        <v>23</v>
      </c>
      <c r="I6" s="458">
        <v>8.3800000000000008</v>
      </c>
    </row>
    <row r="7" spans="1:9" ht="15.75" thickBot="1" x14ac:dyDescent="0.3">
      <c r="A7" s="333" t="s">
        <v>24</v>
      </c>
      <c r="B7" s="328">
        <v>16112.71</v>
      </c>
      <c r="C7" s="707">
        <v>45566</v>
      </c>
      <c r="D7" s="334" t="s">
        <v>21</v>
      </c>
      <c r="E7" s="706" t="s">
        <v>13</v>
      </c>
      <c r="F7" s="339" t="s">
        <v>25</v>
      </c>
      <c r="G7" s="458">
        <v>5.25</v>
      </c>
      <c r="H7" s="341"/>
      <c r="I7" s="341"/>
    </row>
    <row r="8" spans="1:9" ht="15.75" thickBot="1" x14ac:dyDescent="0.3">
      <c r="A8" s="333" t="s">
        <v>26</v>
      </c>
      <c r="B8" s="328">
        <v>12880.98</v>
      </c>
      <c r="C8" s="707">
        <v>45566</v>
      </c>
      <c r="D8" s="334" t="s">
        <v>21</v>
      </c>
      <c r="E8" s="706" t="s">
        <v>13</v>
      </c>
      <c r="F8" s="339" t="s">
        <v>27</v>
      </c>
      <c r="G8" s="458">
        <v>4.46</v>
      </c>
      <c r="H8" s="341"/>
      <c r="I8" s="341"/>
    </row>
    <row r="9" spans="1:9" ht="15.75" thickBot="1" x14ac:dyDescent="0.3">
      <c r="A9" s="333" t="s">
        <v>28</v>
      </c>
      <c r="B9" s="328">
        <v>12002</v>
      </c>
      <c r="C9" s="707">
        <v>45566</v>
      </c>
      <c r="D9" s="334" t="s">
        <v>21</v>
      </c>
      <c r="E9" s="706" t="s">
        <v>13</v>
      </c>
      <c r="F9" s="339" t="s">
        <v>29</v>
      </c>
      <c r="G9" s="458">
        <v>4.4000000000000004</v>
      </c>
      <c r="H9" s="341"/>
      <c r="I9" s="341"/>
    </row>
    <row r="10" spans="1:9" x14ac:dyDescent="0.25">
      <c r="A10" s="333" t="s">
        <v>30</v>
      </c>
      <c r="B10" s="328">
        <v>4601.83</v>
      </c>
      <c r="C10" s="707">
        <v>45566</v>
      </c>
      <c r="D10" s="334" t="s">
        <v>21</v>
      </c>
      <c r="E10" s="706" t="s">
        <v>13</v>
      </c>
      <c r="F10" s="340"/>
    </row>
    <row r="11" spans="1:9" x14ac:dyDescent="0.25">
      <c r="A11" s="333" t="s">
        <v>31</v>
      </c>
      <c r="B11" s="328">
        <v>3213.73</v>
      </c>
      <c r="C11" s="707">
        <v>45566</v>
      </c>
      <c r="D11" s="334" t="s">
        <v>21</v>
      </c>
      <c r="E11" s="706" t="s">
        <v>13</v>
      </c>
    </row>
    <row r="12" spans="1:9" x14ac:dyDescent="0.25">
      <c r="A12" s="333" t="s">
        <v>32</v>
      </c>
      <c r="B12" s="328">
        <v>4350</v>
      </c>
      <c r="C12" s="707">
        <v>45627</v>
      </c>
      <c r="D12" s="334" t="s">
        <v>33</v>
      </c>
      <c r="E12" s="706" t="s">
        <v>13</v>
      </c>
    </row>
    <row r="13" spans="1:9" x14ac:dyDescent="0.25">
      <c r="A13" s="333" t="s">
        <v>34</v>
      </c>
      <c r="B13" s="328">
        <v>1894.53</v>
      </c>
      <c r="C13" s="707">
        <v>45566</v>
      </c>
      <c r="D13" s="334" t="s">
        <v>21</v>
      </c>
      <c r="E13" s="706" t="s">
        <v>13</v>
      </c>
    </row>
    <row r="14" spans="1:9" x14ac:dyDescent="0.25">
      <c r="A14" s="333" t="s">
        <v>35</v>
      </c>
      <c r="B14" s="328">
        <f>16.24*8*22</f>
        <v>2858.24</v>
      </c>
      <c r="C14" s="707">
        <v>45566</v>
      </c>
      <c r="D14" s="334" t="s">
        <v>36</v>
      </c>
      <c r="E14" s="706" t="s">
        <v>13</v>
      </c>
    </row>
    <row r="15" spans="1:9" x14ac:dyDescent="0.25">
      <c r="A15" s="333" t="s">
        <v>37</v>
      </c>
      <c r="B15" s="328">
        <v>1613.42</v>
      </c>
      <c r="C15" s="707">
        <v>45566</v>
      </c>
      <c r="D15" s="334" t="s">
        <v>21</v>
      </c>
      <c r="E15" s="706" t="s">
        <v>13</v>
      </c>
    </row>
    <row r="16" spans="1:9" x14ac:dyDescent="0.25">
      <c r="A16" s="333" t="s">
        <v>38</v>
      </c>
      <c r="B16" s="328">
        <v>21.05</v>
      </c>
      <c r="C16" s="707">
        <v>45566</v>
      </c>
      <c r="D16" s="712" t="s">
        <v>39</v>
      </c>
      <c r="E16" s="706" t="s">
        <v>13</v>
      </c>
    </row>
    <row r="17" spans="1:12" x14ac:dyDescent="0.25">
      <c r="A17" s="460" t="s">
        <v>40</v>
      </c>
      <c r="B17" s="328">
        <v>27.22</v>
      </c>
      <c r="C17" s="707">
        <v>45566</v>
      </c>
      <c r="D17" s="334" t="s">
        <v>41</v>
      </c>
      <c r="E17" s="706" t="s">
        <v>13</v>
      </c>
    </row>
    <row r="18" spans="1:12" x14ac:dyDescent="0.25">
      <c r="A18" s="460" t="s">
        <v>42</v>
      </c>
      <c r="B18" s="328">
        <v>54.88</v>
      </c>
      <c r="C18" s="707">
        <v>45566</v>
      </c>
      <c r="D18" s="712" t="s">
        <v>43</v>
      </c>
      <c r="E18" s="706" t="s">
        <v>13</v>
      </c>
    </row>
    <row r="19" spans="1:12" x14ac:dyDescent="0.25">
      <c r="A19" s="460" t="s">
        <v>44</v>
      </c>
      <c r="B19" s="328">
        <v>26.5</v>
      </c>
      <c r="C19" s="707">
        <v>45566</v>
      </c>
      <c r="D19" s="334" t="s">
        <v>45</v>
      </c>
      <c r="E19" s="706" t="s">
        <v>13</v>
      </c>
    </row>
    <row r="20" spans="1:12" x14ac:dyDescent="0.25">
      <c r="A20" s="460" t="s">
        <v>46</v>
      </c>
      <c r="B20" s="328">
        <v>27.98</v>
      </c>
      <c r="C20" s="707">
        <v>45566</v>
      </c>
      <c r="D20" s="334" t="s">
        <v>47</v>
      </c>
      <c r="E20" s="706" t="s">
        <v>13</v>
      </c>
    </row>
    <row r="21" spans="1:12" x14ac:dyDescent="0.25">
      <c r="A21" s="460" t="s">
        <v>48</v>
      </c>
      <c r="B21" s="328">
        <v>22.03</v>
      </c>
      <c r="C21" s="707">
        <v>45566</v>
      </c>
      <c r="D21" s="712" t="s">
        <v>49</v>
      </c>
      <c r="E21" s="706" t="s">
        <v>13</v>
      </c>
    </row>
    <row r="22" spans="1:12" x14ac:dyDescent="0.25">
      <c r="A22" s="460" t="s">
        <v>50</v>
      </c>
      <c r="B22" s="328">
        <v>1132.46</v>
      </c>
      <c r="C22" s="719" t="s">
        <v>51</v>
      </c>
      <c r="D22" s="708" t="s">
        <v>52</v>
      </c>
      <c r="E22" t="s">
        <v>53</v>
      </c>
      <c r="F22">
        <f>1.06*1000</f>
        <v>1060</v>
      </c>
      <c r="G22" t="s">
        <v>54</v>
      </c>
      <c r="H22">
        <f>1.05*1000</f>
        <v>1050</v>
      </c>
      <c r="I22" t="s">
        <v>55</v>
      </c>
      <c r="J22">
        <v>911.02</v>
      </c>
      <c r="K22" t="s">
        <v>56</v>
      </c>
      <c r="L22">
        <v>962.66</v>
      </c>
    </row>
    <row r="23" spans="1:12" x14ac:dyDescent="0.25">
      <c r="A23" s="460" t="s">
        <v>57</v>
      </c>
      <c r="B23" s="328">
        <v>126.95</v>
      </c>
      <c r="C23" s="329">
        <v>44957</v>
      </c>
      <c r="D23" s="334" t="s">
        <v>58</v>
      </c>
      <c r="E23" t="s">
        <v>59</v>
      </c>
    </row>
    <row r="24" spans="1:12" x14ac:dyDescent="0.25">
      <c r="A24" s="460" t="s">
        <v>60</v>
      </c>
      <c r="B24" s="328">
        <v>74.05</v>
      </c>
      <c r="C24" s="329">
        <v>44957</v>
      </c>
      <c r="D24" s="695" t="s">
        <v>58</v>
      </c>
      <c r="E24" t="s">
        <v>59</v>
      </c>
    </row>
    <row r="25" spans="1:12" x14ac:dyDescent="0.25">
      <c r="A25" s="231" t="s">
        <v>61</v>
      </c>
      <c r="B25" s="328">
        <v>380</v>
      </c>
      <c r="C25" s="707">
        <v>45627</v>
      </c>
      <c r="D25" s="720" t="s">
        <v>62</v>
      </c>
      <c r="E25" s="706" t="s">
        <v>13</v>
      </c>
    </row>
    <row r="26" spans="1:12" x14ac:dyDescent="0.25">
      <c r="A26" s="231" t="s">
        <v>63</v>
      </c>
      <c r="B26" s="328">
        <v>272.77</v>
      </c>
      <c r="C26" s="707">
        <v>45597</v>
      </c>
      <c r="D26" s="334" t="s">
        <v>64</v>
      </c>
      <c r="E26" s="706" t="s">
        <v>13</v>
      </c>
    </row>
    <row r="27" spans="1:12" x14ac:dyDescent="0.25">
      <c r="A27" s="333" t="s">
        <v>65</v>
      </c>
      <c r="B27" s="328">
        <f>(66*78.13)+(116.49*22.83)</f>
        <v>7816.046699999999</v>
      </c>
      <c r="C27" s="707">
        <v>45566</v>
      </c>
      <c r="D27" s="334" t="s">
        <v>66</v>
      </c>
      <c r="E27" s="706" t="s">
        <v>13</v>
      </c>
    </row>
    <row r="28" spans="1:12" ht="29.1" customHeight="1" x14ac:dyDescent="0.25">
      <c r="A28" s="333" t="s">
        <v>67</v>
      </c>
      <c r="B28" s="328">
        <v>57.34</v>
      </c>
      <c r="C28" s="707">
        <v>45597</v>
      </c>
      <c r="D28" s="606" t="s">
        <v>68</v>
      </c>
      <c r="E28" s="706" t="s">
        <v>13</v>
      </c>
    </row>
    <row r="29" spans="1:12" x14ac:dyDescent="0.25">
      <c r="A29" s="333" t="s">
        <v>69</v>
      </c>
      <c r="B29" s="328">
        <v>107.68</v>
      </c>
      <c r="C29" s="707">
        <v>45597</v>
      </c>
      <c r="D29" s="334" t="s">
        <v>70</v>
      </c>
      <c r="E29" s="706" t="s">
        <v>13</v>
      </c>
    </row>
    <row r="31" spans="1:12" x14ac:dyDescent="0.25">
      <c r="B31" s="39"/>
    </row>
    <row r="32" spans="1:12" x14ac:dyDescent="0.25">
      <c r="B32" s="39"/>
    </row>
  </sheetData>
  <sheetProtection algorithmName="SHA-512" hashValue="bnHp/Toe1AVfFCVNVeYdSaayuC3uslEoKX5Q0SbkvQtjGaW0amgfpJDHVR6abFnBFnK4FxVB4MaYwYGf6W01MA==" saltValue="LcuUhbUUYCAxxZSbq7d7yg==" spinCount="100000" sheet="1" objects="1" scenarios="1"/>
  <mergeCells count="1">
    <mergeCell ref="A1:D1"/>
  </mergeCells>
  <hyperlinks>
    <hyperlink ref="D25" r:id="rId1" display="https://www.in.gov.br/en/web/dou/-/decreto-n-11.872-de-29-de-dezembro-de-2023-534996945" xr:uid="{C5E3D70D-0287-4CAE-876E-14C44CE48A1A}"/>
  </hyperlinks>
  <pageMargins left="0.511811024" right="0.511811024" top="0.78740157499999996" bottom="0.78740157499999996" header="0.31496062000000002" footer="0.31496062000000002"/>
  <pageSetup orientation="portrait"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38"/>
  <sheetViews>
    <sheetView showGridLines="0" zoomScale="115" zoomScaleNormal="115" workbookViewId="0"/>
  </sheetViews>
  <sheetFormatPr defaultColWidth="12.42578125" defaultRowHeight="15" x14ac:dyDescent="0.25"/>
  <cols>
    <col min="1" max="1" width="9.42578125" customWidth="1"/>
    <col min="2" max="2" width="48.42578125" customWidth="1"/>
    <col min="3" max="3" width="13.140625" customWidth="1"/>
    <col min="4" max="4" width="17" customWidth="1"/>
    <col min="5" max="5" width="18" customWidth="1"/>
    <col min="6" max="6" width="12" customWidth="1"/>
    <col min="7" max="7" width="14.7109375" customWidth="1"/>
    <col min="8" max="8" width="13.140625" customWidth="1"/>
    <col min="9" max="9" width="16.28515625" customWidth="1"/>
    <col min="10" max="10" width="17.85546875" customWidth="1"/>
    <col min="11" max="11" width="5.28515625" customWidth="1"/>
    <col min="12" max="12" width="8.42578125" customWidth="1"/>
    <col min="13" max="13" width="37.7109375" customWidth="1"/>
    <col min="14" max="14" width="12.42578125" customWidth="1"/>
  </cols>
  <sheetData>
    <row r="1" spans="1:23" x14ac:dyDescent="0.25">
      <c r="A1" t="s">
        <v>1563</v>
      </c>
    </row>
    <row r="2" spans="1:23" ht="38.25" x14ac:dyDescent="0.25">
      <c r="A2" s="996" t="s">
        <v>3</v>
      </c>
      <c r="B2" s="996" t="s">
        <v>533</v>
      </c>
      <c r="C2" s="996" t="s">
        <v>534</v>
      </c>
      <c r="D2" s="996" t="s">
        <v>535</v>
      </c>
      <c r="E2" s="29" t="s">
        <v>536</v>
      </c>
      <c r="F2" s="29" t="s">
        <v>537</v>
      </c>
      <c r="G2" s="29" t="s">
        <v>538</v>
      </c>
      <c r="H2" s="29" t="s">
        <v>539</v>
      </c>
      <c r="I2" s="29" t="s">
        <v>540</v>
      </c>
      <c r="J2" s="996" t="s">
        <v>541</v>
      </c>
      <c r="L2" t="s">
        <v>542</v>
      </c>
    </row>
    <row r="3" spans="1:23" ht="15" customHeight="1" x14ac:dyDescent="0.25">
      <c r="A3" s="996"/>
      <c r="B3" s="996"/>
      <c r="C3" s="996"/>
      <c r="D3" s="996"/>
      <c r="E3" s="28">
        <v>0.73570000000000002</v>
      </c>
      <c r="F3" s="28">
        <v>0.2177</v>
      </c>
      <c r="G3" s="28">
        <v>0.15</v>
      </c>
      <c r="H3" s="28">
        <v>0.3</v>
      </c>
      <c r="I3" s="28">
        <v>0.21</v>
      </c>
      <c r="J3" s="996"/>
      <c r="L3" s="29" t="s">
        <v>3</v>
      </c>
      <c r="M3" s="29" t="s">
        <v>533</v>
      </c>
      <c r="N3" s="29" t="s">
        <v>534</v>
      </c>
      <c r="O3" s="29" t="s">
        <v>4</v>
      </c>
      <c r="P3" s="29" t="s">
        <v>543</v>
      </c>
      <c r="Q3" s="29" t="s">
        <v>544</v>
      </c>
      <c r="R3" s="29" t="s">
        <v>205</v>
      </c>
    </row>
    <row r="4" spans="1:23" x14ac:dyDescent="0.25">
      <c r="A4" s="26">
        <v>1</v>
      </c>
      <c r="B4" s="27" t="s">
        <v>545</v>
      </c>
      <c r="C4" s="26">
        <v>0</v>
      </c>
      <c r="D4" s="120">
        <f>'custos unitários para atualizar'!$B$10</f>
        <v>4601.83</v>
      </c>
      <c r="E4" s="120">
        <f t="shared" ref="E4:E13" si="0">D4*$E$3</f>
        <v>3385.566331</v>
      </c>
      <c r="F4" s="120">
        <f t="shared" ref="F4:F13" si="1">D4*$F$3</f>
        <v>1001.818391</v>
      </c>
      <c r="G4" s="120">
        <f>D4*$G$3</f>
        <v>690.27449999999999</v>
      </c>
      <c r="H4" s="120">
        <f>D4*$H$3</f>
        <v>1380.549</v>
      </c>
      <c r="I4" s="120">
        <v>0</v>
      </c>
      <c r="J4" s="120">
        <f t="shared" ref="J4:J13" si="2">(SUM(D4:I4)*C4*12)</f>
        <v>0</v>
      </c>
      <c r="L4" s="6">
        <v>1</v>
      </c>
      <c r="M4" s="27" t="s">
        <v>546</v>
      </c>
      <c r="N4" s="125">
        <v>1440</v>
      </c>
      <c r="O4" s="119">
        <f>P26</f>
        <v>931.55942097067509</v>
      </c>
      <c r="P4" s="125"/>
      <c r="Q4" s="124" t="s">
        <v>547</v>
      </c>
      <c r="R4" s="123">
        <f>N4*O4</f>
        <v>1341445.566197772</v>
      </c>
    </row>
    <row r="5" spans="1:23" x14ac:dyDescent="0.25">
      <c r="A5" s="26">
        <v>2</v>
      </c>
      <c r="B5" s="27" t="s">
        <v>548</v>
      </c>
      <c r="C5" s="26">
        <v>0</v>
      </c>
      <c r="D5" s="120">
        <f>'custos unitários para atualizar'!$B$10</f>
        <v>4601.83</v>
      </c>
      <c r="E5" s="120">
        <f t="shared" si="0"/>
        <v>3385.566331</v>
      </c>
      <c r="F5" s="120">
        <f t="shared" si="1"/>
        <v>1001.818391</v>
      </c>
      <c r="G5" s="120">
        <f>D5*$G$3</f>
        <v>690.27449999999999</v>
      </c>
      <c r="H5" s="120">
        <f>D5*$H$3</f>
        <v>1380.549</v>
      </c>
      <c r="I5" s="120">
        <f>D5*(8/12)*$I$3</f>
        <v>644.25619999999992</v>
      </c>
      <c r="J5" s="120">
        <f t="shared" si="2"/>
        <v>0</v>
      </c>
      <c r="L5" s="6">
        <v>2</v>
      </c>
      <c r="M5" s="27" t="s">
        <v>549</v>
      </c>
      <c r="N5" s="125">
        <v>180</v>
      </c>
      <c r="O5" s="119">
        <f>N37</f>
        <v>453.02298496000003</v>
      </c>
      <c r="P5" s="125"/>
      <c r="Q5" s="124" t="s">
        <v>550</v>
      </c>
      <c r="R5" s="123">
        <f t="shared" ref="R5:R6" si="3">O5*N5</f>
        <v>81544.137292800006</v>
      </c>
    </row>
    <row r="6" spans="1:23" x14ac:dyDescent="0.25">
      <c r="A6" s="26">
        <v>3</v>
      </c>
      <c r="B6" s="27" t="s">
        <v>551</v>
      </c>
      <c r="C6" s="26">
        <v>8</v>
      </c>
      <c r="D6" s="120">
        <f>'custos unitários para atualizar'!$B$15</f>
        <v>1613.42</v>
      </c>
      <c r="E6" s="120">
        <f t="shared" si="0"/>
        <v>1186.9930940000002</v>
      </c>
      <c r="F6" s="120">
        <f t="shared" si="1"/>
        <v>351.241534</v>
      </c>
      <c r="G6" s="120">
        <v>0</v>
      </c>
      <c r="H6" s="120">
        <v>0</v>
      </c>
      <c r="I6" s="120">
        <v>0</v>
      </c>
      <c r="J6" s="120">
        <f t="shared" si="2"/>
        <v>302558.84428800002</v>
      </c>
      <c r="L6" s="6">
        <v>3</v>
      </c>
      <c r="M6" s="27" t="s">
        <v>38</v>
      </c>
      <c r="N6" s="125">
        <v>180</v>
      </c>
      <c r="O6" s="330">
        <f>'custos unitários para atualizar'!B16*8</f>
        <v>168.4</v>
      </c>
      <c r="P6" s="125" t="s">
        <v>552</v>
      </c>
      <c r="Q6" s="124" t="s">
        <v>550</v>
      </c>
      <c r="R6" s="123">
        <f t="shared" si="3"/>
        <v>30312</v>
      </c>
      <c r="W6">
        <v>124.88</v>
      </c>
    </row>
    <row r="7" spans="1:23" x14ac:dyDescent="0.25">
      <c r="A7" s="26">
        <v>4</v>
      </c>
      <c r="B7" s="27" t="s">
        <v>1529</v>
      </c>
      <c r="C7" s="26">
        <v>185</v>
      </c>
      <c r="D7" s="120">
        <f>'custos unitários para atualizar'!$B$10</f>
        <v>4601.83</v>
      </c>
      <c r="E7" s="120">
        <f t="shared" ref="E7" si="4">D7*$E$3</f>
        <v>3385.566331</v>
      </c>
      <c r="F7" s="120">
        <f t="shared" ref="F7" si="5">D7*$F$3</f>
        <v>1001.818391</v>
      </c>
      <c r="G7" s="120">
        <v>0</v>
      </c>
      <c r="H7" s="120">
        <f t="shared" ref="H7" si="6">D7*$H$3</f>
        <v>1380.549</v>
      </c>
      <c r="I7" s="120">
        <v>0</v>
      </c>
      <c r="J7" s="120">
        <f t="shared" si="2"/>
        <v>23020875.462839998</v>
      </c>
      <c r="L7" s="6">
        <v>4</v>
      </c>
      <c r="M7" s="27" t="s">
        <v>40</v>
      </c>
      <c r="N7" s="125">
        <v>180</v>
      </c>
      <c r="O7" s="330">
        <f>'custos unitários para atualizar'!B17*8</f>
        <v>217.76</v>
      </c>
      <c r="P7" s="125" t="s">
        <v>553</v>
      </c>
      <c r="Q7" s="124" t="s">
        <v>550</v>
      </c>
      <c r="R7" s="123">
        <f>O7*N7</f>
        <v>39196.799999999996</v>
      </c>
    </row>
    <row r="8" spans="1:23" x14ac:dyDescent="0.25">
      <c r="A8" s="26" t="s">
        <v>105</v>
      </c>
      <c r="B8" s="27" t="s">
        <v>1537</v>
      </c>
      <c r="C8" s="26">
        <v>0</v>
      </c>
      <c r="D8" s="120">
        <f>'custos unitários para atualizar'!$B$10</f>
        <v>4601.83</v>
      </c>
      <c r="E8" s="120">
        <f t="shared" si="0"/>
        <v>3385.566331</v>
      </c>
      <c r="F8" s="120">
        <f t="shared" si="1"/>
        <v>1001.818391</v>
      </c>
      <c r="G8" s="120">
        <v>0</v>
      </c>
      <c r="H8" s="120">
        <f t="shared" ref="H8:H13" si="7">D8*$H$3</f>
        <v>1380.549</v>
      </c>
      <c r="I8" s="120">
        <v>0</v>
      </c>
      <c r="J8" s="120">
        <f t="shared" si="2"/>
        <v>0</v>
      </c>
      <c r="L8" s="6">
        <v>5</v>
      </c>
      <c r="M8" s="27" t="s">
        <v>42</v>
      </c>
      <c r="N8" s="125">
        <v>180</v>
      </c>
      <c r="O8" s="330">
        <f>'custos unitários para atualizar'!B18*8</f>
        <v>439.04</v>
      </c>
      <c r="P8" s="125" t="s">
        <v>555</v>
      </c>
      <c r="Q8" s="124" t="s">
        <v>550</v>
      </c>
      <c r="R8" s="123">
        <f>O8*N8</f>
        <v>79027.199999999997</v>
      </c>
      <c r="S8" t="s">
        <v>554</v>
      </c>
      <c r="W8">
        <v>153.44</v>
      </c>
    </row>
    <row r="9" spans="1:23" x14ac:dyDescent="0.25">
      <c r="A9" s="26" t="s">
        <v>105</v>
      </c>
      <c r="B9" s="27" t="s">
        <v>1536</v>
      </c>
      <c r="C9" s="26">
        <v>0</v>
      </c>
      <c r="D9" s="120">
        <f>'custos unitários para atualizar'!$B$12</f>
        <v>4350</v>
      </c>
      <c r="E9" s="120">
        <f t="shared" si="0"/>
        <v>3200.2950000000001</v>
      </c>
      <c r="F9" s="120">
        <f t="shared" si="1"/>
        <v>946.995</v>
      </c>
      <c r="G9" s="120">
        <v>0</v>
      </c>
      <c r="H9" s="120">
        <f t="shared" si="7"/>
        <v>1305</v>
      </c>
      <c r="I9" s="120">
        <v>0</v>
      </c>
      <c r="J9" s="120">
        <f t="shared" si="2"/>
        <v>0</v>
      </c>
      <c r="L9" s="6">
        <v>6</v>
      </c>
      <c r="M9" s="27" t="s">
        <v>1548</v>
      </c>
      <c r="N9" s="125">
        <v>0</v>
      </c>
      <c r="O9" s="330">
        <f>'custos unitários para atualizar'!B19*8</f>
        <v>212</v>
      </c>
      <c r="P9" s="125" t="s">
        <v>557</v>
      </c>
      <c r="Q9" s="124" t="s">
        <v>550</v>
      </c>
      <c r="R9" s="123">
        <f>O9*N9</f>
        <v>0</v>
      </c>
      <c r="S9" t="s">
        <v>554</v>
      </c>
      <c r="W9">
        <v>404.4</v>
      </c>
    </row>
    <row r="10" spans="1:23" x14ac:dyDescent="0.25">
      <c r="A10" s="26">
        <v>5</v>
      </c>
      <c r="B10" s="27" t="s">
        <v>556</v>
      </c>
      <c r="C10" s="26">
        <v>3</v>
      </c>
      <c r="D10" s="120">
        <f>'custos unitários para atualizar'!$B$11</f>
        <v>3213.73</v>
      </c>
      <c r="E10" s="120">
        <f t="shared" si="0"/>
        <v>2364.3411610000003</v>
      </c>
      <c r="F10" s="120">
        <f t="shared" si="1"/>
        <v>699.62902099999997</v>
      </c>
      <c r="G10" s="120">
        <v>0</v>
      </c>
      <c r="H10" s="120">
        <f t="shared" si="7"/>
        <v>964.11899999999991</v>
      </c>
      <c r="I10" s="120">
        <v>0</v>
      </c>
      <c r="J10" s="120">
        <f t="shared" si="2"/>
        <v>260705.49055199997</v>
      </c>
      <c r="L10" s="6">
        <v>7</v>
      </c>
      <c r="M10" s="27" t="s">
        <v>46</v>
      </c>
      <c r="N10" s="125">
        <v>180</v>
      </c>
      <c r="O10" s="330">
        <f>'custos unitários para atualizar'!B20*8</f>
        <v>223.84</v>
      </c>
      <c r="P10" s="125" t="s">
        <v>559</v>
      </c>
      <c r="Q10" s="124" t="s">
        <v>550</v>
      </c>
      <c r="R10" s="123">
        <f>O10*N10</f>
        <v>40291.199999999997</v>
      </c>
      <c r="S10" t="s">
        <v>554</v>
      </c>
      <c r="W10">
        <v>154.32</v>
      </c>
    </row>
    <row r="11" spans="1:23" ht="25.5" x14ac:dyDescent="0.25">
      <c r="A11" s="26">
        <v>6</v>
      </c>
      <c r="B11" s="27" t="s">
        <v>558</v>
      </c>
      <c r="C11" s="26">
        <f>E38</f>
        <v>0</v>
      </c>
      <c r="D11" s="120">
        <f>'custos unitários para atualizar'!$B$10</f>
        <v>4601.83</v>
      </c>
      <c r="E11" s="120">
        <f t="shared" si="0"/>
        <v>3385.566331</v>
      </c>
      <c r="F11" s="120">
        <f t="shared" si="1"/>
        <v>1001.818391</v>
      </c>
      <c r="G11" s="120">
        <v>0</v>
      </c>
      <c r="H11" s="120">
        <f t="shared" si="7"/>
        <v>1380.549</v>
      </c>
      <c r="I11" s="120">
        <v>0</v>
      </c>
      <c r="J11" s="120">
        <f t="shared" si="2"/>
        <v>0</v>
      </c>
      <c r="L11" s="6">
        <v>8</v>
      </c>
      <c r="M11" s="27" t="s">
        <v>1547</v>
      </c>
      <c r="N11" s="125">
        <v>0</v>
      </c>
      <c r="O11" s="330">
        <f>'custos unitários para atualizar'!B21*8</f>
        <v>176.24</v>
      </c>
      <c r="P11" s="125" t="s">
        <v>561</v>
      </c>
      <c r="Q11" s="124" t="s">
        <v>550</v>
      </c>
      <c r="R11" s="123">
        <f>O11*N11</f>
        <v>0</v>
      </c>
      <c r="S11" t="s">
        <v>554</v>
      </c>
      <c r="W11">
        <v>153.76</v>
      </c>
    </row>
    <row r="12" spans="1:23" x14ac:dyDescent="0.25">
      <c r="A12" s="26">
        <v>7</v>
      </c>
      <c r="B12" s="27" t="s">
        <v>560</v>
      </c>
      <c r="C12" s="26">
        <v>0</v>
      </c>
      <c r="D12" s="120">
        <f>'custos unitários para atualizar'!$B$11</f>
        <v>3213.73</v>
      </c>
      <c r="E12" s="120">
        <f t="shared" si="0"/>
        <v>2364.3411610000003</v>
      </c>
      <c r="F12" s="120">
        <f t="shared" si="1"/>
        <v>699.62902099999997</v>
      </c>
      <c r="G12" s="120">
        <v>0</v>
      </c>
      <c r="H12" s="120">
        <f t="shared" si="7"/>
        <v>964.11899999999991</v>
      </c>
      <c r="I12" s="120">
        <v>0</v>
      </c>
      <c r="J12" s="120">
        <f t="shared" si="2"/>
        <v>0</v>
      </c>
      <c r="N12" s="122"/>
      <c r="O12" s="122"/>
      <c r="P12" s="122"/>
      <c r="Q12" s="122"/>
      <c r="R12" s="121">
        <f>SUM(R4:R11)</f>
        <v>1611816.903490572</v>
      </c>
      <c r="S12" t="s">
        <v>554</v>
      </c>
      <c r="W12">
        <v>124.64</v>
      </c>
    </row>
    <row r="13" spans="1:23" ht="15.75" customHeight="1" x14ac:dyDescent="0.25">
      <c r="A13" s="26">
        <v>8</v>
      </c>
      <c r="B13" s="27" t="s">
        <v>1531</v>
      </c>
      <c r="C13" s="26">
        <f>E40</f>
        <v>0</v>
      </c>
      <c r="D13" s="120">
        <f>'custos unitários para atualizar'!$B$10</f>
        <v>4601.83</v>
      </c>
      <c r="E13" s="120">
        <f t="shared" si="0"/>
        <v>3385.566331</v>
      </c>
      <c r="F13" s="120">
        <f t="shared" si="1"/>
        <v>1001.818391</v>
      </c>
      <c r="G13" s="120">
        <v>0</v>
      </c>
      <c r="H13" s="120">
        <f t="shared" si="7"/>
        <v>1380.549</v>
      </c>
      <c r="I13" s="120">
        <v>0</v>
      </c>
      <c r="J13" s="120">
        <f t="shared" si="2"/>
        <v>0</v>
      </c>
    </row>
    <row r="14" spans="1:23" x14ac:dyDescent="0.25">
      <c r="A14" s="890">
        <v>9</v>
      </c>
      <c r="B14" s="317" t="s">
        <v>582</v>
      </c>
      <c r="C14" s="14">
        <v>28</v>
      </c>
      <c r="D14" s="120">
        <f>'custos unitários para atualizar'!$B$8</f>
        <v>12880.98</v>
      </c>
      <c r="E14" s="120">
        <f t="shared" ref="E14:E21" si="8">D14*$E$3</f>
        <v>9476.5369859999992</v>
      </c>
      <c r="F14" s="120">
        <f t="shared" ref="F14:F21" si="9">D14*$F$3</f>
        <v>2804.1893460000001</v>
      </c>
      <c r="G14" s="120">
        <v>0</v>
      </c>
      <c r="H14" s="120">
        <f t="shared" ref="H14:H20" si="10">D14*$H$3</f>
        <v>3864.2939999999999</v>
      </c>
      <c r="I14" s="120">
        <v>0</v>
      </c>
      <c r="J14" s="120">
        <f t="shared" ref="J14:J21" si="11">(SUM(D14:I14)*C14*12)</f>
        <v>9752736.1115519982</v>
      </c>
    </row>
    <row r="15" spans="1:23" x14ac:dyDescent="0.25">
      <c r="A15" s="26" t="s">
        <v>105</v>
      </c>
      <c r="B15" s="27" t="s">
        <v>1532</v>
      </c>
      <c r="C15" s="26">
        <f>E41</f>
        <v>0</v>
      </c>
      <c r="D15" s="120">
        <f>'custos unitários para atualizar'!$B$8</f>
        <v>12880.98</v>
      </c>
      <c r="E15" s="120">
        <f t="shared" si="8"/>
        <v>9476.5369859999992</v>
      </c>
      <c r="F15" s="120">
        <f t="shared" si="9"/>
        <v>2804.1893460000001</v>
      </c>
      <c r="G15" s="120">
        <v>0</v>
      </c>
      <c r="H15" s="120">
        <f t="shared" si="10"/>
        <v>3864.2939999999999</v>
      </c>
      <c r="I15" s="120">
        <v>0</v>
      </c>
      <c r="J15" s="120">
        <f t="shared" si="11"/>
        <v>0</v>
      </c>
    </row>
    <row r="16" spans="1:23" x14ac:dyDescent="0.25">
      <c r="A16" s="26" t="s">
        <v>105</v>
      </c>
      <c r="B16" s="27" t="s">
        <v>1533</v>
      </c>
      <c r="C16" s="26">
        <f>E42</f>
        <v>0</v>
      </c>
      <c r="D16" s="120">
        <f>'custos unitários para atualizar'!$B$8</f>
        <v>12880.98</v>
      </c>
      <c r="E16" s="120">
        <f t="shared" si="8"/>
        <v>9476.5369859999992</v>
      </c>
      <c r="F16" s="120">
        <f t="shared" si="9"/>
        <v>2804.1893460000001</v>
      </c>
      <c r="G16" s="120">
        <v>0</v>
      </c>
      <c r="H16" s="120">
        <f t="shared" si="10"/>
        <v>3864.2939999999999</v>
      </c>
      <c r="I16" s="120">
        <v>0</v>
      </c>
      <c r="J16" s="120">
        <f t="shared" si="11"/>
        <v>0</v>
      </c>
      <c r="M16" s="29" t="s">
        <v>562</v>
      </c>
      <c r="N16" s="29" t="s">
        <v>563</v>
      </c>
      <c r="O16" s="29" t="s">
        <v>564</v>
      </c>
      <c r="P16" s="29" t="s">
        <v>97</v>
      </c>
    </row>
    <row r="17" spans="1:16" x14ac:dyDescent="0.25">
      <c r="A17" s="26" t="s">
        <v>105</v>
      </c>
      <c r="B17" s="27" t="s">
        <v>1534</v>
      </c>
      <c r="C17" s="26">
        <f>E43</f>
        <v>0</v>
      </c>
      <c r="D17" s="120">
        <f>'custos unitários para atualizar'!$B$8</f>
        <v>12880.98</v>
      </c>
      <c r="E17" s="120">
        <f t="shared" si="8"/>
        <v>9476.5369859999992</v>
      </c>
      <c r="F17" s="120">
        <f t="shared" si="9"/>
        <v>2804.1893460000001</v>
      </c>
      <c r="G17" s="120">
        <v>0</v>
      </c>
      <c r="H17" s="120">
        <f t="shared" si="10"/>
        <v>3864.2939999999999</v>
      </c>
      <c r="I17" s="120">
        <v>0</v>
      </c>
      <c r="J17" s="120">
        <f t="shared" si="11"/>
        <v>0</v>
      </c>
      <c r="M17" s="6" t="s">
        <v>565</v>
      </c>
      <c r="N17" s="875">
        <f>'[3]BASE CODEVASF'!$K$103</f>
        <v>138.84</v>
      </c>
      <c r="O17" s="876">
        <f>'[3]BASE CODEVASF'!$J$103</f>
        <v>117.33</v>
      </c>
      <c r="P17" s="119">
        <f>N17*O17</f>
        <v>16290.0972</v>
      </c>
    </row>
    <row r="18" spans="1:16" x14ac:dyDescent="0.25">
      <c r="A18" s="26" t="s">
        <v>105</v>
      </c>
      <c r="B18" s="27" t="s">
        <v>1535</v>
      </c>
      <c r="C18" s="26">
        <f>E44</f>
        <v>0</v>
      </c>
      <c r="D18" s="120">
        <f>'custos unitários para atualizar'!$B$8</f>
        <v>12880.98</v>
      </c>
      <c r="E18" s="120">
        <f t="shared" si="8"/>
        <v>9476.5369859999992</v>
      </c>
      <c r="F18" s="120">
        <f t="shared" si="9"/>
        <v>2804.1893460000001</v>
      </c>
      <c r="G18" s="120">
        <v>0</v>
      </c>
      <c r="H18" s="120">
        <f t="shared" si="10"/>
        <v>3864.2939999999999</v>
      </c>
      <c r="I18" s="120">
        <v>0</v>
      </c>
      <c r="J18" s="120">
        <f t="shared" si="11"/>
        <v>0</v>
      </c>
      <c r="M18" s="6" t="s">
        <v>567</v>
      </c>
      <c r="N18" s="661"/>
      <c r="O18" s="119"/>
      <c r="P18" s="119">
        <f>P17*20%</f>
        <v>3258.01944</v>
      </c>
    </row>
    <row r="19" spans="1:16" x14ac:dyDescent="0.25">
      <c r="A19" s="26">
        <v>13</v>
      </c>
      <c r="B19" s="27" t="s">
        <v>566</v>
      </c>
      <c r="C19" s="26">
        <v>46</v>
      </c>
      <c r="D19" s="120">
        <f>'custos unitários para atualizar'!$B$14</f>
        <v>2858.24</v>
      </c>
      <c r="E19" s="120">
        <f t="shared" si="8"/>
        <v>2102.8071679999998</v>
      </c>
      <c r="F19" s="120">
        <f t="shared" si="9"/>
        <v>622.23884799999996</v>
      </c>
      <c r="G19" s="120">
        <f>D19*$G$3</f>
        <v>428.73599999999993</v>
      </c>
      <c r="H19" s="120">
        <f t="shared" si="10"/>
        <v>857.47199999999987</v>
      </c>
      <c r="I19" s="120">
        <v>0</v>
      </c>
      <c r="J19" s="120">
        <f t="shared" si="11"/>
        <v>3791960.6968319993</v>
      </c>
      <c r="M19" s="6" t="s">
        <v>569</v>
      </c>
      <c r="N19" s="661"/>
      <c r="O19" s="119"/>
      <c r="P19" s="119">
        <f>(P17+P18)*30%</f>
        <v>5864.4349919999995</v>
      </c>
    </row>
    <row r="20" spans="1:16" ht="18.95" customHeight="1" x14ac:dyDescent="0.25">
      <c r="A20" s="26">
        <v>14</v>
      </c>
      <c r="B20" s="27" t="s">
        <v>568</v>
      </c>
      <c r="C20" s="26">
        <v>36</v>
      </c>
      <c r="D20" s="120">
        <f>'custos unitários para atualizar'!$B$14</f>
        <v>2858.24</v>
      </c>
      <c r="E20" s="120">
        <f t="shared" si="8"/>
        <v>2102.8071679999998</v>
      </c>
      <c r="F20" s="120">
        <f t="shared" si="9"/>
        <v>622.23884799999996</v>
      </c>
      <c r="G20" s="120">
        <f>D20*$G$3</f>
        <v>428.73599999999993</v>
      </c>
      <c r="H20" s="120">
        <f t="shared" si="10"/>
        <v>857.47199999999987</v>
      </c>
      <c r="I20" s="120">
        <f>D20*(8/12)*$I$3</f>
        <v>400.15359999999993</v>
      </c>
      <c r="J20" s="120">
        <f t="shared" si="11"/>
        <v>3140487.7701119995</v>
      </c>
      <c r="M20" s="6" t="s">
        <v>571</v>
      </c>
      <c r="N20" s="661"/>
      <c r="O20" s="119"/>
      <c r="P20" s="119">
        <f>SUM(P17:P19)*12%</f>
        <v>3049.5061958399997</v>
      </c>
    </row>
    <row r="21" spans="1:16" x14ac:dyDescent="0.25">
      <c r="A21" s="26">
        <v>15</v>
      </c>
      <c r="B21" s="27" t="s">
        <v>570</v>
      </c>
      <c r="C21" s="26">
        <v>0</v>
      </c>
      <c r="D21" s="120">
        <f>'custos unitários para atualizar'!$B$11</f>
        <v>3213.73</v>
      </c>
      <c r="E21" s="120">
        <f t="shared" si="8"/>
        <v>2364.3411610000003</v>
      </c>
      <c r="F21" s="120">
        <f t="shared" si="9"/>
        <v>699.62902099999997</v>
      </c>
      <c r="G21" s="120">
        <v>0</v>
      </c>
      <c r="H21" s="120">
        <v>0</v>
      </c>
      <c r="I21" s="120">
        <v>0</v>
      </c>
      <c r="J21" s="120">
        <f t="shared" si="11"/>
        <v>0</v>
      </c>
      <c r="M21" s="6" t="s">
        <v>572</v>
      </c>
      <c r="N21" s="661"/>
      <c r="O21" s="119"/>
      <c r="P21" s="119">
        <f>SUM(P17:P20)*16.62%</f>
        <v>4730.3940109870082</v>
      </c>
    </row>
    <row r="22" spans="1:16" x14ac:dyDescent="0.25">
      <c r="A22" s="26">
        <v>16</v>
      </c>
      <c r="B22" s="27" t="s">
        <v>1530</v>
      </c>
      <c r="C22" s="13">
        <v>26</v>
      </c>
      <c r="D22" s="886">
        <f>1746694.14/C22/12</f>
        <v>5598.3786538461536</v>
      </c>
      <c r="E22" s="6"/>
      <c r="F22" s="6"/>
      <c r="G22" s="6"/>
      <c r="H22" s="6"/>
      <c r="I22" s="6"/>
      <c r="J22" s="10">
        <f>D22*C22*12</f>
        <v>1746694.1400000001</v>
      </c>
      <c r="M22" s="6" t="s">
        <v>574</v>
      </c>
      <c r="N22" s="661">
        <f>'custos unitários para atualizar'!B22</f>
        <v>1132.46</v>
      </c>
      <c r="O22" s="119">
        <v>1</v>
      </c>
      <c r="P22" s="119">
        <f>N22*O22</f>
        <v>1132.46</v>
      </c>
    </row>
    <row r="23" spans="1:16" x14ac:dyDescent="0.25">
      <c r="A23" s="26">
        <v>17</v>
      </c>
      <c r="B23" s="27" t="s">
        <v>1538</v>
      </c>
      <c r="C23" s="13">
        <v>6</v>
      </c>
      <c r="D23" s="886">
        <f>545451.47/C23/12</f>
        <v>7575.7148611111106</v>
      </c>
      <c r="E23" s="6"/>
      <c r="F23" s="6"/>
      <c r="G23" s="6"/>
      <c r="H23" s="6"/>
      <c r="I23" s="6"/>
      <c r="J23" s="10">
        <f t="shared" ref="J23:J30" si="12">C23*D23*12</f>
        <v>545451.47</v>
      </c>
      <c r="M23" s="6" t="s">
        <v>61</v>
      </c>
      <c r="N23" s="661">
        <f>'custos unitários para atualizar'!B25</f>
        <v>380</v>
      </c>
      <c r="O23" s="119">
        <v>4.5</v>
      </c>
      <c r="P23" s="119">
        <f>N23*O23</f>
        <v>1710</v>
      </c>
    </row>
    <row r="24" spans="1:16" ht="15" customHeight="1" x14ac:dyDescent="0.25">
      <c r="A24" s="26">
        <v>18</v>
      </c>
      <c r="B24" s="27" t="s">
        <v>1543</v>
      </c>
      <c r="C24" s="13">
        <v>4</v>
      </c>
      <c r="D24" s="886">
        <f>1578796.95/12/C24</f>
        <v>32891.603125000001</v>
      </c>
      <c r="E24" s="6"/>
      <c r="F24" s="6"/>
      <c r="G24" s="6"/>
      <c r="H24" s="6"/>
      <c r="I24" s="6"/>
      <c r="J24" s="10">
        <f t="shared" si="12"/>
        <v>1578796.9500000002</v>
      </c>
      <c r="M24" s="6" t="s">
        <v>576</v>
      </c>
      <c r="N24" s="661">
        <f>'custos unitários para atualizar'!B26</f>
        <v>272.77</v>
      </c>
      <c r="O24" s="119">
        <v>4.5</v>
      </c>
      <c r="P24" s="119">
        <f>N24*O24</f>
        <v>1227.4649999999999</v>
      </c>
    </row>
    <row r="25" spans="1:16" ht="12.95" customHeight="1" x14ac:dyDescent="0.25">
      <c r="A25" s="26">
        <v>19</v>
      </c>
      <c r="B25" s="27" t="s">
        <v>1540</v>
      </c>
      <c r="C25" s="13">
        <v>14</v>
      </c>
      <c r="D25" s="886">
        <f>1016571.04/12/C25</f>
        <v>6051.0180952380961</v>
      </c>
      <c r="E25" s="6"/>
      <c r="F25" s="6"/>
      <c r="G25" s="6"/>
      <c r="H25" s="6"/>
      <c r="I25" s="6"/>
      <c r="J25" s="10">
        <f t="shared" si="12"/>
        <v>1016571.04</v>
      </c>
      <c r="M25" s="6" t="s">
        <v>97</v>
      </c>
      <c r="P25" s="119">
        <f>SUM(P17:P24)</f>
        <v>37262.376838827004</v>
      </c>
    </row>
    <row r="26" spans="1:16" x14ac:dyDescent="0.25">
      <c r="A26" s="26">
        <v>20</v>
      </c>
      <c r="B26" s="27" t="s">
        <v>1542</v>
      </c>
      <c r="C26" s="13">
        <v>9</v>
      </c>
      <c r="D26" s="886">
        <f>788369.49/12/C26</f>
        <v>7299.7175000000007</v>
      </c>
      <c r="E26" s="6"/>
      <c r="F26" s="6"/>
      <c r="G26" s="6"/>
      <c r="H26" s="6"/>
      <c r="I26" s="6"/>
      <c r="J26" s="10">
        <f t="shared" si="12"/>
        <v>788369.49</v>
      </c>
      <c r="M26" s="6" t="s">
        <v>577</v>
      </c>
      <c r="P26" s="119">
        <f>P25/40</f>
        <v>931.55942097067509</v>
      </c>
    </row>
    <row r="27" spans="1:16" x14ac:dyDescent="0.25">
      <c r="A27" s="26">
        <v>21</v>
      </c>
      <c r="B27" s="27" t="s">
        <v>1539</v>
      </c>
      <c r="C27" s="13">
        <v>171</v>
      </c>
      <c r="D27" s="886">
        <f>8808762.92/12/171</f>
        <v>4292.7694541910332</v>
      </c>
      <c r="E27" s="6"/>
      <c r="F27" s="6"/>
      <c r="G27" s="6"/>
      <c r="H27" s="6"/>
      <c r="I27" s="6"/>
      <c r="J27" s="10">
        <f t="shared" si="12"/>
        <v>8808762.9199999999</v>
      </c>
      <c r="M27" s="6"/>
      <c r="P27" s="119"/>
    </row>
    <row r="28" spans="1:16" x14ac:dyDescent="0.25">
      <c r="A28" s="26">
        <v>22</v>
      </c>
      <c r="B28" s="27" t="s">
        <v>1541</v>
      </c>
      <c r="C28" s="13">
        <v>12</v>
      </c>
      <c r="D28" s="886">
        <f>783891.37/C28/12</f>
        <v>5443.6900694444439</v>
      </c>
      <c r="E28" s="6"/>
      <c r="F28" s="6"/>
      <c r="G28" s="6"/>
      <c r="H28" s="6"/>
      <c r="I28" s="6"/>
      <c r="J28" s="10">
        <f t="shared" si="12"/>
        <v>783891.36999999988</v>
      </c>
    </row>
    <row r="29" spans="1:16" x14ac:dyDescent="0.25">
      <c r="A29" s="26">
        <v>23</v>
      </c>
      <c r="B29" s="27" t="s">
        <v>1544</v>
      </c>
      <c r="C29" s="13">
        <v>6</v>
      </c>
      <c r="D29" s="886">
        <f>633129.94/12/C29</f>
        <v>8793.4713888888891</v>
      </c>
      <c r="E29" s="6"/>
      <c r="F29" s="6"/>
      <c r="G29" s="6"/>
      <c r="H29" s="6"/>
      <c r="I29" s="6"/>
      <c r="J29" s="10">
        <f t="shared" si="12"/>
        <v>633129.94000000006</v>
      </c>
    </row>
    <row r="30" spans="1:16" x14ac:dyDescent="0.25">
      <c r="A30" s="26">
        <v>24</v>
      </c>
      <c r="B30" s="27" t="s">
        <v>1545</v>
      </c>
      <c r="C30" s="13">
        <v>1</v>
      </c>
      <c r="D30" s="886">
        <f>91594.72/12/C30</f>
        <v>7632.8933333333334</v>
      </c>
      <c r="E30" s="6"/>
      <c r="F30" s="6"/>
      <c r="G30" s="6"/>
      <c r="H30" s="6"/>
      <c r="I30" s="6"/>
      <c r="J30" s="10">
        <f t="shared" si="12"/>
        <v>91594.72</v>
      </c>
      <c r="M30" s="29" t="s">
        <v>578</v>
      </c>
      <c r="N30" s="29" t="s">
        <v>97</v>
      </c>
    </row>
    <row r="31" spans="1:16" x14ac:dyDescent="0.25">
      <c r="A31" s="241" t="s">
        <v>97</v>
      </c>
      <c r="B31" s="241" t="s">
        <v>97</v>
      </c>
      <c r="C31" s="242">
        <f>SUM(C4:C30)</f>
        <v>555</v>
      </c>
      <c r="D31" s="242"/>
      <c r="E31" s="242"/>
      <c r="F31" s="242"/>
      <c r="G31" s="120"/>
      <c r="H31" s="120"/>
      <c r="I31" s="120"/>
      <c r="J31" s="234">
        <f>SUM(J4:J30)</f>
        <v>56262586.416175999</v>
      </c>
      <c r="M31" s="6" t="s">
        <v>579</v>
      </c>
      <c r="N31" s="120">
        <f>'custos unitários para atualizar'!$B$12</f>
        <v>4350</v>
      </c>
    </row>
    <row r="32" spans="1:16" x14ac:dyDescent="0.25">
      <c r="A32" s="6"/>
      <c r="B32" s="27" t="s">
        <v>573</v>
      </c>
      <c r="C32" s="6"/>
      <c r="D32" s="6"/>
      <c r="E32" s="6"/>
      <c r="F32" s="120"/>
      <c r="G32" s="6"/>
      <c r="H32" s="6"/>
      <c r="I32" s="6"/>
      <c r="J32" s="120">
        <f>1.5%*J31</f>
        <v>843938.79624264</v>
      </c>
      <c r="M32" s="6" t="s">
        <v>580</v>
      </c>
      <c r="N32" s="119">
        <f>N31*84%</f>
        <v>3654</v>
      </c>
    </row>
    <row r="33" spans="1:14" x14ac:dyDescent="0.25">
      <c r="A33" s="6"/>
      <c r="B33" s="27" t="s">
        <v>575</v>
      </c>
      <c r="C33" s="6"/>
      <c r="D33" s="6"/>
      <c r="E33" s="6"/>
      <c r="F33" s="6"/>
      <c r="G33" s="6"/>
      <c r="H33" s="6"/>
      <c r="I33" s="6"/>
      <c r="J33" s="120">
        <f>R12</f>
        <v>1611816.903490572</v>
      </c>
      <c r="M33" s="6" t="s">
        <v>569</v>
      </c>
      <c r="N33" s="119">
        <f>(N31+N32)*30%</f>
        <v>2401.1999999999998</v>
      </c>
    </row>
    <row r="34" spans="1:14" x14ac:dyDescent="0.25">
      <c r="A34" s="6"/>
      <c r="B34" s="243" t="s">
        <v>96</v>
      </c>
      <c r="C34" s="6"/>
      <c r="D34" s="6"/>
      <c r="E34" s="6"/>
      <c r="F34" s="6"/>
      <c r="G34" s="6"/>
      <c r="H34" s="6"/>
      <c r="I34" s="6"/>
      <c r="J34" s="234">
        <f>J31+J32+J33</f>
        <v>58718342.115909211</v>
      </c>
      <c r="M34" s="6" t="s">
        <v>571</v>
      </c>
      <c r="N34" s="119">
        <f>SUM(N31:N33)*12%</f>
        <v>1248.624</v>
      </c>
    </row>
    <row r="35" spans="1:14" x14ac:dyDescent="0.25">
      <c r="A35" s="882"/>
      <c r="B35" t="s">
        <v>1564</v>
      </c>
      <c r="M35" s="6" t="s">
        <v>572</v>
      </c>
      <c r="N35" s="119">
        <f>SUM(N31:N34)*16.62%</f>
        <v>1936.8655488000002</v>
      </c>
    </row>
    <row r="36" spans="1:14" x14ac:dyDescent="0.25">
      <c r="A36" t="s">
        <v>1565</v>
      </c>
      <c r="M36" s="6" t="s">
        <v>97</v>
      </c>
      <c r="N36" s="119">
        <f>SUM(N31:N35)</f>
        <v>13590.689548800001</v>
      </c>
    </row>
    <row r="37" spans="1:14" x14ac:dyDescent="0.25">
      <c r="A37" t="s">
        <v>1566</v>
      </c>
      <c r="M37" s="6" t="s">
        <v>581</v>
      </c>
      <c r="N37" s="119">
        <f>N36/30</f>
        <v>453.02298496000003</v>
      </c>
    </row>
    <row r="38" spans="1:14" x14ac:dyDescent="0.25">
      <c r="A38" t="s">
        <v>1567</v>
      </c>
      <c r="M38" s="6"/>
      <c r="N38" s="119"/>
    </row>
  </sheetData>
  <mergeCells count="5">
    <mergeCell ref="C2:C3"/>
    <mergeCell ref="D2:D3"/>
    <mergeCell ref="J2:J3"/>
    <mergeCell ref="A2:A3"/>
    <mergeCell ref="B2:B3"/>
  </mergeCells>
  <pageMargins left="0.511811024" right="0.511811024" top="0.78740157499999996" bottom="0.78740157499999996" header="0.31496062000000002" footer="0.31496062000000002"/>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31"/>
  <sheetViews>
    <sheetView showGridLines="0" workbookViewId="0"/>
  </sheetViews>
  <sheetFormatPr defaultColWidth="12.42578125" defaultRowHeight="15" x14ac:dyDescent="0.25"/>
  <cols>
    <col min="2" max="2" width="45" customWidth="1"/>
    <col min="4" max="4" width="18.7109375" customWidth="1"/>
    <col min="6" max="6" width="17.85546875" customWidth="1"/>
    <col min="8" max="8" width="12.42578125" bestFit="1" customWidth="1"/>
  </cols>
  <sheetData>
    <row r="1" spans="2:7" x14ac:dyDescent="0.25">
      <c r="B1" s="15" t="s">
        <v>583</v>
      </c>
    </row>
    <row r="2" spans="2:7" x14ac:dyDescent="0.25">
      <c r="B2" s="6"/>
      <c r="C2" s="6" t="s">
        <v>584</v>
      </c>
    </row>
    <row r="3" spans="2:7" x14ac:dyDescent="0.25">
      <c r="B3" s="8" t="s">
        <v>585</v>
      </c>
      <c r="C3" s="120">
        <f>SUM(F9:F12)</f>
        <v>4490400</v>
      </c>
    </row>
    <row r="4" spans="2:7" x14ac:dyDescent="0.25">
      <c r="B4" s="8" t="s">
        <v>586</v>
      </c>
      <c r="C4" s="120">
        <f>F15</f>
        <v>0</v>
      </c>
    </row>
    <row r="5" spans="2:7" x14ac:dyDescent="0.25">
      <c r="B5" s="8" t="s">
        <v>587</v>
      </c>
      <c r="C5" s="120">
        <f>SUM(C3:C4)</f>
        <v>4490400</v>
      </c>
    </row>
    <row r="7" spans="2:7" x14ac:dyDescent="0.25">
      <c r="B7" s="1003" t="s">
        <v>3</v>
      </c>
      <c r="C7" s="1003" t="s">
        <v>534</v>
      </c>
      <c r="D7" s="21" t="s">
        <v>588</v>
      </c>
      <c r="E7" s="21" t="s">
        <v>588</v>
      </c>
      <c r="F7" s="21" t="s">
        <v>588</v>
      </c>
    </row>
    <row r="8" spans="2:7" ht="26.1" customHeight="1" x14ac:dyDescent="0.25">
      <c r="B8" s="1004"/>
      <c r="C8" s="1004"/>
      <c r="D8" s="20" t="s">
        <v>589</v>
      </c>
      <c r="E8" s="20" t="s">
        <v>590</v>
      </c>
      <c r="F8" s="20" t="s">
        <v>591</v>
      </c>
    </row>
    <row r="9" spans="2:7" x14ac:dyDescent="0.25">
      <c r="B9" s="27" t="s">
        <v>592</v>
      </c>
      <c r="C9" s="26">
        <v>23</v>
      </c>
      <c r="D9" s="25">
        <v>7000</v>
      </c>
      <c r="E9" s="25">
        <f t="shared" ref="E9:E14" si="0">D9*C9</f>
        <v>161000</v>
      </c>
      <c r="F9" s="25">
        <f t="shared" ref="F9:F14" si="1">E9*12</f>
        <v>1932000</v>
      </c>
    </row>
    <row r="10" spans="2:7" ht="25.5" x14ac:dyDescent="0.25">
      <c r="B10" s="27" t="s">
        <v>593</v>
      </c>
      <c r="C10" s="26">
        <f>2*9+4+4+8*2</f>
        <v>42</v>
      </c>
      <c r="D10" s="25">
        <v>1600</v>
      </c>
      <c r="E10" s="25">
        <f t="shared" si="0"/>
        <v>67200</v>
      </c>
      <c r="F10" s="25">
        <f t="shared" si="1"/>
        <v>806400</v>
      </c>
    </row>
    <row r="11" spans="2:7" x14ac:dyDescent="0.25">
      <c r="B11" s="27" t="s">
        <v>594</v>
      </c>
      <c r="C11" s="26">
        <v>16</v>
      </c>
      <c r="D11" s="25">
        <v>3000</v>
      </c>
      <c r="E11" s="25">
        <f t="shared" si="0"/>
        <v>48000</v>
      </c>
      <c r="F11" s="25">
        <f t="shared" si="1"/>
        <v>576000</v>
      </c>
    </row>
    <row r="12" spans="2:7" ht="27.95" customHeight="1" x14ac:dyDescent="0.25">
      <c r="B12" s="27" t="s">
        <v>595</v>
      </c>
      <c r="C12" s="26">
        <v>7</v>
      </c>
      <c r="D12" s="25">
        <v>14000</v>
      </c>
      <c r="E12" s="25">
        <f t="shared" si="0"/>
        <v>98000</v>
      </c>
      <c r="F12" s="25">
        <f t="shared" si="1"/>
        <v>1176000</v>
      </c>
      <c r="G12" t="s">
        <v>596</v>
      </c>
    </row>
    <row r="13" spans="2:7" ht="25.5" x14ac:dyDescent="0.25">
      <c r="B13" s="27" t="s">
        <v>597</v>
      </c>
      <c r="C13" s="26">
        <v>0</v>
      </c>
      <c r="D13" s="25">
        <v>19829.919999999998</v>
      </c>
      <c r="E13" s="25">
        <f t="shared" si="0"/>
        <v>0</v>
      </c>
      <c r="F13" s="25">
        <f t="shared" si="1"/>
        <v>0</v>
      </c>
      <c r="G13" t="s">
        <v>598</v>
      </c>
    </row>
    <row r="14" spans="2:7" ht="25.5" x14ac:dyDescent="0.25">
      <c r="B14" s="27" t="s">
        <v>599</v>
      </c>
      <c r="C14" s="26">
        <v>0</v>
      </c>
      <c r="D14" s="25">
        <f>22870.93/1.235</f>
        <v>18518.971659919029</v>
      </c>
      <c r="E14" s="25">
        <f t="shared" si="0"/>
        <v>0</v>
      </c>
      <c r="F14" s="25">
        <f t="shared" si="1"/>
        <v>0</v>
      </c>
      <c r="G14" t="s">
        <v>598</v>
      </c>
    </row>
    <row r="15" spans="2:7" x14ac:dyDescent="0.25">
      <c r="B15" s="27" t="s">
        <v>600</v>
      </c>
      <c r="C15" s="6"/>
      <c r="D15" s="6"/>
      <c r="E15" s="6"/>
      <c r="F15" s="25">
        <v>0</v>
      </c>
    </row>
    <row r="16" spans="2:7" x14ac:dyDescent="0.25">
      <c r="B16" s="243" t="s">
        <v>601</v>
      </c>
      <c r="C16" s="1"/>
      <c r="D16" s="1"/>
      <c r="E16" s="1"/>
      <c r="F16" s="244">
        <f>SUM(F9:F15)</f>
        <v>4490400</v>
      </c>
    </row>
    <row r="17" spans="2:10" ht="15" customHeight="1" x14ac:dyDescent="0.25">
      <c r="B17" s="317" t="s">
        <v>602</v>
      </c>
      <c r="C17" s="309">
        <f>'custos unitários para atualizar'!B4</f>
        <v>0.79693099999999994</v>
      </c>
    </row>
    <row r="18" spans="2:10" x14ac:dyDescent="0.25">
      <c r="B18" s="317" t="s">
        <v>603</v>
      </c>
      <c r="F18" s="244">
        <f>F16*(1+C17)</f>
        <v>8068938.9623999996</v>
      </c>
    </row>
    <row r="23" spans="2:10" ht="15" customHeight="1" x14ac:dyDescent="0.25">
      <c r="B23" s="2" t="s">
        <v>604</v>
      </c>
    </row>
    <row r="24" spans="2:10" ht="15.75" x14ac:dyDescent="0.25">
      <c r="B24" s="1005" t="s">
        <v>3</v>
      </c>
      <c r="C24" s="997" t="s">
        <v>605</v>
      </c>
      <c r="D24" s="997" t="s">
        <v>606</v>
      </c>
      <c r="E24" s="997" t="s">
        <v>544</v>
      </c>
      <c r="F24" s="999" t="s">
        <v>607</v>
      </c>
      <c r="G24" s="1000"/>
    </row>
    <row r="25" spans="2:10" ht="31.5" x14ac:dyDescent="0.25">
      <c r="B25" s="1006"/>
      <c r="C25" s="998"/>
      <c r="D25" s="998"/>
      <c r="E25" s="998"/>
      <c r="F25" s="779" t="s">
        <v>608</v>
      </c>
      <c r="G25" s="780" t="s">
        <v>609</v>
      </c>
    </row>
    <row r="26" spans="2:10" ht="45.75" x14ac:dyDescent="0.25">
      <c r="B26" s="1001" t="s">
        <v>208</v>
      </c>
      <c r="C26" s="781" t="s">
        <v>610</v>
      </c>
      <c r="D26" s="781" t="s">
        <v>611</v>
      </c>
      <c r="E26" s="781" t="s">
        <v>612</v>
      </c>
      <c r="F26" s="781">
        <v>35.479999999999997</v>
      </c>
      <c r="G26" s="782">
        <v>6.42</v>
      </c>
      <c r="H26" s="783"/>
      <c r="I26" s="783"/>
      <c r="J26" s="783"/>
    </row>
    <row r="27" spans="2:10" ht="45.75" x14ac:dyDescent="0.25">
      <c r="B27" s="1001"/>
      <c r="C27" s="781" t="s">
        <v>613</v>
      </c>
      <c r="D27" s="781" t="s">
        <v>614</v>
      </c>
      <c r="E27" s="781" t="s">
        <v>612</v>
      </c>
      <c r="F27" s="781">
        <v>62.38</v>
      </c>
      <c r="G27" s="782">
        <v>33.32</v>
      </c>
      <c r="H27" s="783"/>
      <c r="I27" s="783"/>
      <c r="J27" s="783"/>
    </row>
    <row r="28" spans="2:10" ht="75.75" x14ac:dyDescent="0.25">
      <c r="B28" s="1001"/>
      <c r="C28" s="781" t="s">
        <v>615</v>
      </c>
      <c r="D28" s="781" t="s">
        <v>616</v>
      </c>
      <c r="E28" s="781" t="s">
        <v>612</v>
      </c>
      <c r="F28" s="781">
        <v>78.13</v>
      </c>
      <c r="G28" s="782">
        <v>22.83</v>
      </c>
      <c r="H28" s="783"/>
      <c r="I28" s="783"/>
      <c r="J28" s="783"/>
    </row>
    <row r="29" spans="2:10" ht="75.75" x14ac:dyDescent="0.25">
      <c r="B29" s="1001"/>
      <c r="C29" s="781" t="s">
        <v>617</v>
      </c>
      <c r="D29" s="781" t="s">
        <v>618</v>
      </c>
      <c r="E29" s="781" t="s">
        <v>612</v>
      </c>
      <c r="F29" s="781">
        <v>55.5</v>
      </c>
      <c r="G29" s="782">
        <v>17.25</v>
      </c>
      <c r="H29" s="783"/>
      <c r="I29" s="783"/>
      <c r="J29" s="783"/>
    </row>
    <row r="30" spans="2:10" ht="75.75" x14ac:dyDescent="0.25">
      <c r="B30" s="1002"/>
      <c r="C30" s="781" t="s">
        <v>619</v>
      </c>
      <c r="D30" s="781" t="s">
        <v>620</v>
      </c>
      <c r="E30" s="781" t="s">
        <v>612</v>
      </c>
      <c r="F30" s="781">
        <v>82.4</v>
      </c>
      <c r="G30" s="782">
        <v>44.15</v>
      </c>
      <c r="H30" s="783"/>
      <c r="I30" s="783"/>
      <c r="J30" s="783"/>
    </row>
    <row r="31" spans="2:10" x14ac:dyDescent="0.25">
      <c r="H31" s="783"/>
      <c r="I31" s="783"/>
    </row>
  </sheetData>
  <mergeCells count="8">
    <mergeCell ref="E24:E25"/>
    <mergeCell ref="F24:G24"/>
    <mergeCell ref="B26:B30"/>
    <mergeCell ref="B7:B8"/>
    <mergeCell ref="C7:C8"/>
    <mergeCell ref="B24:B25"/>
    <mergeCell ref="C24:C25"/>
    <mergeCell ref="D24:D25"/>
  </mergeCells>
  <pageMargins left="0.511811024" right="0.511811024" top="0.78740157499999996" bottom="0.78740157499999996" header="0.31496062000000002" footer="0.31496062000000002"/>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60"/>
  <sheetViews>
    <sheetView showGridLines="0" zoomScale="130" zoomScaleNormal="130" workbookViewId="0"/>
  </sheetViews>
  <sheetFormatPr defaultColWidth="12.42578125" defaultRowHeight="15" x14ac:dyDescent="0.25"/>
  <cols>
    <col min="2" max="2" width="32.85546875" customWidth="1"/>
    <col min="7" max="7" width="14.42578125" customWidth="1"/>
    <col min="10" max="10" width="17.140625" customWidth="1"/>
  </cols>
  <sheetData>
    <row r="1" spans="1:10" x14ac:dyDescent="0.25">
      <c r="A1" s="882"/>
      <c r="B1" t="s">
        <v>1520</v>
      </c>
    </row>
    <row r="2" spans="1:10" x14ac:dyDescent="0.25">
      <c r="C2" t="s">
        <v>621</v>
      </c>
    </row>
    <row r="4" spans="1:10" ht="15.75" customHeight="1" x14ac:dyDescent="0.25"/>
    <row r="5" spans="1:10" ht="22.5" x14ac:dyDescent="0.25">
      <c r="A5" t="s">
        <v>1526</v>
      </c>
      <c r="B5" s="907" t="s">
        <v>622</v>
      </c>
      <c r="C5" s="908" t="s">
        <v>623</v>
      </c>
      <c r="D5" s="908" t="s">
        <v>624</v>
      </c>
      <c r="E5" s="908" t="s">
        <v>625</v>
      </c>
      <c r="F5" s="908" t="s">
        <v>1519</v>
      </c>
      <c r="G5" s="908" t="s">
        <v>626</v>
      </c>
      <c r="H5" s="908" t="s">
        <v>627</v>
      </c>
      <c r="I5" s="908" t="s">
        <v>628</v>
      </c>
      <c r="J5" s="908" t="s">
        <v>1527</v>
      </c>
    </row>
    <row r="6" spans="1:10" ht="22.5" x14ac:dyDescent="0.25">
      <c r="A6" t="s">
        <v>1525</v>
      </c>
      <c r="B6" s="877" t="s">
        <v>629</v>
      </c>
      <c r="C6" s="878">
        <v>0</v>
      </c>
      <c r="D6" s="878" t="s">
        <v>630</v>
      </c>
      <c r="E6" s="879">
        <v>2880</v>
      </c>
      <c r="F6" s="879"/>
      <c r="G6" s="880">
        <f t="shared" ref="G6:G34" si="0">C6*E6</f>
        <v>0</v>
      </c>
      <c r="H6" s="881">
        <f t="shared" ref="H6:H37" si="1">G6/$G$57</f>
        <v>0</v>
      </c>
      <c r="I6" s="881">
        <f>H6</f>
        <v>0</v>
      </c>
      <c r="J6" s="886">
        <f>IF(A6="x",G6,G6*(1+$C$58))</f>
        <v>0</v>
      </c>
    </row>
    <row r="7" spans="1:10" x14ac:dyDescent="0.25">
      <c r="A7" t="s">
        <v>1525</v>
      </c>
      <c r="B7" s="877" t="s">
        <v>1521</v>
      </c>
      <c r="C7" s="878">
        <v>5</v>
      </c>
      <c r="D7" s="878" t="s">
        <v>1518</v>
      </c>
      <c r="E7" s="879">
        <v>2880</v>
      </c>
      <c r="F7" s="880">
        <f>L7/12/C7</f>
        <v>0</v>
      </c>
      <c r="G7" s="880">
        <f t="shared" ref="G7:G12" si="2">C7*F7*12</f>
        <v>0</v>
      </c>
      <c r="H7" s="881">
        <f t="shared" si="1"/>
        <v>0</v>
      </c>
      <c r="I7" s="881">
        <f t="shared" ref="I7:I38" si="3">H7+I6</f>
        <v>0</v>
      </c>
      <c r="J7" s="886">
        <f t="shared" ref="J7:J56" si="4">IF(A7="x",G7,G7*(1+$C$58))</f>
        <v>0</v>
      </c>
    </row>
    <row r="8" spans="1:10" x14ac:dyDescent="0.25">
      <c r="A8" t="s">
        <v>1525</v>
      </c>
      <c r="B8" s="877" t="s">
        <v>1522</v>
      </c>
      <c r="C8" s="878">
        <v>10</v>
      </c>
      <c r="D8" s="878" t="s">
        <v>1518</v>
      </c>
      <c r="E8" s="879">
        <v>750</v>
      </c>
      <c r="F8" s="880">
        <v>1962.15</v>
      </c>
      <c r="G8" s="880">
        <f t="shared" si="2"/>
        <v>235458</v>
      </c>
      <c r="H8" s="881">
        <f t="shared" si="1"/>
        <v>1.9494822125963564E-2</v>
      </c>
      <c r="I8" s="881">
        <f t="shared" si="3"/>
        <v>1.9494822125963564E-2</v>
      </c>
      <c r="J8" s="886">
        <f t="shared" si="4"/>
        <v>235458</v>
      </c>
    </row>
    <row r="9" spans="1:10" x14ac:dyDescent="0.25">
      <c r="A9" t="s">
        <v>1525</v>
      </c>
      <c r="B9" s="877" t="s">
        <v>631</v>
      </c>
      <c r="C9" s="878">
        <v>3</v>
      </c>
      <c r="D9" s="878" t="s">
        <v>1518</v>
      </c>
      <c r="E9" s="879">
        <v>2100</v>
      </c>
      <c r="F9" s="880">
        <v>29621.960000000003</v>
      </c>
      <c r="G9" s="880">
        <f t="shared" si="2"/>
        <v>1066390.56</v>
      </c>
      <c r="H9" s="881">
        <f t="shared" si="1"/>
        <v>8.8292155220917018E-2</v>
      </c>
      <c r="I9" s="881">
        <f t="shared" si="3"/>
        <v>0.10778697734688059</v>
      </c>
      <c r="J9" s="886">
        <f t="shared" si="4"/>
        <v>1066390.56</v>
      </c>
    </row>
    <row r="10" spans="1:10" ht="22.5" x14ac:dyDescent="0.25">
      <c r="A10" t="s">
        <v>1525</v>
      </c>
      <c r="B10" s="877" t="s">
        <v>632</v>
      </c>
      <c r="C10" s="878">
        <v>5</v>
      </c>
      <c r="D10" s="878" t="s">
        <v>1518</v>
      </c>
      <c r="E10" s="879">
        <v>980</v>
      </c>
      <c r="F10" s="880">
        <v>25662.248</v>
      </c>
      <c r="G10" s="880">
        <f t="shared" si="2"/>
        <v>1539734.88</v>
      </c>
      <c r="H10" s="881">
        <f t="shared" si="1"/>
        <v>0.12748285302152337</v>
      </c>
      <c r="I10" s="881">
        <f t="shared" si="3"/>
        <v>0.23526983036840396</v>
      </c>
      <c r="J10" s="886">
        <f>IF(A10="x",G10,G10*(1+$C$58))</f>
        <v>1539734.88</v>
      </c>
    </row>
    <row r="11" spans="1:10" x14ac:dyDescent="0.25">
      <c r="A11" t="s">
        <v>1525</v>
      </c>
      <c r="B11" s="877" t="s">
        <v>1524</v>
      </c>
      <c r="C11" s="878">
        <v>15</v>
      </c>
      <c r="D11" s="878" t="s">
        <v>1518</v>
      </c>
      <c r="E11" s="879">
        <v>980</v>
      </c>
      <c r="F11" s="880">
        <v>20357.400000000001</v>
      </c>
      <c r="G11" s="880">
        <f t="shared" si="2"/>
        <v>3664332</v>
      </c>
      <c r="H11" s="881">
        <f t="shared" si="1"/>
        <v>0.3033895665064526</v>
      </c>
      <c r="I11" s="881">
        <f t="shared" si="3"/>
        <v>0.53865939687485653</v>
      </c>
      <c r="J11" s="886">
        <f t="shared" si="4"/>
        <v>3664332</v>
      </c>
    </row>
    <row r="12" spans="1:10" x14ac:dyDescent="0.25">
      <c r="A12" t="s">
        <v>1525</v>
      </c>
      <c r="B12" s="877" t="s">
        <v>1523</v>
      </c>
      <c r="C12" s="878">
        <v>8</v>
      </c>
      <c r="D12" s="878" t="s">
        <v>1518</v>
      </c>
      <c r="E12" s="879">
        <v>1280</v>
      </c>
      <c r="F12" s="880">
        <v>14185.434999999999</v>
      </c>
      <c r="G12" s="880">
        <f t="shared" si="2"/>
        <v>1361801.76</v>
      </c>
      <c r="H12" s="881">
        <f t="shared" si="1"/>
        <v>0.11275082215097437</v>
      </c>
      <c r="I12" s="881">
        <f t="shared" si="3"/>
        <v>0.65141021902583085</v>
      </c>
      <c r="J12" s="886">
        <f t="shared" si="4"/>
        <v>1361801.76</v>
      </c>
    </row>
    <row r="13" spans="1:10" ht="22.5" x14ac:dyDescent="0.25">
      <c r="A13" t="s">
        <v>1525</v>
      </c>
      <c r="B13" s="877" t="s">
        <v>633</v>
      </c>
      <c r="C13" s="878">
        <v>0</v>
      </c>
      <c r="D13" s="878" t="s">
        <v>630</v>
      </c>
      <c r="E13" s="879">
        <v>1200</v>
      </c>
      <c r="F13" s="879"/>
      <c r="G13" s="880">
        <f t="shared" si="0"/>
        <v>0</v>
      </c>
      <c r="H13" s="881">
        <f t="shared" si="1"/>
        <v>0</v>
      </c>
      <c r="I13" s="881">
        <f t="shared" si="3"/>
        <v>0.65141021902583085</v>
      </c>
      <c r="J13" s="886">
        <f t="shared" si="4"/>
        <v>0</v>
      </c>
    </row>
    <row r="14" spans="1:10" x14ac:dyDescent="0.25">
      <c r="A14" t="s">
        <v>1525</v>
      </c>
      <c r="B14" s="877" t="s">
        <v>634</v>
      </c>
      <c r="C14" s="878">
        <v>0</v>
      </c>
      <c r="D14" s="878" t="s">
        <v>630</v>
      </c>
      <c r="E14" s="879">
        <v>500</v>
      </c>
      <c r="F14" s="879"/>
      <c r="G14" s="880">
        <f t="shared" si="0"/>
        <v>0</v>
      </c>
      <c r="H14" s="881">
        <f t="shared" si="1"/>
        <v>0</v>
      </c>
      <c r="I14" s="881">
        <f t="shared" si="3"/>
        <v>0.65141021902583085</v>
      </c>
      <c r="J14" s="886">
        <f t="shared" si="4"/>
        <v>0</v>
      </c>
    </row>
    <row r="15" spans="1:10" x14ac:dyDescent="0.25">
      <c r="A15" t="s">
        <v>1525</v>
      </c>
      <c r="B15" s="877" t="s">
        <v>635</v>
      </c>
      <c r="C15" s="878">
        <v>3</v>
      </c>
      <c r="D15" s="878" t="s">
        <v>1518</v>
      </c>
      <c r="E15" s="879">
        <v>1440</v>
      </c>
      <c r="F15" s="883">
        <v>40869.256666666668</v>
      </c>
      <c r="G15" s="880">
        <f>C15*F15*12</f>
        <v>1471293.24</v>
      </c>
      <c r="H15" s="881">
        <f t="shared" si="1"/>
        <v>0.12181620505114552</v>
      </c>
      <c r="I15" s="881">
        <f t="shared" si="3"/>
        <v>0.77322642407697639</v>
      </c>
      <c r="J15" s="886">
        <f t="shared" si="4"/>
        <v>1471293.24</v>
      </c>
    </row>
    <row r="16" spans="1:10" ht="22.5" x14ac:dyDescent="0.25">
      <c r="A16" t="s">
        <v>1525</v>
      </c>
      <c r="B16" s="877" t="s">
        <v>636</v>
      </c>
      <c r="C16" s="878">
        <v>5</v>
      </c>
      <c r="D16" s="878" t="s">
        <v>1518</v>
      </c>
      <c r="E16" s="879">
        <v>720</v>
      </c>
      <c r="F16" s="883">
        <v>31411.684000000001</v>
      </c>
      <c r="G16" s="880">
        <f>C16*F16*12</f>
        <v>1884701.04</v>
      </c>
      <c r="H16" s="881">
        <f t="shared" si="1"/>
        <v>0.15604443907371396</v>
      </c>
      <c r="I16" s="881">
        <f t="shared" si="3"/>
        <v>0.9292708631506903</v>
      </c>
      <c r="J16" s="886">
        <f t="shared" si="4"/>
        <v>1884701.04</v>
      </c>
    </row>
    <row r="17" spans="1:10" x14ac:dyDescent="0.25">
      <c r="A17" t="s">
        <v>1525</v>
      </c>
      <c r="B17" s="877" t="s">
        <v>637</v>
      </c>
      <c r="C17" s="878">
        <v>0</v>
      </c>
      <c r="D17" s="878" t="s">
        <v>630</v>
      </c>
      <c r="E17" s="879">
        <v>720</v>
      </c>
      <c r="F17" s="879"/>
      <c r="G17" s="880">
        <f t="shared" si="0"/>
        <v>0</v>
      </c>
      <c r="H17" s="881">
        <f t="shared" si="1"/>
        <v>0</v>
      </c>
      <c r="I17" s="881">
        <f t="shared" si="3"/>
        <v>0.9292708631506903</v>
      </c>
      <c r="J17" s="886">
        <f t="shared" si="4"/>
        <v>0</v>
      </c>
    </row>
    <row r="18" spans="1:10" x14ac:dyDescent="0.25">
      <c r="A18" t="s">
        <v>1525</v>
      </c>
      <c r="B18" s="877" t="s">
        <v>638</v>
      </c>
      <c r="C18" s="878">
        <v>0.5</v>
      </c>
      <c r="D18" s="878" t="s">
        <v>1518</v>
      </c>
      <c r="E18" s="879">
        <v>350</v>
      </c>
      <c r="F18" s="880">
        <v>7044.14</v>
      </c>
      <c r="G18" s="880">
        <f>C18*F18*12</f>
        <v>42264.840000000004</v>
      </c>
      <c r="H18" s="881">
        <f t="shared" si="1"/>
        <v>3.499331252207655E-3</v>
      </c>
      <c r="I18" s="881">
        <f t="shared" si="3"/>
        <v>0.93277019440289799</v>
      </c>
      <c r="J18" s="886">
        <f t="shared" si="4"/>
        <v>42264.840000000004</v>
      </c>
    </row>
    <row r="19" spans="1:10" ht="22.5" x14ac:dyDescent="0.25">
      <c r="B19" s="246" t="s">
        <v>639</v>
      </c>
      <c r="C19" s="245">
        <v>50</v>
      </c>
      <c r="D19" s="245" t="s">
        <v>630</v>
      </c>
      <c r="E19" s="247">
        <v>1800</v>
      </c>
      <c r="F19" s="247"/>
      <c r="G19" s="248">
        <f t="shared" si="0"/>
        <v>90000</v>
      </c>
      <c r="H19" s="187">
        <f t="shared" si="1"/>
        <v>7.4515794381024248E-3</v>
      </c>
      <c r="I19" s="187">
        <f t="shared" si="3"/>
        <v>0.94022177384100036</v>
      </c>
      <c r="J19" s="9">
        <f t="shared" si="4"/>
        <v>161723.78999999998</v>
      </c>
    </row>
    <row r="20" spans="1:10" x14ac:dyDescent="0.25">
      <c r="A20" t="s">
        <v>1525</v>
      </c>
      <c r="B20" s="877" t="s">
        <v>640</v>
      </c>
      <c r="C20" s="878">
        <v>0</v>
      </c>
      <c r="D20" s="878" t="s">
        <v>630</v>
      </c>
      <c r="E20" s="879">
        <v>300</v>
      </c>
      <c r="F20" s="879"/>
      <c r="G20" s="880">
        <f t="shared" si="0"/>
        <v>0</v>
      </c>
      <c r="H20" s="881">
        <f t="shared" si="1"/>
        <v>0</v>
      </c>
      <c r="I20" s="881">
        <f t="shared" si="3"/>
        <v>0.94022177384100036</v>
      </c>
      <c r="J20" s="886">
        <f t="shared" si="4"/>
        <v>0</v>
      </c>
    </row>
    <row r="21" spans="1:10" x14ac:dyDescent="0.25">
      <c r="B21" s="246" t="s">
        <v>641</v>
      </c>
      <c r="C21" s="245">
        <v>100</v>
      </c>
      <c r="D21" s="245" t="s">
        <v>630</v>
      </c>
      <c r="E21" s="247">
        <v>880</v>
      </c>
      <c r="F21" s="247"/>
      <c r="G21" s="248">
        <f t="shared" si="0"/>
        <v>88000</v>
      </c>
      <c r="H21" s="187">
        <f t="shared" si="1"/>
        <v>7.2859887839223716E-3</v>
      </c>
      <c r="I21" s="187">
        <f t="shared" si="3"/>
        <v>0.94750776262492276</v>
      </c>
      <c r="J21" s="9">
        <f t="shared" si="4"/>
        <v>158129.92799999999</v>
      </c>
    </row>
    <row r="22" spans="1:10" x14ac:dyDescent="0.25">
      <c r="B22" s="246" t="s">
        <v>642</v>
      </c>
      <c r="C22" s="245">
        <v>300</v>
      </c>
      <c r="D22" s="245" t="s">
        <v>630</v>
      </c>
      <c r="E22" s="247">
        <v>260</v>
      </c>
      <c r="F22" s="247"/>
      <c r="G22" s="248">
        <f t="shared" si="0"/>
        <v>78000</v>
      </c>
      <c r="H22" s="187">
        <f t="shared" si="1"/>
        <v>6.4580355130221022E-3</v>
      </c>
      <c r="I22" s="187">
        <f t="shared" si="3"/>
        <v>0.95396579813794491</v>
      </c>
      <c r="J22" s="9">
        <f t="shared" si="4"/>
        <v>140160.61799999999</v>
      </c>
    </row>
    <row r="23" spans="1:10" x14ac:dyDescent="0.25">
      <c r="B23" s="877" t="s">
        <v>643</v>
      </c>
      <c r="C23" s="878">
        <v>0</v>
      </c>
      <c r="D23" s="878" t="s">
        <v>630</v>
      </c>
      <c r="E23" s="879">
        <v>250</v>
      </c>
      <c r="F23" s="879"/>
      <c r="G23" s="880">
        <f t="shared" si="0"/>
        <v>0</v>
      </c>
      <c r="H23" s="881">
        <f t="shared" si="1"/>
        <v>0</v>
      </c>
      <c r="I23" s="881">
        <f t="shared" si="3"/>
        <v>0.95396579813794491</v>
      </c>
      <c r="J23" s="886">
        <f t="shared" si="4"/>
        <v>0</v>
      </c>
    </row>
    <row r="24" spans="1:10" x14ac:dyDescent="0.25">
      <c r="B24" s="877" t="s">
        <v>644</v>
      </c>
      <c r="C24" s="878">
        <v>0</v>
      </c>
      <c r="D24" s="878" t="s">
        <v>630</v>
      </c>
      <c r="E24" s="879">
        <v>200</v>
      </c>
      <c r="F24" s="879"/>
      <c r="G24" s="880">
        <f t="shared" si="0"/>
        <v>0</v>
      </c>
      <c r="H24" s="881">
        <f t="shared" si="1"/>
        <v>0</v>
      </c>
      <c r="I24" s="881">
        <f t="shared" si="3"/>
        <v>0.95396579813794491</v>
      </c>
      <c r="J24" s="886">
        <f t="shared" si="4"/>
        <v>0</v>
      </c>
    </row>
    <row r="25" spans="1:10" x14ac:dyDescent="0.25">
      <c r="B25" s="877" t="s">
        <v>645</v>
      </c>
      <c r="C25" s="878">
        <v>0</v>
      </c>
      <c r="D25" s="878" t="s">
        <v>630</v>
      </c>
      <c r="E25" s="879">
        <v>200</v>
      </c>
      <c r="F25" s="879"/>
      <c r="G25" s="880">
        <f t="shared" si="0"/>
        <v>0</v>
      </c>
      <c r="H25" s="881">
        <f t="shared" si="1"/>
        <v>0</v>
      </c>
      <c r="I25" s="881">
        <f t="shared" si="3"/>
        <v>0.95396579813794491</v>
      </c>
      <c r="J25" s="886">
        <f t="shared" si="4"/>
        <v>0</v>
      </c>
    </row>
    <row r="26" spans="1:10" x14ac:dyDescent="0.25">
      <c r="B26" s="877" t="s">
        <v>646</v>
      </c>
      <c r="C26" s="878">
        <v>0</v>
      </c>
      <c r="D26" s="878" t="s">
        <v>630</v>
      </c>
      <c r="E26" s="879">
        <v>200</v>
      </c>
      <c r="F26" s="879"/>
      <c r="G26" s="880">
        <f t="shared" si="0"/>
        <v>0</v>
      </c>
      <c r="H26" s="881">
        <f t="shared" si="1"/>
        <v>0</v>
      </c>
      <c r="I26" s="881">
        <f t="shared" si="3"/>
        <v>0.95396579813794491</v>
      </c>
      <c r="J26" s="886">
        <f t="shared" si="4"/>
        <v>0</v>
      </c>
    </row>
    <row r="27" spans="1:10" ht="22.5" x14ac:dyDescent="0.25">
      <c r="B27" s="246" t="s">
        <v>647</v>
      </c>
      <c r="C27" s="245">
        <v>50</v>
      </c>
      <c r="D27" s="245" t="s">
        <v>630</v>
      </c>
      <c r="E27" s="247">
        <v>1080</v>
      </c>
      <c r="F27" s="247"/>
      <c r="G27" s="248">
        <f t="shared" si="0"/>
        <v>54000</v>
      </c>
      <c r="H27" s="187">
        <f t="shared" si="1"/>
        <v>4.4709476628614553E-3</v>
      </c>
      <c r="I27" s="187">
        <f t="shared" si="3"/>
        <v>0.9584367458008064</v>
      </c>
      <c r="J27" s="9">
        <f t="shared" si="4"/>
        <v>97034.27399999999</v>
      </c>
    </row>
    <row r="28" spans="1:10" x14ac:dyDescent="0.25">
      <c r="B28" s="246" t="s">
        <v>648</v>
      </c>
      <c r="C28" s="245">
        <v>50</v>
      </c>
      <c r="D28" s="245" t="s">
        <v>630</v>
      </c>
      <c r="E28" s="247">
        <v>960</v>
      </c>
      <c r="F28" s="247"/>
      <c r="G28" s="248">
        <f t="shared" si="0"/>
        <v>48000</v>
      </c>
      <c r="H28" s="187">
        <f t="shared" si="1"/>
        <v>3.9741757003212931E-3</v>
      </c>
      <c r="I28" s="187">
        <f t="shared" si="3"/>
        <v>0.96241092150112773</v>
      </c>
      <c r="J28" s="9">
        <f t="shared" si="4"/>
        <v>86252.687999999995</v>
      </c>
    </row>
    <row r="29" spans="1:10" x14ac:dyDescent="0.25">
      <c r="B29" s="246" t="s">
        <v>649</v>
      </c>
      <c r="C29" s="245">
        <v>300</v>
      </c>
      <c r="D29" s="245" t="s">
        <v>630</v>
      </c>
      <c r="E29" s="247">
        <v>150</v>
      </c>
      <c r="F29" s="247"/>
      <c r="G29" s="248">
        <f t="shared" si="0"/>
        <v>45000</v>
      </c>
      <c r="H29" s="187">
        <f t="shared" si="1"/>
        <v>3.7257897190512124E-3</v>
      </c>
      <c r="I29" s="187">
        <f t="shared" si="3"/>
        <v>0.96613671122017897</v>
      </c>
      <c r="J29" s="9">
        <f t="shared" si="4"/>
        <v>80861.89499999999</v>
      </c>
    </row>
    <row r="30" spans="1:10" x14ac:dyDescent="0.25">
      <c r="B30" s="246" t="s">
        <v>650</v>
      </c>
      <c r="C30" s="245">
        <v>300</v>
      </c>
      <c r="D30" s="245" t="s">
        <v>630</v>
      </c>
      <c r="E30" s="247">
        <v>150</v>
      </c>
      <c r="F30" s="247"/>
      <c r="G30" s="248">
        <f t="shared" si="0"/>
        <v>45000</v>
      </c>
      <c r="H30" s="187">
        <f t="shared" si="1"/>
        <v>3.7257897190512124E-3</v>
      </c>
      <c r="I30" s="187">
        <f t="shared" si="3"/>
        <v>0.96986250093923021</v>
      </c>
      <c r="J30" s="9">
        <f t="shared" si="4"/>
        <v>80861.89499999999</v>
      </c>
    </row>
    <row r="31" spans="1:10" x14ac:dyDescent="0.25">
      <c r="B31" s="246" t="s">
        <v>651</v>
      </c>
      <c r="C31" s="245">
        <v>300</v>
      </c>
      <c r="D31" s="245" t="s">
        <v>630</v>
      </c>
      <c r="E31" s="247">
        <v>150</v>
      </c>
      <c r="F31" s="247"/>
      <c r="G31" s="248">
        <f t="shared" si="0"/>
        <v>45000</v>
      </c>
      <c r="H31" s="187">
        <f t="shared" si="1"/>
        <v>3.7257897190512124E-3</v>
      </c>
      <c r="I31" s="187">
        <f t="shared" si="3"/>
        <v>0.97358829065828145</v>
      </c>
      <c r="J31" s="9">
        <f t="shared" si="4"/>
        <v>80861.89499999999</v>
      </c>
    </row>
    <row r="32" spans="1:10" x14ac:dyDescent="0.25">
      <c r="B32" s="246" t="s">
        <v>652</v>
      </c>
      <c r="C32" s="245">
        <v>300</v>
      </c>
      <c r="D32" s="245" t="s">
        <v>630</v>
      </c>
      <c r="E32" s="247">
        <v>100</v>
      </c>
      <c r="F32" s="247"/>
      <c r="G32" s="248">
        <f t="shared" si="0"/>
        <v>30000</v>
      </c>
      <c r="H32" s="187">
        <f t="shared" si="1"/>
        <v>2.4838598127008083E-3</v>
      </c>
      <c r="I32" s="187">
        <f t="shared" si="3"/>
        <v>0.97607215047098228</v>
      </c>
      <c r="J32" s="9">
        <f t="shared" si="4"/>
        <v>53907.929999999993</v>
      </c>
    </row>
    <row r="33" spans="2:10" ht="22.5" x14ac:dyDescent="0.25">
      <c r="B33" s="246" t="s">
        <v>653</v>
      </c>
      <c r="C33" s="245">
        <v>100</v>
      </c>
      <c r="D33" s="245" t="s">
        <v>630</v>
      </c>
      <c r="E33" s="247">
        <v>250</v>
      </c>
      <c r="F33" s="247"/>
      <c r="G33" s="248">
        <f t="shared" si="0"/>
        <v>25000</v>
      </c>
      <c r="H33" s="187">
        <f t="shared" si="1"/>
        <v>2.0698831772506736E-3</v>
      </c>
      <c r="I33" s="187">
        <f t="shared" si="3"/>
        <v>0.97814203364823293</v>
      </c>
      <c r="J33" s="9">
        <f t="shared" si="4"/>
        <v>44923.274999999994</v>
      </c>
    </row>
    <row r="34" spans="2:10" x14ac:dyDescent="0.25">
      <c r="B34" s="246" t="s">
        <v>654</v>
      </c>
      <c r="C34" s="245">
        <v>100</v>
      </c>
      <c r="D34" s="245" t="s">
        <v>630</v>
      </c>
      <c r="E34" s="247">
        <v>250</v>
      </c>
      <c r="F34" s="247"/>
      <c r="G34" s="248">
        <f t="shared" si="0"/>
        <v>25000</v>
      </c>
      <c r="H34" s="187">
        <f t="shared" si="1"/>
        <v>2.0698831772506736E-3</v>
      </c>
      <c r="I34" s="187">
        <f t="shared" si="3"/>
        <v>0.98021191682548359</v>
      </c>
      <c r="J34" s="9">
        <f t="shared" si="4"/>
        <v>44923.274999999994</v>
      </c>
    </row>
    <row r="35" spans="2:10" ht="22.5" x14ac:dyDescent="0.25">
      <c r="B35" s="246" t="s">
        <v>655</v>
      </c>
      <c r="C35" s="245">
        <v>5000</v>
      </c>
      <c r="D35" s="245" t="s">
        <v>656</v>
      </c>
      <c r="E35" s="247"/>
      <c r="F35" s="247">
        <v>4.5</v>
      </c>
      <c r="G35" s="248">
        <f>C35*F35</f>
        <v>22500</v>
      </c>
      <c r="H35" s="187">
        <f t="shared" si="1"/>
        <v>1.8628948595256062E-3</v>
      </c>
      <c r="I35" s="187">
        <f t="shared" si="3"/>
        <v>0.98207481168500921</v>
      </c>
      <c r="J35" s="9">
        <f t="shared" si="4"/>
        <v>40430.947499999995</v>
      </c>
    </row>
    <row r="36" spans="2:10" ht="22.5" x14ac:dyDescent="0.25">
      <c r="B36" s="246" t="s">
        <v>657</v>
      </c>
      <c r="C36" s="245">
        <v>5000</v>
      </c>
      <c r="D36" s="245" t="s">
        <v>658</v>
      </c>
      <c r="E36" s="247"/>
      <c r="F36" s="247">
        <v>4.5</v>
      </c>
      <c r="G36" s="248">
        <f>C36*F36</f>
        <v>22500</v>
      </c>
      <c r="H36" s="187">
        <f t="shared" si="1"/>
        <v>1.8628948595256062E-3</v>
      </c>
      <c r="I36" s="187">
        <f t="shared" si="3"/>
        <v>0.98393770654453483</v>
      </c>
      <c r="J36" s="9">
        <f t="shared" si="4"/>
        <v>40430.947499999995</v>
      </c>
    </row>
    <row r="37" spans="2:10" x14ac:dyDescent="0.25">
      <c r="B37" s="246" t="s">
        <v>659</v>
      </c>
      <c r="C37" s="245">
        <v>100</v>
      </c>
      <c r="D37" s="245" t="s">
        <v>630</v>
      </c>
      <c r="E37" s="247">
        <v>220</v>
      </c>
      <c r="F37" s="247"/>
      <c r="G37" s="248">
        <f t="shared" ref="G37:G56" si="5">C37*E37</f>
        <v>22000</v>
      </c>
      <c r="H37" s="187">
        <f t="shared" si="1"/>
        <v>1.8214971959805929E-3</v>
      </c>
      <c r="I37" s="187">
        <f t="shared" si="3"/>
        <v>0.9857592037405154</v>
      </c>
      <c r="J37" s="9">
        <f t="shared" si="4"/>
        <v>39532.481999999996</v>
      </c>
    </row>
    <row r="38" spans="2:10" ht="22.5" x14ac:dyDescent="0.25">
      <c r="B38" s="246" t="s">
        <v>660</v>
      </c>
      <c r="C38" s="245">
        <v>100</v>
      </c>
      <c r="D38" s="245" t="s">
        <v>630</v>
      </c>
      <c r="E38" s="247">
        <v>185</v>
      </c>
      <c r="F38" s="247"/>
      <c r="G38" s="248">
        <f t="shared" si="5"/>
        <v>18500</v>
      </c>
      <c r="H38" s="187">
        <f t="shared" ref="H38:H56" si="6">G38/$G$57</f>
        <v>1.5317135511654985E-3</v>
      </c>
      <c r="I38" s="187">
        <f t="shared" si="3"/>
        <v>0.98729091729168095</v>
      </c>
      <c r="J38" s="9">
        <f t="shared" si="4"/>
        <v>33243.2235</v>
      </c>
    </row>
    <row r="39" spans="2:10" x14ac:dyDescent="0.25">
      <c r="B39" s="246" t="s">
        <v>661</v>
      </c>
      <c r="C39" s="245">
        <v>100</v>
      </c>
      <c r="D39" s="245" t="s">
        <v>630</v>
      </c>
      <c r="E39" s="247">
        <v>150</v>
      </c>
      <c r="F39" s="247"/>
      <c r="G39" s="248">
        <f t="shared" si="5"/>
        <v>15000</v>
      </c>
      <c r="H39" s="187">
        <f t="shared" si="6"/>
        <v>1.2419299063504041E-3</v>
      </c>
      <c r="I39" s="187">
        <f t="shared" ref="I39:I56" si="7">H39+I38</f>
        <v>0.98853284719803136</v>
      </c>
      <c r="J39" s="9">
        <f t="shared" si="4"/>
        <v>26953.964999999997</v>
      </c>
    </row>
    <row r="40" spans="2:10" x14ac:dyDescent="0.25">
      <c r="B40" s="246" t="s">
        <v>662</v>
      </c>
      <c r="C40" s="245">
        <v>100</v>
      </c>
      <c r="D40" s="245" t="s">
        <v>630</v>
      </c>
      <c r="E40" s="247">
        <v>145</v>
      </c>
      <c r="F40" s="247"/>
      <c r="G40" s="248">
        <f t="shared" si="5"/>
        <v>14500</v>
      </c>
      <c r="H40" s="187">
        <f t="shared" si="6"/>
        <v>1.2005322428053906E-3</v>
      </c>
      <c r="I40" s="187">
        <f t="shared" si="7"/>
        <v>0.98973337944083672</v>
      </c>
      <c r="J40" s="9">
        <f t="shared" si="4"/>
        <v>26055.499499999998</v>
      </c>
    </row>
    <row r="41" spans="2:10" ht="22.5" x14ac:dyDescent="0.25">
      <c r="B41" s="246" t="s">
        <v>663</v>
      </c>
      <c r="C41" s="245">
        <v>50</v>
      </c>
      <c r="D41" s="245" t="s">
        <v>630</v>
      </c>
      <c r="E41" s="247">
        <v>250</v>
      </c>
      <c r="F41" s="247"/>
      <c r="G41" s="248">
        <f t="shared" si="5"/>
        <v>12500</v>
      </c>
      <c r="H41" s="187">
        <f t="shared" si="6"/>
        <v>1.0349415886253368E-3</v>
      </c>
      <c r="I41" s="187">
        <f t="shared" si="7"/>
        <v>0.99076832102946211</v>
      </c>
      <c r="J41" s="9">
        <f t="shared" si="4"/>
        <v>22461.637499999997</v>
      </c>
    </row>
    <row r="42" spans="2:10" x14ac:dyDescent="0.25">
      <c r="B42" s="246" t="s">
        <v>664</v>
      </c>
      <c r="C42" s="245">
        <v>100</v>
      </c>
      <c r="D42" s="245" t="s">
        <v>630</v>
      </c>
      <c r="E42" s="247">
        <v>120</v>
      </c>
      <c r="F42" s="247"/>
      <c r="G42" s="248">
        <f t="shared" si="5"/>
        <v>12000</v>
      </c>
      <c r="H42" s="187">
        <f t="shared" si="6"/>
        <v>9.9354392508032327E-4</v>
      </c>
      <c r="I42" s="187">
        <f t="shared" si="7"/>
        <v>0.99176186495454244</v>
      </c>
      <c r="J42" s="9">
        <f t="shared" si="4"/>
        <v>21563.171999999999</v>
      </c>
    </row>
    <row r="43" spans="2:10" x14ac:dyDescent="0.25">
      <c r="B43" s="246" t="s">
        <v>665</v>
      </c>
      <c r="C43" s="245">
        <v>100</v>
      </c>
      <c r="D43" s="245" t="s">
        <v>630</v>
      </c>
      <c r="E43" s="247">
        <v>120</v>
      </c>
      <c r="F43" s="247"/>
      <c r="G43" s="248">
        <f t="shared" si="5"/>
        <v>12000</v>
      </c>
      <c r="H43" s="187">
        <f t="shared" si="6"/>
        <v>9.9354392508032327E-4</v>
      </c>
      <c r="I43" s="187">
        <f t="shared" si="7"/>
        <v>0.99275540887962277</v>
      </c>
      <c r="J43" s="9">
        <f t="shared" si="4"/>
        <v>21563.171999999999</v>
      </c>
    </row>
    <row r="44" spans="2:10" x14ac:dyDescent="0.25">
      <c r="B44" s="246" t="s">
        <v>666</v>
      </c>
      <c r="C44" s="245">
        <v>100</v>
      </c>
      <c r="D44" s="245" t="s">
        <v>630</v>
      </c>
      <c r="E44" s="247">
        <v>105</v>
      </c>
      <c r="F44" s="247"/>
      <c r="G44" s="248">
        <f t="shared" si="5"/>
        <v>10500</v>
      </c>
      <c r="H44" s="187">
        <f t="shared" si="6"/>
        <v>8.6935093444528294E-4</v>
      </c>
      <c r="I44" s="187">
        <f t="shared" si="7"/>
        <v>0.99362475981406806</v>
      </c>
      <c r="J44" s="9">
        <f t="shared" si="4"/>
        <v>18867.7755</v>
      </c>
    </row>
    <row r="45" spans="2:10" x14ac:dyDescent="0.25">
      <c r="B45" s="246" t="s">
        <v>667</v>
      </c>
      <c r="C45" s="245">
        <v>100</v>
      </c>
      <c r="D45" s="245" t="s">
        <v>630</v>
      </c>
      <c r="E45" s="247">
        <v>100</v>
      </c>
      <c r="F45" s="247"/>
      <c r="G45" s="248">
        <f t="shared" si="5"/>
        <v>10000</v>
      </c>
      <c r="H45" s="187">
        <f t="shared" si="6"/>
        <v>8.2795327090026943E-4</v>
      </c>
      <c r="I45" s="187">
        <f t="shared" si="7"/>
        <v>0.9944527130849683</v>
      </c>
      <c r="J45" s="9">
        <f t="shared" si="4"/>
        <v>17969.309999999998</v>
      </c>
    </row>
    <row r="46" spans="2:10" x14ac:dyDescent="0.25">
      <c r="B46" s="246" t="s">
        <v>668</v>
      </c>
      <c r="C46" s="245">
        <v>50</v>
      </c>
      <c r="D46" s="245" t="s">
        <v>630</v>
      </c>
      <c r="E46" s="247">
        <v>180</v>
      </c>
      <c r="F46" s="247"/>
      <c r="G46" s="248">
        <f t="shared" si="5"/>
        <v>9000</v>
      </c>
      <c r="H46" s="187">
        <f t="shared" si="6"/>
        <v>7.4515794381024251E-4</v>
      </c>
      <c r="I46" s="187">
        <f t="shared" si="7"/>
        <v>0.99519787102877855</v>
      </c>
      <c r="J46" s="9">
        <f t="shared" si="4"/>
        <v>16172.378999999999</v>
      </c>
    </row>
    <row r="47" spans="2:10" x14ac:dyDescent="0.25">
      <c r="B47" s="246" t="s">
        <v>669</v>
      </c>
      <c r="C47" s="245">
        <v>50</v>
      </c>
      <c r="D47" s="245" t="s">
        <v>630</v>
      </c>
      <c r="E47" s="247">
        <v>180</v>
      </c>
      <c r="F47" s="247"/>
      <c r="G47" s="248">
        <f t="shared" si="5"/>
        <v>9000</v>
      </c>
      <c r="H47" s="187">
        <f t="shared" si="6"/>
        <v>7.4515794381024251E-4</v>
      </c>
      <c r="I47" s="187">
        <f t="shared" si="7"/>
        <v>0.9959430289725888</v>
      </c>
      <c r="J47" s="9">
        <f t="shared" si="4"/>
        <v>16172.378999999999</v>
      </c>
    </row>
    <row r="48" spans="2:10" x14ac:dyDescent="0.25">
      <c r="B48" s="246" t="s">
        <v>670</v>
      </c>
      <c r="C48" s="245">
        <v>50</v>
      </c>
      <c r="D48" s="245" t="s">
        <v>630</v>
      </c>
      <c r="E48" s="247">
        <v>180</v>
      </c>
      <c r="F48" s="247"/>
      <c r="G48" s="248">
        <f t="shared" si="5"/>
        <v>9000</v>
      </c>
      <c r="H48" s="187">
        <f t="shared" si="6"/>
        <v>7.4515794381024251E-4</v>
      </c>
      <c r="I48" s="187">
        <f t="shared" si="7"/>
        <v>0.99668818691639904</v>
      </c>
      <c r="J48" s="9">
        <f t="shared" si="4"/>
        <v>16172.378999999999</v>
      </c>
    </row>
    <row r="49" spans="2:10" ht="22.5" x14ac:dyDescent="0.25">
      <c r="B49" s="246" t="s">
        <v>671</v>
      </c>
      <c r="C49" s="245">
        <v>50</v>
      </c>
      <c r="D49" s="245" t="s">
        <v>630</v>
      </c>
      <c r="E49" s="247">
        <v>160</v>
      </c>
      <c r="F49" s="247"/>
      <c r="G49" s="248">
        <f t="shared" si="5"/>
        <v>8000</v>
      </c>
      <c r="H49" s="187">
        <f t="shared" si="6"/>
        <v>6.6236261672021558E-4</v>
      </c>
      <c r="I49" s="187">
        <f t="shared" si="7"/>
        <v>0.9973505495331193</v>
      </c>
      <c r="J49" s="9">
        <f t="shared" si="4"/>
        <v>14375.447999999999</v>
      </c>
    </row>
    <row r="50" spans="2:10" x14ac:dyDescent="0.25">
      <c r="B50" s="246" t="s">
        <v>672</v>
      </c>
      <c r="C50" s="245">
        <v>50</v>
      </c>
      <c r="D50" s="245" t="s">
        <v>630</v>
      </c>
      <c r="E50" s="247">
        <v>130</v>
      </c>
      <c r="F50" s="247"/>
      <c r="G50" s="248">
        <f t="shared" si="5"/>
        <v>6500</v>
      </c>
      <c r="H50" s="187">
        <f t="shared" si="6"/>
        <v>5.3816962608517515E-4</v>
      </c>
      <c r="I50" s="187">
        <f t="shared" si="7"/>
        <v>0.99788871915920452</v>
      </c>
      <c r="J50" s="9">
        <f t="shared" si="4"/>
        <v>11680.0515</v>
      </c>
    </row>
    <row r="51" spans="2:10" ht="22.5" x14ac:dyDescent="0.25">
      <c r="B51" s="246" t="s">
        <v>673</v>
      </c>
      <c r="C51" s="245">
        <v>50</v>
      </c>
      <c r="D51" s="245" t="s">
        <v>630</v>
      </c>
      <c r="E51" s="247">
        <v>130</v>
      </c>
      <c r="F51" s="247"/>
      <c r="G51" s="248">
        <f t="shared" si="5"/>
        <v>6500</v>
      </c>
      <c r="H51" s="187">
        <f t="shared" si="6"/>
        <v>5.3816962608517515E-4</v>
      </c>
      <c r="I51" s="187">
        <f t="shared" si="7"/>
        <v>0.99842688878528973</v>
      </c>
      <c r="J51" s="9">
        <f t="shared" si="4"/>
        <v>11680.0515</v>
      </c>
    </row>
    <row r="52" spans="2:10" ht="22.5" x14ac:dyDescent="0.25">
      <c r="B52" s="246" t="s">
        <v>674</v>
      </c>
      <c r="C52" s="245">
        <v>50</v>
      </c>
      <c r="D52" s="245" t="s">
        <v>630</v>
      </c>
      <c r="E52" s="247">
        <v>120</v>
      </c>
      <c r="F52" s="247"/>
      <c r="G52" s="248">
        <f t="shared" si="5"/>
        <v>6000</v>
      </c>
      <c r="H52" s="187">
        <f t="shared" si="6"/>
        <v>4.9677196254016163E-4</v>
      </c>
      <c r="I52" s="187">
        <f t="shared" si="7"/>
        <v>0.9989236607478299</v>
      </c>
      <c r="J52" s="9">
        <f t="shared" si="4"/>
        <v>10781.585999999999</v>
      </c>
    </row>
    <row r="53" spans="2:10" ht="22.5" x14ac:dyDescent="0.25">
      <c r="B53" s="246" t="s">
        <v>675</v>
      </c>
      <c r="C53" s="245">
        <v>50</v>
      </c>
      <c r="D53" s="245" t="s">
        <v>630</v>
      </c>
      <c r="E53" s="247">
        <v>100</v>
      </c>
      <c r="F53" s="247"/>
      <c r="G53" s="248">
        <f t="shared" si="5"/>
        <v>5000</v>
      </c>
      <c r="H53" s="187">
        <f t="shared" si="6"/>
        <v>4.1397663545013471E-4</v>
      </c>
      <c r="I53" s="187">
        <f t="shared" si="7"/>
        <v>0.99933763738328008</v>
      </c>
      <c r="J53" s="9">
        <f t="shared" si="4"/>
        <v>8984.6549999999988</v>
      </c>
    </row>
    <row r="54" spans="2:10" x14ac:dyDescent="0.25">
      <c r="B54" s="246" t="s">
        <v>676</v>
      </c>
      <c r="C54" s="245">
        <v>50</v>
      </c>
      <c r="D54" s="245" t="s">
        <v>630</v>
      </c>
      <c r="E54" s="247">
        <v>80</v>
      </c>
      <c r="F54" s="247"/>
      <c r="G54" s="248">
        <f t="shared" si="5"/>
        <v>4000</v>
      </c>
      <c r="H54" s="187">
        <f t="shared" si="6"/>
        <v>3.3118130836010779E-4</v>
      </c>
      <c r="I54" s="187">
        <f t="shared" si="7"/>
        <v>0.99966881869164015</v>
      </c>
      <c r="J54" s="9">
        <f t="shared" si="4"/>
        <v>7187.7239999999993</v>
      </c>
    </row>
    <row r="55" spans="2:10" x14ac:dyDescent="0.25">
      <c r="B55" s="246" t="s">
        <v>677</v>
      </c>
      <c r="C55" s="245">
        <v>100</v>
      </c>
      <c r="D55" s="245" t="s">
        <v>630</v>
      </c>
      <c r="E55" s="247">
        <v>20</v>
      </c>
      <c r="F55" s="247"/>
      <c r="G55" s="248">
        <f t="shared" si="5"/>
        <v>2000</v>
      </c>
      <c r="H55" s="187">
        <f t="shared" si="6"/>
        <v>1.655906541800539E-4</v>
      </c>
      <c r="I55" s="187">
        <f t="shared" si="7"/>
        <v>0.99983440934582024</v>
      </c>
      <c r="J55" s="9">
        <f t="shared" si="4"/>
        <v>3593.8619999999996</v>
      </c>
    </row>
    <row r="56" spans="2:10" x14ac:dyDescent="0.25">
      <c r="B56" s="246" t="s">
        <v>678</v>
      </c>
      <c r="C56" s="245">
        <v>100</v>
      </c>
      <c r="D56" s="245" t="s">
        <v>630</v>
      </c>
      <c r="E56" s="247">
        <v>20</v>
      </c>
      <c r="F56" s="247"/>
      <c r="G56" s="248">
        <f t="shared" si="5"/>
        <v>2000</v>
      </c>
      <c r="H56" s="187">
        <f t="shared" si="6"/>
        <v>1.655906541800539E-4</v>
      </c>
      <c r="I56" s="187">
        <f t="shared" si="7"/>
        <v>1.0000000000000002</v>
      </c>
      <c r="J56" s="9">
        <f t="shared" si="4"/>
        <v>3593.8619999999996</v>
      </c>
    </row>
    <row r="57" spans="2:10" ht="15.75" customHeight="1" x14ac:dyDescent="0.25">
      <c r="B57" s="1007" t="s">
        <v>192</v>
      </c>
      <c r="C57" s="1008"/>
      <c r="D57" s="1008"/>
      <c r="E57" s="1008"/>
      <c r="F57" s="1009"/>
      <c r="G57" s="120">
        <f>SUM(G6:G56)</f>
        <v>12077976.32</v>
      </c>
      <c r="H57" s="187">
        <f>SUM(H6:H56)</f>
        <v>1.0000000000000002</v>
      </c>
      <c r="I57" s="6"/>
      <c r="J57" s="885">
        <f>SUM(J6:J56)</f>
        <v>12725084.291999999</v>
      </c>
    </row>
    <row r="58" spans="2:10" x14ac:dyDescent="0.25">
      <c r="B58" s="317" t="s">
        <v>1516</v>
      </c>
      <c r="C58" s="309">
        <f>'custos unitários para atualizar'!$B$4</f>
        <v>0.79693099999999994</v>
      </c>
    </row>
    <row r="59" spans="2:10" x14ac:dyDescent="0.25">
      <c r="B59" s="317" t="s">
        <v>1517</v>
      </c>
      <c r="G59" s="244"/>
    </row>
    <row r="60" spans="2:10" x14ac:dyDescent="0.25">
      <c r="G60" s="4"/>
    </row>
  </sheetData>
  <mergeCells count="1">
    <mergeCell ref="B57:F57"/>
  </mergeCells>
  <pageMargins left="0.511811024" right="0.511811024" top="0.78740157499999996" bottom="0.78740157499999996" header="0.31496062000000002" footer="0.31496062000000002"/>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163"/>
  <sheetViews>
    <sheetView showGridLines="0" workbookViewId="0"/>
  </sheetViews>
  <sheetFormatPr defaultColWidth="12.42578125" defaultRowHeight="15" x14ac:dyDescent="0.25"/>
  <cols>
    <col min="2" max="2" width="6.140625" customWidth="1"/>
    <col min="3" max="3" width="40.28515625" style="42" customWidth="1"/>
    <col min="4" max="4" width="18" customWidth="1"/>
    <col min="5" max="5" width="13.85546875" customWidth="1"/>
    <col min="6" max="6" width="11.85546875" customWidth="1"/>
    <col min="7" max="7" width="13.42578125" customWidth="1"/>
    <col min="8" max="8" width="17.140625" customWidth="1"/>
    <col min="9" max="9" width="12.7109375" customWidth="1"/>
  </cols>
  <sheetData>
    <row r="1" spans="2:7" x14ac:dyDescent="0.25">
      <c r="B1" s="15" t="s">
        <v>679</v>
      </c>
      <c r="D1" s="14" t="s">
        <v>205</v>
      </c>
    </row>
    <row r="2" spans="2:7" x14ac:dyDescent="0.25">
      <c r="C2" s="845" t="s">
        <v>680</v>
      </c>
      <c r="D2" s="846">
        <f>G58+G109</f>
        <v>688890</v>
      </c>
    </row>
    <row r="3" spans="2:7" x14ac:dyDescent="0.25">
      <c r="C3" s="845" t="s">
        <v>681</v>
      </c>
      <c r="D3" s="846">
        <f>F116+F142</f>
        <v>4360</v>
      </c>
      <c r="G3" s="83"/>
    </row>
    <row r="4" spans="2:7" x14ac:dyDescent="0.25">
      <c r="C4" s="82" t="s">
        <v>682</v>
      </c>
      <c r="D4" s="81">
        <f>D2+D3</f>
        <v>693250</v>
      </c>
    </row>
    <row r="5" spans="2:7" x14ac:dyDescent="0.25">
      <c r="C5" s="82" t="s">
        <v>340</v>
      </c>
      <c r="D5" s="309">
        <f>'custos unitários para atualizar'!$B$4</f>
        <v>0.79693099999999994</v>
      </c>
    </row>
    <row r="6" spans="2:7" x14ac:dyDescent="0.25">
      <c r="C6" s="82" t="s">
        <v>342</v>
      </c>
      <c r="D6" s="81">
        <f>D4*(1+D5)</f>
        <v>1245722.4157499999</v>
      </c>
    </row>
    <row r="7" spans="2:7" x14ac:dyDescent="0.25">
      <c r="C7" s="80" t="s">
        <v>683</v>
      </c>
      <c r="D7" s="79">
        <f>F133+F160</f>
        <v>156908</v>
      </c>
      <c r="E7" s="18"/>
    </row>
    <row r="8" spans="2:7" x14ac:dyDescent="0.25">
      <c r="C8" s="78" t="s">
        <v>684</v>
      </c>
      <c r="D8" s="77">
        <f>I133+I160</f>
        <v>24551.599999999999</v>
      </c>
    </row>
    <row r="9" spans="2:7" ht="15.75" thickBot="1" x14ac:dyDescent="0.3"/>
    <row r="10" spans="2:7" ht="13.5" customHeight="1" thickBot="1" x14ac:dyDescent="0.3">
      <c r="B10" s="1017" t="s">
        <v>685</v>
      </c>
      <c r="C10" s="1018"/>
      <c r="D10" s="1018"/>
      <c r="E10" s="1018"/>
      <c r="F10" s="1018"/>
      <c r="G10" s="1019"/>
    </row>
    <row r="11" spans="2:7" x14ac:dyDescent="0.25">
      <c r="B11" s="1020" t="s">
        <v>686</v>
      </c>
      <c r="C11" s="1022" t="s">
        <v>687</v>
      </c>
      <c r="D11" s="1013" t="s">
        <v>624</v>
      </c>
      <c r="E11" s="1013" t="s">
        <v>623</v>
      </c>
      <c r="F11" s="72" t="s">
        <v>588</v>
      </c>
      <c r="G11" s="72" t="s">
        <v>588</v>
      </c>
    </row>
    <row r="12" spans="2:7" ht="15.75" thickBot="1" x14ac:dyDescent="0.3">
      <c r="B12" s="1021"/>
      <c r="C12" s="1023"/>
      <c r="D12" s="1014"/>
      <c r="E12" s="1014"/>
      <c r="F12" s="63" t="s">
        <v>688</v>
      </c>
      <c r="G12" s="63" t="s">
        <v>689</v>
      </c>
    </row>
    <row r="13" spans="2:7" ht="15.75" thickBot="1" x14ac:dyDescent="0.3">
      <c r="B13" s="65">
        <v>1</v>
      </c>
      <c r="C13" s="64" t="s">
        <v>690</v>
      </c>
      <c r="D13" s="63" t="s">
        <v>691</v>
      </c>
      <c r="E13" s="63">
        <v>300</v>
      </c>
      <c r="F13" s="75">
        <v>2.8</v>
      </c>
      <c r="G13" s="52">
        <f t="shared" ref="G13:G57" si="0">E13*F13</f>
        <v>840</v>
      </c>
    </row>
    <row r="14" spans="2:7" ht="15.75" thickBot="1" x14ac:dyDescent="0.3">
      <c r="B14" s="65">
        <v>2</v>
      </c>
      <c r="C14" s="64" t="s">
        <v>692</v>
      </c>
      <c r="D14" s="63" t="s">
        <v>693</v>
      </c>
      <c r="E14" s="63">
        <v>90</v>
      </c>
      <c r="F14" s="75">
        <v>10</v>
      </c>
      <c r="G14" s="52">
        <f t="shared" si="0"/>
        <v>900</v>
      </c>
    </row>
    <row r="15" spans="2:7" ht="15.75" thickBot="1" x14ac:dyDescent="0.3">
      <c r="B15" s="65">
        <v>3</v>
      </c>
      <c r="C15" s="64" t="s">
        <v>694</v>
      </c>
      <c r="D15" s="63" t="s">
        <v>695</v>
      </c>
      <c r="E15" s="63">
        <v>200</v>
      </c>
      <c r="F15" s="75">
        <v>4.25</v>
      </c>
      <c r="G15" s="52">
        <f t="shared" si="0"/>
        <v>850</v>
      </c>
    </row>
    <row r="16" spans="2:7" ht="15.75" thickBot="1" x14ac:dyDescent="0.3">
      <c r="B16" s="65">
        <v>4</v>
      </c>
      <c r="C16" s="64" t="s">
        <v>696</v>
      </c>
      <c r="D16" s="63" t="s">
        <v>325</v>
      </c>
      <c r="E16" s="63">
        <v>200</v>
      </c>
      <c r="F16" s="75">
        <v>1.8</v>
      </c>
      <c r="G16" s="52">
        <f t="shared" si="0"/>
        <v>360</v>
      </c>
    </row>
    <row r="17" spans="2:8" ht="15.75" thickBot="1" x14ac:dyDescent="0.3">
      <c r="B17" s="65">
        <v>5</v>
      </c>
      <c r="C17" s="64" t="s">
        <v>697</v>
      </c>
      <c r="D17" s="63" t="s">
        <v>325</v>
      </c>
      <c r="E17" s="63">
        <v>110</v>
      </c>
      <c r="F17" s="75">
        <v>98</v>
      </c>
      <c r="G17" s="52">
        <f t="shared" si="0"/>
        <v>10780</v>
      </c>
    </row>
    <row r="18" spans="2:8" ht="15.75" thickBot="1" x14ac:dyDescent="0.3">
      <c r="B18" s="65">
        <v>6</v>
      </c>
      <c r="C18" s="64" t="s">
        <v>698</v>
      </c>
      <c r="D18" s="63" t="s">
        <v>325</v>
      </c>
      <c r="E18" s="63">
        <v>110</v>
      </c>
      <c r="F18" s="75">
        <v>120</v>
      </c>
      <c r="G18" s="52">
        <f t="shared" si="0"/>
        <v>13200</v>
      </c>
    </row>
    <row r="19" spans="2:8" ht="15.75" thickBot="1" x14ac:dyDescent="0.3">
      <c r="B19" s="65">
        <v>7</v>
      </c>
      <c r="C19" s="64" t="s">
        <v>699</v>
      </c>
      <c r="D19" s="63" t="s">
        <v>325</v>
      </c>
      <c r="E19" s="63">
        <v>200</v>
      </c>
      <c r="F19" s="75">
        <v>1.9</v>
      </c>
      <c r="G19" s="52">
        <f t="shared" si="0"/>
        <v>380</v>
      </c>
    </row>
    <row r="20" spans="2:8" ht="15.75" thickBot="1" x14ac:dyDescent="0.3">
      <c r="B20" s="65">
        <v>8</v>
      </c>
      <c r="C20" s="64" t="s">
        <v>700</v>
      </c>
      <c r="D20" s="63" t="s">
        <v>701</v>
      </c>
      <c r="E20" s="63">
        <v>50</v>
      </c>
      <c r="F20" s="75">
        <v>4</v>
      </c>
      <c r="G20" s="52">
        <f t="shared" si="0"/>
        <v>200</v>
      </c>
    </row>
    <row r="21" spans="2:8" ht="15.75" thickBot="1" x14ac:dyDescent="0.3">
      <c r="B21" s="65">
        <v>9</v>
      </c>
      <c r="C21" s="64" t="s">
        <v>702</v>
      </c>
      <c r="D21" s="63" t="s">
        <v>701</v>
      </c>
      <c r="E21" s="63">
        <v>50</v>
      </c>
      <c r="F21" s="75">
        <v>9</v>
      </c>
      <c r="G21" s="52">
        <f t="shared" si="0"/>
        <v>450</v>
      </c>
    </row>
    <row r="22" spans="2:8" ht="15.75" thickBot="1" x14ac:dyDescent="0.3">
      <c r="B22" s="65">
        <v>10</v>
      </c>
      <c r="C22" s="64" t="s">
        <v>703</v>
      </c>
      <c r="D22" s="63" t="s">
        <v>325</v>
      </c>
      <c r="E22" s="63">
        <v>50</v>
      </c>
      <c r="F22" s="75">
        <v>1.9</v>
      </c>
      <c r="G22" s="52">
        <f t="shared" si="0"/>
        <v>95</v>
      </c>
    </row>
    <row r="23" spans="2:8" ht="15.75" thickBot="1" x14ac:dyDescent="0.3">
      <c r="B23" s="65">
        <v>11</v>
      </c>
      <c r="C23" s="64" t="s">
        <v>704</v>
      </c>
      <c r="D23" s="63" t="s">
        <v>705</v>
      </c>
      <c r="E23" s="63">
        <v>540</v>
      </c>
      <c r="F23" s="75">
        <v>12</v>
      </c>
      <c r="G23" s="52">
        <f t="shared" si="0"/>
        <v>6480</v>
      </c>
    </row>
    <row r="24" spans="2:8" ht="15.75" thickBot="1" x14ac:dyDescent="0.3">
      <c r="B24" s="65">
        <v>12</v>
      </c>
      <c r="C24" s="64" t="s">
        <v>706</v>
      </c>
      <c r="D24" s="63" t="s">
        <v>705</v>
      </c>
      <c r="E24" s="63">
        <v>540</v>
      </c>
      <c r="F24" s="75">
        <v>8</v>
      </c>
      <c r="G24" s="52">
        <f t="shared" si="0"/>
        <v>4320</v>
      </c>
    </row>
    <row r="25" spans="2:8" ht="15.75" thickBot="1" x14ac:dyDescent="0.3">
      <c r="B25" s="65">
        <v>13</v>
      </c>
      <c r="C25" s="64" t="s">
        <v>707</v>
      </c>
      <c r="D25" s="63" t="s">
        <v>708</v>
      </c>
      <c r="E25" s="63">
        <v>50</v>
      </c>
      <c r="F25" s="75">
        <v>7</v>
      </c>
      <c r="G25" s="52">
        <f t="shared" si="0"/>
        <v>350</v>
      </c>
    </row>
    <row r="26" spans="2:8" ht="15.75" thickBot="1" x14ac:dyDescent="0.3">
      <c r="B26" s="65">
        <v>14</v>
      </c>
      <c r="C26" s="64" t="s">
        <v>709</v>
      </c>
      <c r="D26" s="63" t="s">
        <v>710</v>
      </c>
      <c r="E26" s="63">
        <v>400</v>
      </c>
      <c r="F26" s="75">
        <v>5</v>
      </c>
      <c r="G26" s="52">
        <f t="shared" si="0"/>
        <v>2000</v>
      </c>
    </row>
    <row r="27" spans="2:8" ht="15.75" thickBot="1" x14ac:dyDescent="0.3">
      <c r="B27" s="65">
        <v>15</v>
      </c>
      <c r="C27" s="64" t="s">
        <v>711</v>
      </c>
      <c r="D27" s="63" t="s">
        <v>710</v>
      </c>
      <c r="E27" s="63">
        <v>200</v>
      </c>
      <c r="F27" s="75">
        <v>7</v>
      </c>
      <c r="G27" s="52">
        <f t="shared" si="0"/>
        <v>1400</v>
      </c>
    </row>
    <row r="28" spans="2:8" ht="15.75" thickBot="1" x14ac:dyDescent="0.3">
      <c r="B28" s="65">
        <v>16</v>
      </c>
      <c r="C28" s="64" t="s">
        <v>712</v>
      </c>
      <c r="D28" s="63" t="s">
        <v>325</v>
      </c>
      <c r="E28" s="63">
        <v>400</v>
      </c>
      <c r="F28" s="75">
        <v>2.5</v>
      </c>
      <c r="G28" s="52">
        <f t="shared" si="0"/>
        <v>1000</v>
      </c>
    </row>
    <row r="29" spans="2:8" ht="15.75" thickBot="1" x14ac:dyDescent="0.3">
      <c r="B29" s="65">
        <v>17</v>
      </c>
      <c r="C29" s="64" t="s">
        <v>713</v>
      </c>
      <c r="D29" s="63" t="s">
        <v>714</v>
      </c>
      <c r="E29" s="63">
        <v>500</v>
      </c>
      <c r="F29" s="75">
        <v>60</v>
      </c>
      <c r="G29" s="52">
        <f t="shared" si="0"/>
        <v>30000</v>
      </c>
    </row>
    <row r="30" spans="2:8" ht="15.75" thickBot="1" x14ac:dyDescent="0.3">
      <c r="B30" s="65">
        <v>18</v>
      </c>
      <c r="C30" s="64" t="s">
        <v>715</v>
      </c>
      <c r="D30" s="63" t="s">
        <v>714</v>
      </c>
      <c r="E30" s="63">
        <v>500</v>
      </c>
      <c r="F30" s="75">
        <v>40</v>
      </c>
      <c r="G30" s="52">
        <f t="shared" si="0"/>
        <v>20000</v>
      </c>
    </row>
    <row r="31" spans="2:8" ht="15.75" thickBot="1" x14ac:dyDescent="0.3">
      <c r="B31" s="65">
        <v>19</v>
      </c>
      <c r="C31" s="64" t="s">
        <v>716</v>
      </c>
      <c r="D31" s="63" t="s">
        <v>714</v>
      </c>
      <c r="E31" s="63">
        <v>500</v>
      </c>
      <c r="F31" s="75">
        <v>30</v>
      </c>
      <c r="G31" s="52">
        <f t="shared" si="0"/>
        <v>15000</v>
      </c>
    </row>
    <row r="32" spans="2:8" ht="15.75" thickBot="1" x14ac:dyDescent="0.3">
      <c r="B32" s="65">
        <v>20</v>
      </c>
      <c r="C32" s="64" t="s">
        <v>717</v>
      </c>
      <c r="D32" s="63" t="s">
        <v>325</v>
      </c>
      <c r="E32" s="63">
        <v>40</v>
      </c>
      <c r="F32" s="75">
        <v>40</v>
      </c>
      <c r="G32" s="52">
        <f t="shared" si="0"/>
        <v>1600</v>
      </c>
      <c r="H32" s="18"/>
    </row>
    <row r="33" spans="2:8" ht="15.75" thickBot="1" x14ac:dyDescent="0.3">
      <c r="B33" s="65">
        <v>21</v>
      </c>
      <c r="C33" s="64" t="s">
        <v>718</v>
      </c>
      <c r="D33" s="63" t="s">
        <v>325</v>
      </c>
      <c r="E33" s="63">
        <v>40</v>
      </c>
      <c r="F33" s="75">
        <v>25</v>
      </c>
      <c r="G33" s="52">
        <f t="shared" si="0"/>
        <v>1000</v>
      </c>
      <c r="H33" s="18"/>
    </row>
    <row r="34" spans="2:8" ht="15.75" thickBot="1" x14ac:dyDescent="0.3">
      <c r="B34" s="65">
        <v>22</v>
      </c>
      <c r="C34" s="64" t="s">
        <v>719</v>
      </c>
      <c r="D34" s="63" t="s">
        <v>325</v>
      </c>
      <c r="E34" s="63">
        <v>180</v>
      </c>
      <c r="F34" s="75">
        <v>2.5</v>
      </c>
      <c r="G34" s="52">
        <f t="shared" si="0"/>
        <v>450</v>
      </c>
    </row>
    <row r="35" spans="2:8" ht="15.75" thickBot="1" x14ac:dyDescent="0.3">
      <c r="B35" s="65">
        <v>23</v>
      </c>
      <c r="C35" s="64" t="s">
        <v>720</v>
      </c>
      <c r="D35" s="63" t="s">
        <v>325</v>
      </c>
      <c r="E35" s="63">
        <v>50</v>
      </c>
      <c r="F35" s="75">
        <v>1.8</v>
      </c>
      <c r="G35" s="52">
        <f t="shared" si="0"/>
        <v>90</v>
      </c>
      <c r="H35" s="18"/>
    </row>
    <row r="36" spans="2:8" ht="15.75" thickBot="1" x14ac:dyDescent="0.3">
      <c r="B36" s="65">
        <v>24</v>
      </c>
      <c r="C36" s="64" t="s">
        <v>721</v>
      </c>
      <c r="D36" s="63" t="s">
        <v>325</v>
      </c>
      <c r="E36" s="63">
        <v>50</v>
      </c>
      <c r="F36" s="75">
        <v>6.5</v>
      </c>
      <c r="G36" s="52">
        <f t="shared" si="0"/>
        <v>325</v>
      </c>
    </row>
    <row r="37" spans="2:8" ht="15.75" thickBot="1" x14ac:dyDescent="0.3">
      <c r="B37" s="65">
        <v>25</v>
      </c>
      <c r="C37" s="64" t="s">
        <v>722</v>
      </c>
      <c r="D37" s="63" t="s">
        <v>723</v>
      </c>
      <c r="E37" s="63">
        <v>50</v>
      </c>
      <c r="F37" s="75">
        <v>22</v>
      </c>
      <c r="G37" s="52">
        <f t="shared" si="0"/>
        <v>1100</v>
      </c>
    </row>
    <row r="38" spans="2:8" ht="15.75" thickBot="1" x14ac:dyDescent="0.3">
      <c r="B38" s="65">
        <v>26</v>
      </c>
      <c r="C38" s="64" t="s">
        <v>724</v>
      </c>
      <c r="D38" s="63" t="s">
        <v>325</v>
      </c>
      <c r="E38" s="63">
        <v>50</v>
      </c>
      <c r="F38" s="75">
        <v>12</v>
      </c>
      <c r="G38" s="52">
        <f t="shared" si="0"/>
        <v>600</v>
      </c>
    </row>
    <row r="39" spans="2:8" ht="15.75" thickBot="1" x14ac:dyDescent="0.3">
      <c r="B39" s="65">
        <v>27</v>
      </c>
      <c r="C39" s="64" t="s">
        <v>725</v>
      </c>
      <c r="D39" s="63" t="s">
        <v>325</v>
      </c>
      <c r="E39" s="63">
        <v>50</v>
      </c>
      <c r="F39" s="75">
        <v>3</v>
      </c>
      <c r="G39" s="52">
        <f t="shared" si="0"/>
        <v>150</v>
      </c>
    </row>
    <row r="40" spans="2:8" ht="15.75" thickBot="1" x14ac:dyDescent="0.3">
      <c r="B40" s="65">
        <v>28</v>
      </c>
      <c r="C40" s="64" t="s">
        <v>726</v>
      </c>
      <c r="D40" s="63" t="s">
        <v>727</v>
      </c>
      <c r="E40" s="63">
        <v>50</v>
      </c>
      <c r="F40" s="75">
        <v>8</v>
      </c>
      <c r="G40" s="52">
        <f t="shared" si="0"/>
        <v>400</v>
      </c>
    </row>
    <row r="41" spans="2:8" ht="15.75" thickBot="1" x14ac:dyDescent="0.3">
      <c r="B41" s="65">
        <v>29</v>
      </c>
      <c r="C41" s="64" t="s">
        <v>728</v>
      </c>
      <c r="D41" s="63" t="s">
        <v>701</v>
      </c>
      <c r="E41" s="63">
        <v>100</v>
      </c>
      <c r="F41" s="75">
        <v>60</v>
      </c>
      <c r="G41" s="52">
        <f t="shared" si="0"/>
        <v>6000</v>
      </c>
    </row>
    <row r="42" spans="2:8" ht="15.75" thickBot="1" x14ac:dyDescent="0.3">
      <c r="B42" s="65">
        <v>30</v>
      </c>
      <c r="C42" s="64" t="s">
        <v>729</v>
      </c>
      <c r="D42" s="63" t="s">
        <v>325</v>
      </c>
      <c r="E42" s="63">
        <v>10</v>
      </c>
      <c r="F42" s="75">
        <v>13</v>
      </c>
      <c r="G42" s="52">
        <f t="shared" si="0"/>
        <v>130</v>
      </c>
    </row>
    <row r="43" spans="2:8" ht="15.75" thickBot="1" x14ac:dyDescent="0.3">
      <c r="B43" s="65">
        <v>31</v>
      </c>
      <c r="C43" s="64" t="s">
        <v>730</v>
      </c>
      <c r="D43" s="63" t="s">
        <v>731</v>
      </c>
      <c r="E43" s="63">
        <v>100</v>
      </c>
      <c r="F43" s="75">
        <v>14</v>
      </c>
      <c r="G43" s="52">
        <f t="shared" si="0"/>
        <v>1400</v>
      </c>
    </row>
    <row r="44" spans="2:8" ht="15.75" thickBot="1" x14ac:dyDescent="0.3">
      <c r="B44" s="65">
        <v>32</v>
      </c>
      <c r="C44" s="64" t="s">
        <v>732</v>
      </c>
      <c r="D44" s="63" t="s">
        <v>325</v>
      </c>
      <c r="E44" s="63">
        <v>100</v>
      </c>
      <c r="F44" s="75">
        <v>4</v>
      </c>
      <c r="G44" s="52">
        <f t="shared" si="0"/>
        <v>400</v>
      </c>
    </row>
    <row r="45" spans="2:8" ht="15.75" thickBot="1" x14ac:dyDescent="0.3">
      <c r="B45" s="65">
        <v>33</v>
      </c>
      <c r="C45" s="64" t="s">
        <v>733</v>
      </c>
      <c r="D45" s="63" t="s">
        <v>723</v>
      </c>
      <c r="E45" s="63">
        <v>100</v>
      </c>
      <c r="F45" s="75">
        <v>5</v>
      </c>
      <c r="G45" s="52">
        <f t="shared" si="0"/>
        <v>500</v>
      </c>
    </row>
    <row r="46" spans="2:8" ht="15.75" thickBot="1" x14ac:dyDescent="0.3">
      <c r="B46" s="65">
        <v>34</v>
      </c>
      <c r="C46" s="64" t="s">
        <v>734</v>
      </c>
      <c r="D46" s="63" t="s">
        <v>325</v>
      </c>
      <c r="E46" s="63">
        <v>50</v>
      </c>
      <c r="F46" s="75">
        <v>6</v>
      </c>
      <c r="G46" s="52">
        <f t="shared" si="0"/>
        <v>300</v>
      </c>
    </row>
    <row r="47" spans="2:8" ht="15.75" thickBot="1" x14ac:dyDescent="0.3">
      <c r="B47" s="65">
        <v>35</v>
      </c>
      <c r="C47" s="64" t="s">
        <v>735</v>
      </c>
      <c r="D47" s="63" t="s">
        <v>325</v>
      </c>
      <c r="E47" s="63">
        <v>200</v>
      </c>
      <c r="F47" s="75">
        <v>8</v>
      </c>
      <c r="G47" s="52">
        <f t="shared" si="0"/>
        <v>1600</v>
      </c>
    </row>
    <row r="48" spans="2:8" ht="15.75" thickBot="1" x14ac:dyDescent="0.3">
      <c r="B48" s="65">
        <v>36</v>
      </c>
      <c r="C48" s="64" t="s">
        <v>736</v>
      </c>
      <c r="D48" s="63" t="s">
        <v>325</v>
      </c>
      <c r="E48" s="63">
        <v>200</v>
      </c>
      <c r="F48" s="75">
        <v>3</v>
      </c>
      <c r="G48" s="52">
        <f t="shared" si="0"/>
        <v>600</v>
      </c>
    </row>
    <row r="49" spans="2:10" ht="15.75" thickBot="1" x14ac:dyDescent="0.3">
      <c r="B49" s="65">
        <v>37</v>
      </c>
      <c r="C49" s="64" t="s">
        <v>737</v>
      </c>
      <c r="D49" s="63" t="s">
        <v>325</v>
      </c>
      <c r="E49" s="63">
        <v>100</v>
      </c>
      <c r="F49" s="75">
        <v>2.8</v>
      </c>
      <c r="G49" s="52">
        <f t="shared" si="0"/>
        <v>280</v>
      </c>
      <c r="H49" s="18"/>
    </row>
    <row r="50" spans="2:10" ht="15.75" thickBot="1" x14ac:dyDescent="0.3">
      <c r="B50" s="65">
        <v>38</v>
      </c>
      <c r="C50" s="64" t="s">
        <v>738</v>
      </c>
      <c r="D50" s="63" t="s">
        <v>739</v>
      </c>
      <c r="E50" s="63">
        <v>100</v>
      </c>
      <c r="F50" s="75">
        <v>16</v>
      </c>
      <c r="G50" s="52">
        <f t="shared" si="0"/>
        <v>1600</v>
      </c>
    </row>
    <row r="51" spans="2:10" ht="15.75" thickBot="1" x14ac:dyDescent="0.3">
      <c r="B51" s="65">
        <v>39</v>
      </c>
      <c r="C51" s="64" t="s">
        <v>740</v>
      </c>
      <c r="D51" s="63" t="s">
        <v>741</v>
      </c>
      <c r="E51" s="63">
        <v>500</v>
      </c>
      <c r="F51" s="75">
        <v>1.4</v>
      </c>
      <c r="G51" s="52">
        <f t="shared" si="0"/>
        <v>700</v>
      </c>
    </row>
    <row r="52" spans="2:10" ht="15.75" thickBot="1" x14ac:dyDescent="0.3">
      <c r="B52" s="65">
        <v>40</v>
      </c>
      <c r="C52" s="64" t="s">
        <v>742</v>
      </c>
      <c r="D52" s="63" t="s">
        <v>743</v>
      </c>
      <c r="E52" s="63">
        <v>400</v>
      </c>
      <c r="F52" s="75">
        <v>6.7</v>
      </c>
      <c r="G52" s="52">
        <f t="shared" si="0"/>
        <v>2680</v>
      </c>
    </row>
    <row r="53" spans="2:10" ht="15.75" thickBot="1" x14ac:dyDescent="0.3">
      <c r="B53" s="65">
        <v>41</v>
      </c>
      <c r="C53" s="64" t="s">
        <v>744</v>
      </c>
      <c r="D53" s="63" t="s">
        <v>325</v>
      </c>
      <c r="E53" s="63">
        <v>40</v>
      </c>
      <c r="F53" s="75">
        <v>20</v>
      </c>
      <c r="G53" s="52">
        <f t="shared" si="0"/>
        <v>800</v>
      </c>
      <c r="H53" s="18"/>
    </row>
    <row r="54" spans="2:10" ht="15.75" thickBot="1" x14ac:dyDescent="0.3">
      <c r="B54" s="65">
        <v>42</v>
      </c>
      <c r="C54" s="64" t="s">
        <v>745</v>
      </c>
      <c r="D54" s="63" t="s">
        <v>325</v>
      </c>
      <c r="E54" s="63">
        <v>80</v>
      </c>
      <c r="F54" s="75">
        <v>14</v>
      </c>
      <c r="G54" s="52">
        <f t="shared" si="0"/>
        <v>1120</v>
      </c>
    </row>
    <row r="55" spans="2:10" ht="15.75" thickBot="1" x14ac:dyDescent="0.3">
      <c r="B55" s="65">
        <v>43</v>
      </c>
      <c r="C55" s="64" t="s">
        <v>746</v>
      </c>
      <c r="D55" s="63" t="s">
        <v>325</v>
      </c>
      <c r="E55" s="63">
        <v>100</v>
      </c>
      <c r="F55" s="75">
        <v>2</v>
      </c>
      <c r="G55" s="52">
        <f t="shared" si="0"/>
        <v>200</v>
      </c>
    </row>
    <row r="56" spans="2:10" ht="15.75" thickBot="1" x14ac:dyDescent="0.3">
      <c r="B56" s="65">
        <v>44</v>
      </c>
      <c r="C56" s="64" t="s">
        <v>747</v>
      </c>
      <c r="D56" s="63" t="s">
        <v>748</v>
      </c>
      <c r="E56" s="63">
        <v>400</v>
      </c>
      <c r="F56" s="75">
        <v>350</v>
      </c>
      <c r="G56" s="52">
        <f t="shared" si="0"/>
        <v>140000</v>
      </c>
      <c r="H56" s="18"/>
      <c r="I56" s="4"/>
      <c r="J56" s="3"/>
    </row>
    <row r="57" spans="2:10" ht="15.75" thickBot="1" x14ac:dyDescent="0.3">
      <c r="B57" s="65">
        <v>45</v>
      </c>
      <c r="C57" s="64" t="s">
        <v>749</v>
      </c>
      <c r="D57" s="63" t="s">
        <v>325</v>
      </c>
      <c r="E57" s="63">
        <v>265</v>
      </c>
      <c r="F57" s="75">
        <v>271</v>
      </c>
      <c r="G57" s="52">
        <f t="shared" si="0"/>
        <v>71815</v>
      </c>
      <c r="H57" s="18"/>
    </row>
    <row r="58" spans="2:10" ht="15.75" thickBot="1" x14ac:dyDescent="0.3">
      <c r="B58" s="1010" t="s">
        <v>750</v>
      </c>
      <c r="C58" s="1011"/>
      <c r="D58" s="1011"/>
      <c r="E58" s="1012"/>
      <c r="F58" s="74">
        <v>1342.85</v>
      </c>
      <c r="G58" s="73">
        <f>SUM(G13:G57)</f>
        <v>344445</v>
      </c>
    </row>
    <row r="60" spans="2:10" ht="15.75" thickBot="1" x14ac:dyDescent="0.3"/>
    <row r="61" spans="2:10" ht="15.75" thickBot="1" x14ac:dyDescent="0.3">
      <c r="B61" s="1017" t="s">
        <v>751</v>
      </c>
      <c r="C61" s="1018"/>
      <c r="D61" s="1018"/>
      <c r="E61" s="1018"/>
      <c r="F61" s="1019"/>
      <c r="G61" s="76"/>
    </row>
    <row r="62" spans="2:10" x14ac:dyDescent="0.25">
      <c r="B62" s="1020" t="s">
        <v>686</v>
      </c>
      <c r="C62" s="1022" t="s">
        <v>687</v>
      </c>
      <c r="D62" s="1013" t="s">
        <v>624</v>
      </c>
      <c r="E62" s="1013" t="s">
        <v>623</v>
      </c>
      <c r="F62" s="72" t="s">
        <v>588</v>
      </c>
      <c r="G62" s="72" t="s">
        <v>588</v>
      </c>
    </row>
    <row r="63" spans="2:10" ht="15.75" thickBot="1" x14ac:dyDescent="0.3">
      <c r="B63" s="1021"/>
      <c r="C63" s="1023"/>
      <c r="D63" s="1014"/>
      <c r="E63" s="1014"/>
      <c r="F63" s="63" t="s">
        <v>688</v>
      </c>
      <c r="G63" s="63" t="s">
        <v>689</v>
      </c>
    </row>
    <row r="64" spans="2:10" ht="15.75" thickBot="1" x14ac:dyDescent="0.3">
      <c r="B64" s="65">
        <v>1</v>
      </c>
      <c r="C64" s="64" t="s">
        <v>690</v>
      </c>
      <c r="D64" s="63" t="s">
        <v>691</v>
      </c>
      <c r="E64" s="63">
        <v>300</v>
      </c>
      <c r="F64" s="75">
        <v>2.8</v>
      </c>
      <c r="G64" s="52">
        <f t="shared" ref="G64:G108" si="1">E64*F64</f>
        <v>840</v>
      </c>
    </row>
    <row r="65" spans="2:7" ht="15.75" thickBot="1" x14ac:dyDescent="0.3">
      <c r="B65" s="65">
        <v>2</v>
      </c>
      <c r="C65" s="64" t="s">
        <v>692</v>
      </c>
      <c r="D65" s="63" t="s">
        <v>693</v>
      </c>
      <c r="E65" s="63">
        <v>90</v>
      </c>
      <c r="F65" s="75">
        <v>10</v>
      </c>
      <c r="G65" s="52">
        <f t="shared" si="1"/>
        <v>900</v>
      </c>
    </row>
    <row r="66" spans="2:7" ht="15.75" thickBot="1" x14ac:dyDescent="0.3">
      <c r="B66" s="65">
        <v>3</v>
      </c>
      <c r="C66" s="64" t="s">
        <v>694</v>
      </c>
      <c r="D66" s="63" t="s">
        <v>695</v>
      </c>
      <c r="E66" s="63">
        <v>200</v>
      </c>
      <c r="F66" s="75">
        <v>4.25</v>
      </c>
      <c r="G66" s="52">
        <f t="shared" si="1"/>
        <v>850</v>
      </c>
    </row>
    <row r="67" spans="2:7" ht="15.75" thickBot="1" x14ac:dyDescent="0.3">
      <c r="B67" s="65">
        <v>4</v>
      </c>
      <c r="C67" s="64" t="s">
        <v>696</v>
      </c>
      <c r="D67" s="63" t="s">
        <v>325</v>
      </c>
      <c r="E67" s="63">
        <v>200</v>
      </c>
      <c r="F67" s="75">
        <v>1.8</v>
      </c>
      <c r="G67" s="52">
        <f t="shared" si="1"/>
        <v>360</v>
      </c>
    </row>
    <row r="68" spans="2:7" ht="15.75" thickBot="1" x14ac:dyDescent="0.3">
      <c r="B68" s="65">
        <v>5</v>
      </c>
      <c r="C68" s="64" t="s">
        <v>697</v>
      </c>
      <c r="D68" s="63" t="s">
        <v>325</v>
      </c>
      <c r="E68" s="63">
        <v>110</v>
      </c>
      <c r="F68" s="75">
        <v>98</v>
      </c>
      <c r="G68" s="52">
        <f t="shared" si="1"/>
        <v>10780</v>
      </c>
    </row>
    <row r="69" spans="2:7" ht="15.75" thickBot="1" x14ac:dyDescent="0.3">
      <c r="B69" s="65">
        <v>6</v>
      </c>
      <c r="C69" s="64" t="s">
        <v>698</v>
      </c>
      <c r="D69" s="63" t="s">
        <v>325</v>
      </c>
      <c r="E69" s="63">
        <v>110</v>
      </c>
      <c r="F69" s="75">
        <v>120</v>
      </c>
      <c r="G69" s="52">
        <f t="shared" si="1"/>
        <v>13200</v>
      </c>
    </row>
    <row r="70" spans="2:7" ht="15.75" thickBot="1" x14ac:dyDescent="0.3">
      <c r="B70" s="65">
        <v>7</v>
      </c>
      <c r="C70" s="64" t="s">
        <v>699</v>
      </c>
      <c r="D70" s="63" t="s">
        <v>325</v>
      </c>
      <c r="E70" s="63">
        <v>200</v>
      </c>
      <c r="F70" s="75">
        <v>1.9</v>
      </c>
      <c r="G70" s="52">
        <f t="shared" si="1"/>
        <v>380</v>
      </c>
    </row>
    <row r="71" spans="2:7" ht="15.75" thickBot="1" x14ac:dyDescent="0.3">
      <c r="B71" s="65">
        <v>8</v>
      </c>
      <c r="C71" s="64" t="s">
        <v>700</v>
      </c>
      <c r="D71" s="63" t="s">
        <v>701</v>
      </c>
      <c r="E71" s="63">
        <v>50</v>
      </c>
      <c r="F71" s="75">
        <v>4</v>
      </c>
      <c r="G71" s="52">
        <f t="shared" si="1"/>
        <v>200</v>
      </c>
    </row>
    <row r="72" spans="2:7" ht="15.75" thickBot="1" x14ac:dyDescent="0.3">
      <c r="B72" s="65">
        <v>9</v>
      </c>
      <c r="C72" s="64" t="s">
        <v>702</v>
      </c>
      <c r="D72" s="63" t="s">
        <v>701</v>
      </c>
      <c r="E72" s="63">
        <v>50</v>
      </c>
      <c r="F72" s="75">
        <v>9</v>
      </c>
      <c r="G72" s="52">
        <f t="shared" si="1"/>
        <v>450</v>
      </c>
    </row>
    <row r="73" spans="2:7" ht="15.75" thickBot="1" x14ac:dyDescent="0.3">
      <c r="B73" s="65">
        <v>10</v>
      </c>
      <c r="C73" s="64" t="s">
        <v>703</v>
      </c>
      <c r="D73" s="63" t="s">
        <v>325</v>
      </c>
      <c r="E73" s="63">
        <v>50</v>
      </c>
      <c r="F73" s="75">
        <v>1.9</v>
      </c>
      <c r="G73" s="52">
        <f t="shared" si="1"/>
        <v>95</v>
      </c>
    </row>
    <row r="74" spans="2:7" ht="15.75" thickBot="1" x14ac:dyDescent="0.3">
      <c r="B74" s="65">
        <v>11</v>
      </c>
      <c r="C74" s="64" t="s">
        <v>704</v>
      </c>
      <c r="D74" s="63" t="s">
        <v>705</v>
      </c>
      <c r="E74" s="63">
        <v>540</v>
      </c>
      <c r="F74" s="75">
        <v>12</v>
      </c>
      <c r="G74" s="52">
        <f t="shared" si="1"/>
        <v>6480</v>
      </c>
    </row>
    <row r="75" spans="2:7" ht="15.75" thickBot="1" x14ac:dyDescent="0.3">
      <c r="B75" s="65">
        <v>12</v>
      </c>
      <c r="C75" s="64" t="s">
        <v>706</v>
      </c>
      <c r="D75" s="63" t="s">
        <v>705</v>
      </c>
      <c r="E75" s="63">
        <v>540</v>
      </c>
      <c r="F75" s="75">
        <v>8</v>
      </c>
      <c r="G75" s="52">
        <f t="shared" si="1"/>
        <v>4320</v>
      </c>
    </row>
    <row r="76" spans="2:7" ht="15.75" thickBot="1" x14ac:dyDescent="0.3">
      <c r="B76" s="65">
        <v>13</v>
      </c>
      <c r="C76" s="64" t="s">
        <v>707</v>
      </c>
      <c r="D76" s="63" t="s">
        <v>708</v>
      </c>
      <c r="E76" s="63">
        <v>50</v>
      </c>
      <c r="F76" s="75">
        <v>7</v>
      </c>
      <c r="G76" s="52">
        <f t="shared" si="1"/>
        <v>350</v>
      </c>
    </row>
    <row r="77" spans="2:7" ht="15.75" thickBot="1" x14ac:dyDescent="0.3">
      <c r="B77" s="65">
        <v>14</v>
      </c>
      <c r="C77" s="64" t="s">
        <v>709</v>
      </c>
      <c r="D77" s="63" t="s">
        <v>710</v>
      </c>
      <c r="E77" s="63">
        <v>400</v>
      </c>
      <c r="F77" s="75">
        <v>5</v>
      </c>
      <c r="G77" s="52">
        <f t="shared" si="1"/>
        <v>2000</v>
      </c>
    </row>
    <row r="78" spans="2:7" ht="15.75" thickBot="1" x14ac:dyDescent="0.3">
      <c r="B78" s="65">
        <v>15</v>
      </c>
      <c r="C78" s="64" t="s">
        <v>711</v>
      </c>
      <c r="D78" s="63" t="s">
        <v>710</v>
      </c>
      <c r="E78" s="63">
        <v>200</v>
      </c>
      <c r="F78" s="75">
        <v>7</v>
      </c>
      <c r="G78" s="52">
        <f t="shared" si="1"/>
        <v>1400</v>
      </c>
    </row>
    <row r="79" spans="2:7" ht="15.75" thickBot="1" x14ac:dyDescent="0.3">
      <c r="B79" s="65">
        <v>16</v>
      </c>
      <c r="C79" s="64" t="s">
        <v>712</v>
      </c>
      <c r="D79" s="63" t="s">
        <v>325</v>
      </c>
      <c r="E79" s="63">
        <v>400</v>
      </c>
      <c r="F79" s="75">
        <v>2.5</v>
      </c>
      <c r="G79" s="52">
        <f t="shared" si="1"/>
        <v>1000</v>
      </c>
    </row>
    <row r="80" spans="2:7" ht="15.75" thickBot="1" x14ac:dyDescent="0.3">
      <c r="B80" s="65">
        <v>17</v>
      </c>
      <c r="C80" s="64" t="s">
        <v>713</v>
      </c>
      <c r="D80" s="63" t="s">
        <v>714</v>
      </c>
      <c r="E80" s="63">
        <v>500</v>
      </c>
      <c r="F80" s="75">
        <v>60</v>
      </c>
      <c r="G80" s="52">
        <f t="shared" si="1"/>
        <v>30000</v>
      </c>
    </row>
    <row r="81" spans="2:8" ht="15.75" thickBot="1" x14ac:dyDescent="0.3">
      <c r="B81" s="65">
        <v>18</v>
      </c>
      <c r="C81" s="64" t="s">
        <v>715</v>
      </c>
      <c r="D81" s="63" t="s">
        <v>714</v>
      </c>
      <c r="E81" s="63">
        <v>500</v>
      </c>
      <c r="F81" s="75">
        <v>40</v>
      </c>
      <c r="G81" s="52">
        <f t="shared" si="1"/>
        <v>20000</v>
      </c>
    </row>
    <row r="82" spans="2:8" ht="15.75" thickBot="1" x14ac:dyDescent="0.3">
      <c r="B82" s="65">
        <v>19</v>
      </c>
      <c r="C82" s="64" t="s">
        <v>716</v>
      </c>
      <c r="D82" s="63" t="s">
        <v>714</v>
      </c>
      <c r="E82" s="63">
        <v>500</v>
      </c>
      <c r="F82" s="75">
        <v>30</v>
      </c>
      <c r="G82" s="52">
        <f t="shared" si="1"/>
        <v>15000</v>
      </c>
    </row>
    <row r="83" spans="2:8" ht="15.75" thickBot="1" x14ac:dyDescent="0.3">
      <c r="B83" s="65">
        <v>20</v>
      </c>
      <c r="C83" s="64" t="s">
        <v>717</v>
      </c>
      <c r="D83" s="63" t="s">
        <v>325</v>
      </c>
      <c r="E83" s="63">
        <v>40</v>
      </c>
      <c r="F83" s="75">
        <v>40</v>
      </c>
      <c r="G83" s="52">
        <f t="shared" si="1"/>
        <v>1600</v>
      </c>
      <c r="H83" s="18"/>
    </row>
    <row r="84" spans="2:8" ht="15.75" thickBot="1" x14ac:dyDescent="0.3">
      <c r="B84" s="65">
        <v>21</v>
      </c>
      <c r="C84" s="64" t="s">
        <v>718</v>
      </c>
      <c r="D84" s="63" t="s">
        <v>325</v>
      </c>
      <c r="E84" s="63">
        <v>40</v>
      </c>
      <c r="F84" s="75">
        <v>25</v>
      </c>
      <c r="G84" s="52">
        <f t="shared" si="1"/>
        <v>1000</v>
      </c>
      <c r="H84" s="18"/>
    </row>
    <row r="85" spans="2:8" ht="15.75" thickBot="1" x14ac:dyDescent="0.3">
      <c r="B85" s="65">
        <v>22</v>
      </c>
      <c r="C85" s="64" t="s">
        <v>719</v>
      </c>
      <c r="D85" s="63" t="s">
        <v>325</v>
      </c>
      <c r="E85" s="63">
        <v>180</v>
      </c>
      <c r="F85" s="75">
        <v>2.5</v>
      </c>
      <c r="G85" s="52">
        <f t="shared" si="1"/>
        <v>450</v>
      </c>
    </row>
    <row r="86" spans="2:8" ht="15.75" thickBot="1" x14ac:dyDescent="0.3">
      <c r="B86" s="65">
        <v>23</v>
      </c>
      <c r="C86" s="64" t="s">
        <v>720</v>
      </c>
      <c r="D86" s="63" t="s">
        <v>325</v>
      </c>
      <c r="E86" s="63">
        <v>50</v>
      </c>
      <c r="F86" s="75">
        <v>1.8</v>
      </c>
      <c r="G86" s="52">
        <f t="shared" si="1"/>
        <v>90</v>
      </c>
      <c r="H86" s="18"/>
    </row>
    <row r="87" spans="2:8" ht="15.75" thickBot="1" x14ac:dyDescent="0.3">
      <c r="B87" s="65">
        <v>24</v>
      </c>
      <c r="C87" s="64" t="s">
        <v>721</v>
      </c>
      <c r="D87" s="63" t="s">
        <v>325</v>
      </c>
      <c r="E87" s="63">
        <v>50</v>
      </c>
      <c r="F87" s="75">
        <v>6.5</v>
      </c>
      <c r="G87" s="52">
        <f t="shared" si="1"/>
        <v>325</v>
      </c>
    </row>
    <row r="88" spans="2:8" ht="15.75" thickBot="1" x14ac:dyDescent="0.3">
      <c r="B88" s="65">
        <v>25</v>
      </c>
      <c r="C88" s="64" t="s">
        <v>722</v>
      </c>
      <c r="D88" s="63" t="s">
        <v>723</v>
      </c>
      <c r="E88" s="63">
        <v>50</v>
      </c>
      <c r="F88" s="75">
        <v>22</v>
      </c>
      <c r="G88" s="52">
        <f t="shared" si="1"/>
        <v>1100</v>
      </c>
    </row>
    <row r="89" spans="2:8" ht="15.75" thickBot="1" x14ac:dyDescent="0.3">
      <c r="B89" s="65">
        <v>26</v>
      </c>
      <c r="C89" s="64" t="s">
        <v>724</v>
      </c>
      <c r="D89" s="63" t="s">
        <v>325</v>
      </c>
      <c r="E89" s="63">
        <v>50</v>
      </c>
      <c r="F89" s="75">
        <v>12</v>
      </c>
      <c r="G89" s="52">
        <f t="shared" si="1"/>
        <v>600</v>
      </c>
    </row>
    <row r="90" spans="2:8" ht="15.75" thickBot="1" x14ac:dyDescent="0.3">
      <c r="B90" s="65">
        <v>27</v>
      </c>
      <c r="C90" s="64" t="s">
        <v>725</v>
      </c>
      <c r="D90" s="63" t="s">
        <v>325</v>
      </c>
      <c r="E90" s="63">
        <v>50</v>
      </c>
      <c r="F90" s="75">
        <v>3</v>
      </c>
      <c r="G90" s="52">
        <f t="shared" si="1"/>
        <v>150</v>
      </c>
    </row>
    <row r="91" spans="2:8" ht="15.75" thickBot="1" x14ac:dyDescent="0.3">
      <c r="B91" s="65">
        <v>28</v>
      </c>
      <c r="C91" s="64" t="s">
        <v>726</v>
      </c>
      <c r="D91" s="63" t="s">
        <v>727</v>
      </c>
      <c r="E91" s="63">
        <v>50</v>
      </c>
      <c r="F91" s="75">
        <v>8</v>
      </c>
      <c r="G91" s="52">
        <f t="shared" si="1"/>
        <v>400</v>
      </c>
    </row>
    <row r="92" spans="2:8" ht="15.75" thickBot="1" x14ac:dyDescent="0.3">
      <c r="B92" s="65">
        <v>29</v>
      </c>
      <c r="C92" s="64" t="s">
        <v>728</v>
      </c>
      <c r="D92" s="63" t="s">
        <v>701</v>
      </c>
      <c r="E92" s="63">
        <v>100</v>
      </c>
      <c r="F92" s="75">
        <v>60</v>
      </c>
      <c r="G92" s="52">
        <f t="shared" si="1"/>
        <v>6000</v>
      </c>
    </row>
    <row r="93" spans="2:8" ht="15.75" thickBot="1" x14ac:dyDescent="0.3">
      <c r="B93" s="65">
        <v>30</v>
      </c>
      <c r="C93" s="64" t="s">
        <v>729</v>
      </c>
      <c r="D93" s="63" t="s">
        <v>325</v>
      </c>
      <c r="E93" s="63">
        <v>10</v>
      </c>
      <c r="F93" s="75">
        <v>13</v>
      </c>
      <c r="G93" s="52">
        <f t="shared" si="1"/>
        <v>130</v>
      </c>
    </row>
    <row r="94" spans="2:8" ht="15.75" thickBot="1" x14ac:dyDescent="0.3">
      <c r="B94" s="65">
        <v>31</v>
      </c>
      <c r="C94" s="64" t="s">
        <v>730</v>
      </c>
      <c r="D94" s="63" t="s">
        <v>731</v>
      </c>
      <c r="E94" s="63">
        <v>100</v>
      </c>
      <c r="F94" s="75">
        <v>14</v>
      </c>
      <c r="G94" s="52">
        <f t="shared" si="1"/>
        <v>1400</v>
      </c>
    </row>
    <row r="95" spans="2:8" ht="15.75" thickBot="1" x14ac:dyDescent="0.3">
      <c r="B95" s="65">
        <v>32</v>
      </c>
      <c r="C95" s="64" t="s">
        <v>732</v>
      </c>
      <c r="D95" s="63" t="s">
        <v>325</v>
      </c>
      <c r="E95" s="63">
        <v>100</v>
      </c>
      <c r="F95" s="75">
        <v>4</v>
      </c>
      <c r="G95" s="52">
        <f t="shared" si="1"/>
        <v>400</v>
      </c>
    </row>
    <row r="96" spans="2:8" ht="15.75" thickBot="1" x14ac:dyDescent="0.3">
      <c r="B96" s="65">
        <v>33</v>
      </c>
      <c r="C96" s="64" t="s">
        <v>733</v>
      </c>
      <c r="D96" s="63" t="s">
        <v>723</v>
      </c>
      <c r="E96" s="63">
        <v>100</v>
      </c>
      <c r="F96" s="75">
        <v>5</v>
      </c>
      <c r="G96" s="52">
        <f t="shared" si="1"/>
        <v>500</v>
      </c>
    </row>
    <row r="97" spans="2:9" ht="15.75" thickBot="1" x14ac:dyDescent="0.3">
      <c r="B97" s="65">
        <v>34</v>
      </c>
      <c r="C97" s="64" t="s">
        <v>734</v>
      </c>
      <c r="D97" s="63" t="s">
        <v>325</v>
      </c>
      <c r="E97" s="63">
        <v>50</v>
      </c>
      <c r="F97" s="75">
        <v>6</v>
      </c>
      <c r="G97" s="52">
        <f t="shared" si="1"/>
        <v>300</v>
      </c>
    </row>
    <row r="98" spans="2:9" ht="15.75" thickBot="1" x14ac:dyDescent="0.3">
      <c r="B98" s="65">
        <v>35</v>
      </c>
      <c r="C98" s="64" t="s">
        <v>735</v>
      </c>
      <c r="D98" s="63" t="s">
        <v>325</v>
      </c>
      <c r="E98" s="63">
        <v>200</v>
      </c>
      <c r="F98" s="75">
        <v>8</v>
      </c>
      <c r="G98" s="52">
        <f t="shared" si="1"/>
        <v>1600</v>
      </c>
    </row>
    <row r="99" spans="2:9" ht="15.75" thickBot="1" x14ac:dyDescent="0.3">
      <c r="B99" s="65">
        <v>36</v>
      </c>
      <c r="C99" s="64" t="s">
        <v>736</v>
      </c>
      <c r="D99" s="63" t="s">
        <v>325</v>
      </c>
      <c r="E99" s="63">
        <v>200</v>
      </c>
      <c r="F99" s="75">
        <v>3</v>
      </c>
      <c r="G99" s="52">
        <f t="shared" si="1"/>
        <v>600</v>
      </c>
    </row>
    <row r="100" spans="2:9" ht="15.75" thickBot="1" x14ac:dyDescent="0.3">
      <c r="B100" s="65">
        <v>37</v>
      </c>
      <c r="C100" s="64" t="s">
        <v>737</v>
      </c>
      <c r="D100" s="63" t="s">
        <v>325</v>
      </c>
      <c r="E100" s="63">
        <v>100</v>
      </c>
      <c r="F100" s="75">
        <v>2.8</v>
      </c>
      <c r="G100" s="52">
        <f t="shared" si="1"/>
        <v>280</v>
      </c>
      <c r="H100" s="18"/>
    </row>
    <row r="101" spans="2:9" ht="15.75" thickBot="1" x14ac:dyDescent="0.3">
      <c r="B101" s="65">
        <v>38</v>
      </c>
      <c r="C101" s="64" t="s">
        <v>738</v>
      </c>
      <c r="D101" s="63" t="s">
        <v>739</v>
      </c>
      <c r="E101" s="63">
        <v>100</v>
      </c>
      <c r="F101" s="75">
        <v>16</v>
      </c>
      <c r="G101" s="52">
        <f t="shared" si="1"/>
        <v>1600</v>
      </c>
    </row>
    <row r="102" spans="2:9" ht="15.75" thickBot="1" x14ac:dyDescent="0.3">
      <c r="B102" s="65">
        <v>39</v>
      </c>
      <c r="C102" s="64" t="s">
        <v>740</v>
      </c>
      <c r="D102" s="63" t="s">
        <v>741</v>
      </c>
      <c r="E102" s="63">
        <v>500</v>
      </c>
      <c r="F102" s="75">
        <v>1.4</v>
      </c>
      <c r="G102" s="52">
        <f t="shared" si="1"/>
        <v>700</v>
      </c>
    </row>
    <row r="103" spans="2:9" ht="15.75" thickBot="1" x14ac:dyDescent="0.3">
      <c r="B103" s="65">
        <v>40</v>
      </c>
      <c r="C103" s="64" t="s">
        <v>742</v>
      </c>
      <c r="D103" s="63" t="s">
        <v>743</v>
      </c>
      <c r="E103" s="63">
        <v>400</v>
      </c>
      <c r="F103" s="75">
        <v>6.7</v>
      </c>
      <c r="G103" s="52">
        <f t="shared" si="1"/>
        <v>2680</v>
      </c>
    </row>
    <row r="104" spans="2:9" ht="15.75" thickBot="1" x14ac:dyDescent="0.3">
      <c r="B104" s="65">
        <v>41</v>
      </c>
      <c r="C104" s="64" t="s">
        <v>744</v>
      </c>
      <c r="D104" s="63" t="s">
        <v>325</v>
      </c>
      <c r="E104" s="63">
        <v>40</v>
      </c>
      <c r="F104" s="75">
        <v>20</v>
      </c>
      <c r="G104" s="52">
        <f t="shared" si="1"/>
        <v>800</v>
      </c>
      <c r="H104" s="18"/>
    </row>
    <row r="105" spans="2:9" ht="15.75" thickBot="1" x14ac:dyDescent="0.3">
      <c r="B105" s="65">
        <v>42</v>
      </c>
      <c r="C105" s="64" t="s">
        <v>745</v>
      </c>
      <c r="D105" s="63" t="s">
        <v>325</v>
      </c>
      <c r="E105" s="63">
        <v>80</v>
      </c>
      <c r="F105" s="75">
        <v>14</v>
      </c>
      <c r="G105" s="52">
        <f t="shared" si="1"/>
        <v>1120</v>
      </c>
    </row>
    <row r="106" spans="2:9" ht="15.75" thickBot="1" x14ac:dyDescent="0.3">
      <c r="B106" s="65">
        <v>43</v>
      </c>
      <c r="C106" s="64" t="s">
        <v>746</v>
      </c>
      <c r="D106" s="63" t="s">
        <v>325</v>
      </c>
      <c r="E106" s="63">
        <v>100</v>
      </c>
      <c r="F106" s="75">
        <v>2</v>
      </c>
      <c r="G106" s="52">
        <f t="shared" si="1"/>
        <v>200</v>
      </c>
    </row>
    <row r="107" spans="2:9" ht="15.75" thickBot="1" x14ac:dyDescent="0.3">
      <c r="B107" s="65">
        <v>44</v>
      </c>
      <c r="C107" s="64" t="s">
        <v>747</v>
      </c>
      <c r="D107" s="63" t="s">
        <v>748</v>
      </c>
      <c r="E107" s="63">
        <v>400</v>
      </c>
      <c r="F107" s="75">
        <v>350</v>
      </c>
      <c r="G107" s="52">
        <f t="shared" si="1"/>
        <v>140000</v>
      </c>
      <c r="H107" s="18"/>
    </row>
    <row r="108" spans="2:9" ht="15.75" thickBot="1" x14ac:dyDescent="0.3">
      <c r="B108" s="65">
        <v>45</v>
      </c>
      <c r="C108" s="64" t="s">
        <v>749</v>
      </c>
      <c r="D108" s="63" t="s">
        <v>325</v>
      </c>
      <c r="E108" s="63">
        <v>265</v>
      </c>
      <c r="F108" s="75">
        <v>271</v>
      </c>
      <c r="G108" s="52">
        <f t="shared" si="1"/>
        <v>71815</v>
      </c>
      <c r="H108" s="18"/>
    </row>
    <row r="109" spans="2:9" ht="13.5" customHeight="1" thickBot="1" x14ac:dyDescent="0.3">
      <c r="B109" s="1010" t="s">
        <v>750</v>
      </c>
      <c r="C109" s="1011"/>
      <c r="D109" s="1011"/>
      <c r="E109" s="1012"/>
      <c r="F109" s="74"/>
      <c r="G109" s="73">
        <f>SUM(G64:G108)</f>
        <v>344445</v>
      </c>
    </row>
    <row r="111" spans="2:9" ht="15.75" thickBot="1" x14ac:dyDescent="0.3"/>
    <row r="112" spans="2:9" ht="29.25" customHeight="1" thickBot="1" x14ac:dyDescent="0.3">
      <c r="B112" s="1015" t="s">
        <v>752</v>
      </c>
      <c r="C112" s="1016"/>
      <c r="D112" s="1016"/>
      <c r="E112" s="1016"/>
      <c r="F112" s="1016"/>
      <c r="G112" s="1024" t="s">
        <v>753</v>
      </c>
      <c r="H112" s="1024" t="s">
        <v>754</v>
      </c>
      <c r="I112" s="1024" t="s">
        <v>755</v>
      </c>
    </row>
    <row r="113" spans="2:9" x14ac:dyDescent="0.25">
      <c r="B113" s="1020" t="s">
        <v>686</v>
      </c>
      <c r="C113" s="1013" t="s">
        <v>687</v>
      </c>
      <c r="D113" s="1013" t="s">
        <v>623</v>
      </c>
      <c r="E113" s="72" t="s">
        <v>588</v>
      </c>
      <c r="F113" s="71" t="s">
        <v>588</v>
      </c>
      <c r="G113" s="1025"/>
      <c r="H113" s="1025"/>
      <c r="I113" s="1025"/>
    </row>
    <row r="114" spans="2:9" ht="15.75" thickBot="1" x14ac:dyDescent="0.3">
      <c r="B114" s="1021"/>
      <c r="C114" s="1014"/>
      <c r="D114" s="1014"/>
      <c r="E114" s="63" t="s">
        <v>688</v>
      </c>
      <c r="F114" s="70" t="s">
        <v>756</v>
      </c>
      <c r="G114" s="1026"/>
      <c r="H114" s="1026"/>
      <c r="I114" s="1026"/>
    </row>
    <row r="115" spans="2:9" ht="15.75" thickBot="1" x14ac:dyDescent="0.3">
      <c r="B115" s="65">
        <v>1</v>
      </c>
      <c r="C115" s="64" t="s">
        <v>757</v>
      </c>
      <c r="D115" s="63">
        <v>1</v>
      </c>
      <c r="E115" s="52">
        <v>2180</v>
      </c>
      <c r="F115" s="62">
        <f>D115*E115</f>
        <v>2180</v>
      </c>
      <c r="G115" s="56"/>
      <c r="H115" s="50"/>
      <c r="I115" s="49"/>
    </row>
    <row r="116" spans="2:9" s="15" customFormat="1" ht="13.5" thickBot="1" x14ac:dyDescent="0.25">
      <c r="B116" s="1010" t="s">
        <v>758</v>
      </c>
      <c r="C116" s="1011"/>
      <c r="D116" s="1011"/>
      <c r="E116" s="1012"/>
      <c r="F116" s="69">
        <f>F115</f>
        <v>2180</v>
      </c>
      <c r="G116" s="68"/>
      <c r="H116" s="67"/>
      <c r="I116" s="67"/>
    </row>
    <row r="117" spans="2:9" ht="15.75" thickBot="1" x14ac:dyDescent="0.3">
      <c r="B117" s="65">
        <v>1</v>
      </c>
      <c r="C117" s="64" t="s">
        <v>759</v>
      </c>
      <c r="D117" s="63">
        <v>4</v>
      </c>
      <c r="E117" s="52">
        <v>3000</v>
      </c>
      <c r="F117" s="62">
        <f t="shared" ref="F117:F132" si="2">D117*E117</f>
        <v>12000</v>
      </c>
      <c r="G117" s="56" t="s">
        <v>760</v>
      </c>
      <c r="H117" s="50">
        <v>5</v>
      </c>
      <c r="I117" s="49">
        <f t="shared" ref="I117:I132" si="3">F117/H117</f>
        <v>2400</v>
      </c>
    </row>
    <row r="118" spans="2:9" ht="29.25" customHeight="1" thickBot="1" x14ac:dyDescent="0.3">
      <c r="B118" s="65">
        <v>2</v>
      </c>
      <c r="C118" s="64" t="s">
        <v>761</v>
      </c>
      <c r="D118" s="63">
        <v>10</v>
      </c>
      <c r="E118" s="52">
        <v>2700</v>
      </c>
      <c r="F118" s="62">
        <f t="shared" si="2"/>
        <v>27000</v>
      </c>
      <c r="G118" s="56" t="s">
        <v>760</v>
      </c>
      <c r="H118" s="50">
        <v>5</v>
      </c>
      <c r="I118" s="49">
        <f t="shared" si="3"/>
        <v>5400</v>
      </c>
    </row>
    <row r="119" spans="2:9" ht="15.75" thickBot="1" x14ac:dyDescent="0.3">
      <c r="B119" s="65">
        <v>3</v>
      </c>
      <c r="C119" s="64" t="s">
        <v>762</v>
      </c>
      <c r="D119" s="63">
        <v>1</v>
      </c>
      <c r="E119" s="52">
        <v>900</v>
      </c>
      <c r="F119" s="62">
        <f t="shared" si="2"/>
        <v>900</v>
      </c>
      <c r="G119" s="56">
        <v>8443</v>
      </c>
      <c r="H119" s="50">
        <v>10</v>
      </c>
      <c r="I119" s="49">
        <f t="shared" si="3"/>
        <v>90</v>
      </c>
    </row>
    <row r="120" spans="2:9" ht="15.75" thickBot="1" x14ac:dyDescent="0.3">
      <c r="B120" s="65">
        <v>4</v>
      </c>
      <c r="C120" s="64" t="s">
        <v>763</v>
      </c>
      <c r="D120" s="63">
        <v>2</v>
      </c>
      <c r="E120" s="52">
        <v>850</v>
      </c>
      <c r="F120" s="62">
        <f t="shared" si="2"/>
        <v>1700</v>
      </c>
      <c r="G120" s="56">
        <v>9007</v>
      </c>
      <c r="H120" s="50">
        <v>10</v>
      </c>
      <c r="I120" s="49">
        <f t="shared" si="3"/>
        <v>170</v>
      </c>
    </row>
    <row r="121" spans="2:9" ht="15.75" thickBot="1" x14ac:dyDescent="0.3">
      <c r="B121" s="65">
        <v>5</v>
      </c>
      <c r="C121" s="64" t="s">
        <v>764</v>
      </c>
      <c r="D121" s="63">
        <v>54</v>
      </c>
      <c r="E121" s="52">
        <v>287</v>
      </c>
      <c r="F121" s="66">
        <f t="shared" si="2"/>
        <v>15498</v>
      </c>
      <c r="G121" s="56">
        <v>8517</v>
      </c>
      <c r="H121" s="50">
        <v>5</v>
      </c>
      <c r="I121" s="49">
        <f t="shared" si="3"/>
        <v>3099.6</v>
      </c>
    </row>
    <row r="122" spans="2:9" ht="15.75" thickBot="1" x14ac:dyDescent="0.3">
      <c r="B122" s="65">
        <v>6</v>
      </c>
      <c r="C122" s="64" t="s">
        <v>765</v>
      </c>
      <c r="D122" s="63">
        <v>2</v>
      </c>
      <c r="E122" s="52">
        <v>1500</v>
      </c>
      <c r="F122" s="62">
        <f t="shared" si="2"/>
        <v>3000</v>
      </c>
      <c r="G122" s="56">
        <v>9014</v>
      </c>
      <c r="H122" s="50">
        <v>10</v>
      </c>
      <c r="I122" s="49">
        <f t="shared" si="3"/>
        <v>300</v>
      </c>
    </row>
    <row r="123" spans="2:9" ht="15.75" thickBot="1" x14ac:dyDescent="0.3">
      <c r="B123" s="65">
        <v>7</v>
      </c>
      <c r="C123" s="64" t="s">
        <v>766</v>
      </c>
      <c r="D123" s="63">
        <v>1</v>
      </c>
      <c r="E123" s="52">
        <v>1900</v>
      </c>
      <c r="F123" s="62">
        <f t="shared" si="2"/>
        <v>1900</v>
      </c>
      <c r="G123" s="56">
        <v>8418</v>
      </c>
      <c r="H123" s="50">
        <v>10</v>
      </c>
      <c r="I123" s="49">
        <f t="shared" si="3"/>
        <v>190</v>
      </c>
    </row>
    <row r="124" spans="2:9" ht="15.75" thickBot="1" x14ac:dyDescent="0.3">
      <c r="B124" s="65">
        <v>8</v>
      </c>
      <c r="C124" s="64" t="s">
        <v>767</v>
      </c>
      <c r="D124" s="63">
        <v>1</v>
      </c>
      <c r="E124" s="52">
        <v>1000</v>
      </c>
      <c r="F124" s="62">
        <f t="shared" si="2"/>
        <v>1000</v>
      </c>
      <c r="G124" s="56">
        <v>7321</v>
      </c>
      <c r="H124" s="50">
        <v>10</v>
      </c>
      <c r="I124" s="49">
        <f t="shared" si="3"/>
        <v>100</v>
      </c>
    </row>
    <row r="125" spans="2:9" ht="15.75" thickBot="1" x14ac:dyDescent="0.3">
      <c r="B125" s="65">
        <v>9</v>
      </c>
      <c r="C125" s="64" t="s">
        <v>768</v>
      </c>
      <c r="D125" s="63">
        <v>1</v>
      </c>
      <c r="E125" s="52">
        <v>500</v>
      </c>
      <c r="F125" s="62">
        <f t="shared" si="2"/>
        <v>500</v>
      </c>
      <c r="G125" s="56">
        <v>8514</v>
      </c>
      <c r="H125" s="50">
        <v>10</v>
      </c>
      <c r="I125" s="49">
        <f t="shared" si="3"/>
        <v>50</v>
      </c>
    </row>
    <row r="126" spans="2:9" ht="15.75" thickBot="1" x14ac:dyDescent="0.3">
      <c r="B126" s="65">
        <v>10</v>
      </c>
      <c r="C126" s="64" t="s">
        <v>769</v>
      </c>
      <c r="D126" s="63">
        <v>1</v>
      </c>
      <c r="E126" s="52">
        <v>1300</v>
      </c>
      <c r="F126" s="62">
        <f t="shared" si="2"/>
        <v>1300</v>
      </c>
      <c r="G126" s="56">
        <v>9403</v>
      </c>
      <c r="H126" s="50">
        <v>10</v>
      </c>
      <c r="I126" s="49">
        <f t="shared" si="3"/>
        <v>130</v>
      </c>
    </row>
    <row r="127" spans="2:9" ht="15.75" thickBot="1" x14ac:dyDescent="0.3">
      <c r="B127" s="65">
        <v>11</v>
      </c>
      <c r="C127" s="64" t="s">
        <v>770</v>
      </c>
      <c r="D127" s="63">
        <v>1</v>
      </c>
      <c r="E127" s="52">
        <v>650</v>
      </c>
      <c r="F127" s="62">
        <f t="shared" si="2"/>
        <v>650</v>
      </c>
      <c r="G127" s="56">
        <v>9403</v>
      </c>
      <c r="H127" s="50">
        <v>10</v>
      </c>
      <c r="I127" s="49">
        <f t="shared" si="3"/>
        <v>65</v>
      </c>
    </row>
    <row r="128" spans="2:9" ht="15.75" thickBot="1" x14ac:dyDescent="0.3">
      <c r="B128" s="65">
        <v>12</v>
      </c>
      <c r="C128" s="64" t="s">
        <v>771</v>
      </c>
      <c r="D128" s="63">
        <v>10</v>
      </c>
      <c r="E128" s="52">
        <v>250</v>
      </c>
      <c r="F128" s="62">
        <f t="shared" si="2"/>
        <v>2500</v>
      </c>
      <c r="G128" s="56">
        <v>9403</v>
      </c>
      <c r="H128" s="50">
        <v>10</v>
      </c>
      <c r="I128" s="49">
        <f t="shared" si="3"/>
        <v>250</v>
      </c>
    </row>
    <row r="129" spans="2:9" ht="15.75" thickBot="1" x14ac:dyDescent="0.3">
      <c r="B129" s="65">
        <v>13</v>
      </c>
      <c r="C129" s="64" t="s">
        <v>772</v>
      </c>
      <c r="D129" s="63">
        <v>2</v>
      </c>
      <c r="E129" s="52">
        <v>400</v>
      </c>
      <c r="F129" s="62">
        <f t="shared" si="2"/>
        <v>800</v>
      </c>
      <c r="G129" s="56">
        <v>9403</v>
      </c>
      <c r="H129" s="50">
        <v>10</v>
      </c>
      <c r="I129" s="49">
        <f t="shared" si="3"/>
        <v>80</v>
      </c>
    </row>
    <row r="130" spans="2:9" ht="15.75" thickBot="1" x14ac:dyDescent="0.3">
      <c r="B130" s="65">
        <v>14</v>
      </c>
      <c r="C130" s="64" t="s">
        <v>773</v>
      </c>
      <c r="D130" s="63">
        <v>4</v>
      </c>
      <c r="E130" s="52">
        <v>670</v>
      </c>
      <c r="F130" s="62">
        <f t="shared" si="2"/>
        <v>2680</v>
      </c>
      <c r="G130" s="56">
        <v>9403</v>
      </c>
      <c r="H130" s="50">
        <v>10</v>
      </c>
      <c r="I130" s="49">
        <f t="shared" si="3"/>
        <v>268</v>
      </c>
    </row>
    <row r="131" spans="2:9" ht="15.75" thickBot="1" x14ac:dyDescent="0.3">
      <c r="B131" s="65">
        <v>15</v>
      </c>
      <c r="C131" s="64" t="s">
        <v>774</v>
      </c>
      <c r="D131" s="63">
        <v>4</v>
      </c>
      <c r="E131" s="52">
        <v>750</v>
      </c>
      <c r="F131" s="62">
        <f t="shared" si="2"/>
        <v>3000</v>
      </c>
      <c r="G131" s="56">
        <v>9403</v>
      </c>
      <c r="H131" s="50">
        <v>10</v>
      </c>
      <c r="I131" s="49">
        <f t="shared" si="3"/>
        <v>300</v>
      </c>
    </row>
    <row r="132" spans="2:9" ht="15.75" thickBot="1" x14ac:dyDescent="0.3">
      <c r="B132" s="65">
        <v>16</v>
      </c>
      <c r="C132" s="64" t="s">
        <v>775</v>
      </c>
      <c r="D132" s="63">
        <v>1</v>
      </c>
      <c r="E132" s="52">
        <v>3000</v>
      </c>
      <c r="F132" s="62">
        <f t="shared" si="2"/>
        <v>3000</v>
      </c>
      <c r="G132" s="56"/>
      <c r="H132" s="50">
        <v>10</v>
      </c>
      <c r="I132" s="49">
        <f t="shared" si="3"/>
        <v>300</v>
      </c>
    </row>
    <row r="133" spans="2:9" s="15" customFormat="1" ht="13.5" thickBot="1" x14ac:dyDescent="0.25">
      <c r="B133" s="1032" t="s">
        <v>776</v>
      </c>
      <c r="C133" s="1033"/>
      <c r="D133" s="1033"/>
      <c r="E133" s="1034"/>
      <c r="F133" s="61">
        <f>SUM(F117:F132)</f>
        <v>77428</v>
      </c>
      <c r="G133" s="1027" t="s">
        <v>777</v>
      </c>
      <c r="H133" s="1028"/>
      <c r="I133" s="47">
        <f>SUM(I115:I132)</f>
        <v>13192.6</v>
      </c>
    </row>
    <row r="134" spans="2:9" ht="15.75" thickBot="1" x14ac:dyDescent="0.3">
      <c r="B134" s="1010" t="s">
        <v>192</v>
      </c>
      <c r="C134" s="1011"/>
      <c r="D134" s="1011"/>
      <c r="E134" s="1012"/>
      <c r="F134" s="60">
        <f>F133+F116</f>
        <v>79608</v>
      </c>
      <c r="G134" s="56"/>
      <c r="H134" s="50"/>
      <c r="I134" s="50"/>
    </row>
    <row r="135" spans="2:9" x14ac:dyDescent="0.25">
      <c r="B135" s="44" t="s">
        <v>778</v>
      </c>
      <c r="C135" s="43" t="s">
        <v>779</v>
      </c>
      <c r="D135" s="44"/>
      <c r="E135" s="44"/>
      <c r="F135" s="44"/>
    </row>
    <row r="137" spans="2:9" ht="15.75" thickBot="1" x14ac:dyDescent="0.3"/>
    <row r="138" spans="2:9" ht="31.5" customHeight="1" thickBot="1" x14ac:dyDescent="0.3">
      <c r="B138" s="1029" t="s">
        <v>780</v>
      </c>
      <c r="C138" s="1030"/>
      <c r="D138" s="1030"/>
      <c r="E138" s="1030"/>
      <c r="F138" s="1031"/>
      <c r="G138" s="1024" t="s">
        <v>781</v>
      </c>
      <c r="H138" s="1024" t="s">
        <v>754</v>
      </c>
      <c r="I138" s="1024" t="s">
        <v>755</v>
      </c>
    </row>
    <row r="139" spans="2:9" x14ac:dyDescent="0.25">
      <c r="B139" s="1038" t="s">
        <v>686</v>
      </c>
      <c r="C139" s="1040" t="s">
        <v>687</v>
      </c>
      <c r="D139" s="1040" t="s">
        <v>623</v>
      </c>
      <c r="E139" s="59" t="s">
        <v>588</v>
      </c>
      <c r="F139" s="59" t="s">
        <v>588</v>
      </c>
      <c r="G139" s="1025"/>
      <c r="H139" s="1025"/>
      <c r="I139" s="1025"/>
    </row>
    <row r="140" spans="2:9" ht="15.75" thickBot="1" x14ac:dyDescent="0.3">
      <c r="B140" s="1039"/>
      <c r="C140" s="1041"/>
      <c r="D140" s="1041"/>
      <c r="E140" s="53" t="s">
        <v>688</v>
      </c>
      <c r="F140" s="53" t="s">
        <v>689</v>
      </c>
      <c r="G140" s="1026"/>
      <c r="H140" s="1026"/>
      <c r="I140" s="1026"/>
    </row>
    <row r="141" spans="2:9" ht="15.75" thickBot="1" x14ac:dyDescent="0.3">
      <c r="B141" s="55">
        <v>1</v>
      </c>
      <c r="C141" s="54" t="s">
        <v>782</v>
      </c>
      <c r="D141" s="53">
        <v>1</v>
      </c>
      <c r="E141" s="52">
        <v>2180</v>
      </c>
      <c r="F141" s="51">
        <f>D141*E141</f>
        <v>2180</v>
      </c>
      <c r="G141" s="45"/>
      <c r="H141" s="50"/>
      <c r="I141" s="49"/>
    </row>
    <row r="142" spans="2:9" ht="15.75" thickBot="1" x14ac:dyDescent="0.3">
      <c r="B142" s="1010" t="s">
        <v>758</v>
      </c>
      <c r="C142" s="1011"/>
      <c r="D142" s="1011"/>
      <c r="E142" s="1012"/>
      <c r="F142" s="58">
        <f>F141</f>
        <v>2180</v>
      </c>
      <c r="G142" s="57"/>
      <c r="H142" s="57"/>
      <c r="I142" s="57"/>
    </row>
    <row r="143" spans="2:9" ht="15.75" thickBot="1" x14ac:dyDescent="0.3">
      <c r="B143" s="55">
        <v>1</v>
      </c>
      <c r="C143" s="54" t="s">
        <v>759</v>
      </c>
      <c r="D143" s="53">
        <v>4</v>
      </c>
      <c r="E143" s="52">
        <v>3000</v>
      </c>
      <c r="F143" s="51">
        <f t="shared" ref="F143:F159" si="4">D143*E143</f>
        <v>12000</v>
      </c>
      <c r="G143" s="56" t="s">
        <v>760</v>
      </c>
      <c r="H143" s="50">
        <v>5</v>
      </c>
      <c r="I143" s="49">
        <f t="shared" ref="I143:I159" si="5">F143/H143</f>
        <v>2400</v>
      </c>
    </row>
    <row r="144" spans="2:9" ht="25.5" customHeight="1" thickBot="1" x14ac:dyDescent="0.3">
      <c r="B144" s="55">
        <v>2</v>
      </c>
      <c r="C144" s="54" t="s">
        <v>761</v>
      </c>
      <c r="D144" s="53">
        <v>5</v>
      </c>
      <c r="E144" s="52">
        <v>2700</v>
      </c>
      <c r="F144" s="51">
        <f t="shared" si="4"/>
        <v>13500</v>
      </c>
      <c r="G144" s="56" t="s">
        <v>760</v>
      </c>
      <c r="H144" s="50">
        <v>5</v>
      </c>
      <c r="I144" s="49">
        <f t="shared" si="5"/>
        <v>2700</v>
      </c>
    </row>
    <row r="145" spans="2:9" ht="15.75" thickBot="1" x14ac:dyDescent="0.3">
      <c r="B145" s="55">
        <v>3</v>
      </c>
      <c r="C145" s="54" t="s">
        <v>762</v>
      </c>
      <c r="D145" s="53">
        <v>1</v>
      </c>
      <c r="E145" s="52">
        <v>900</v>
      </c>
      <c r="F145" s="51">
        <f t="shared" si="4"/>
        <v>900</v>
      </c>
      <c r="G145" s="56">
        <v>8443</v>
      </c>
      <c r="H145" s="50">
        <v>10</v>
      </c>
      <c r="I145" s="49">
        <f t="shared" si="5"/>
        <v>90</v>
      </c>
    </row>
    <row r="146" spans="2:9" ht="15.75" thickBot="1" x14ac:dyDescent="0.3">
      <c r="B146" s="55">
        <v>4</v>
      </c>
      <c r="C146" s="54" t="s">
        <v>763</v>
      </c>
      <c r="D146" s="53">
        <v>2</v>
      </c>
      <c r="E146" s="52">
        <v>850</v>
      </c>
      <c r="F146" s="51">
        <f t="shared" si="4"/>
        <v>1700</v>
      </c>
      <c r="G146" s="56">
        <v>9007</v>
      </c>
      <c r="H146" s="50">
        <v>10</v>
      </c>
      <c r="I146" s="49">
        <f t="shared" si="5"/>
        <v>170</v>
      </c>
    </row>
    <row r="147" spans="2:9" ht="15.75" thickBot="1" x14ac:dyDescent="0.3">
      <c r="B147" s="55">
        <v>5</v>
      </c>
      <c r="C147" s="54" t="s">
        <v>783</v>
      </c>
      <c r="D147" s="53">
        <v>30</v>
      </c>
      <c r="E147" s="52">
        <v>287</v>
      </c>
      <c r="F147" s="51">
        <f t="shared" si="4"/>
        <v>8610</v>
      </c>
      <c r="G147" s="56">
        <v>8517</v>
      </c>
      <c r="H147" s="50">
        <v>5</v>
      </c>
      <c r="I147" s="49">
        <f t="shared" si="5"/>
        <v>1722</v>
      </c>
    </row>
    <row r="148" spans="2:9" ht="15.75" thickBot="1" x14ac:dyDescent="0.3">
      <c r="B148" s="55">
        <v>6</v>
      </c>
      <c r="C148" s="54" t="s">
        <v>765</v>
      </c>
      <c r="D148" s="53">
        <v>2</v>
      </c>
      <c r="E148" s="52">
        <v>1500</v>
      </c>
      <c r="F148" s="51">
        <f t="shared" si="4"/>
        <v>3000</v>
      </c>
      <c r="G148" s="56">
        <v>9014</v>
      </c>
      <c r="H148" s="50">
        <v>10</v>
      </c>
      <c r="I148" s="49">
        <f t="shared" si="5"/>
        <v>300</v>
      </c>
    </row>
    <row r="149" spans="2:9" ht="15.75" thickBot="1" x14ac:dyDescent="0.3">
      <c r="B149" s="55">
        <v>7</v>
      </c>
      <c r="C149" s="54" t="s">
        <v>766</v>
      </c>
      <c r="D149" s="53">
        <v>1</v>
      </c>
      <c r="E149" s="52">
        <v>1900</v>
      </c>
      <c r="F149" s="51">
        <f t="shared" si="4"/>
        <v>1900</v>
      </c>
      <c r="G149" s="56">
        <v>8418</v>
      </c>
      <c r="H149" s="50">
        <v>10</v>
      </c>
      <c r="I149" s="49">
        <f t="shared" si="5"/>
        <v>190</v>
      </c>
    </row>
    <row r="150" spans="2:9" ht="15.75" thickBot="1" x14ac:dyDescent="0.3">
      <c r="B150" s="55">
        <v>8</v>
      </c>
      <c r="C150" s="54" t="s">
        <v>767</v>
      </c>
      <c r="D150" s="53">
        <v>1</v>
      </c>
      <c r="E150" s="52">
        <v>1000</v>
      </c>
      <c r="F150" s="51">
        <f t="shared" si="4"/>
        <v>1000</v>
      </c>
      <c r="G150" s="56">
        <v>7321</v>
      </c>
      <c r="H150" s="50">
        <v>10</v>
      </c>
      <c r="I150" s="49">
        <f t="shared" si="5"/>
        <v>100</v>
      </c>
    </row>
    <row r="151" spans="2:9" ht="15.75" thickBot="1" x14ac:dyDescent="0.3">
      <c r="B151" s="55">
        <v>9</v>
      </c>
      <c r="C151" s="54" t="s">
        <v>768</v>
      </c>
      <c r="D151" s="53">
        <v>1</v>
      </c>
      <c r="E151" s="52">
        <v>500</v>
      </c>
      <c r="F151" s="51">
        <f t="shared" si="4"/>
        <v>500</v>
      </c>
      <c r="G151" s="56">
        <v>8514</v>
      </c>
      <c r="H151" s="50">
        <v>10</v>
      </c>
      <c r="I151" s="49">
        <f t="shared" si="5"/>
        <v>50</v>
      </c>
    </row>
    <row r="152" spans="2:9" ht="15.75" thickBot="1" x14ac:dyDescent="0.3">
      <c r="B152" s="55">
        <v>10</v>
      </c>
      <c r="C152" s="54" t="s">
        <v>784</v>
      </c>
      <c r="D152" s="53">
        <v>4</v>
      </c>
      <c r="E152" s="52">
        <v>1300</v>
      </c>
      <c r="F152" s="51">
        <f t="shared" si="4"/>
        <v>5200</v>
      </c>
      <c r="G152" s="56">
        <v>9403</v>
      </c>
      <c r="H152" s="50">
        <v>10</v>
      </c>
      <c r="I152" s="49">
        <f t="shared" si="5"/>
        <v>520</v>
      </c>
    </row>
    <row r="153" spans="2:9" ht="15.75" thickBot="1" x14ac:dyDescent="0.3">
      <c r="B153" s="55">
        <v>11</v>
      </c>
      <c r="C153" s="54" t="s">
        <v>785</v>
      </c>
      <c r="D153" s="53">
        <v>6</v>
      </c>
      <c r="E153" s="52">
        <v>2100</v>
      </c>
      <c r="F153" s="51">
        <f t="shared" si="4"/>
        <v>12600</v>
      </c>
      <c r="G153" s="56">
        <v>8415</v>
      </c>
      <c r="H153" s="50">
        <v>10</v>
      </c>
      <c r="I153" s="49">
        <f t="shared" si="5"/>
        <v>1260</v>
      </c>
    </row>
    <row r="154" spans="2:9" ht="15.75" thickBot="1" x14ac:dyDescent="0.3">
      <c r="B154" s="55">
        <v>12</v>
      </c>
      <c r="C154" s="54" t="s">
        <v>770</v>
      </c>
      <c r="D154" s="53">
        <v>1</v>
      </c>
      <c r="E154" s="52">
        <v>650</v>
      </c>
      <c r="F154" s="51">
        <f t="shared" si="4"/>
        <v>650</v>
      </c>
      <c r="G154" s="56">
        <v>9403</v>
      </c>
      <c r="H154" s="50">
        <v>10</v>
      </c>
      <c r="I154" s="49">
        <f t="shared" si="5"/>
        <v>65</v>
      </c>
    </row>
    <row r="155" spans="2:9" ht="15.75" thickBot="1" x14ac:dyDescent="0.3">
      <c r="B155" s="55">
        <v>13</v>
      </c>
      <c r="C155" s="54" t="s">
        <v>771</v>
      </c>
      <c r="D155" s="53">
        <v>10</v>
      </c>
      <c r="E155" s="52">
        <v>250</v>
      </c>
      <c r="F155" s="51">
        <f t="shared" si="4"/>
        <v>2500</v>
      </c>
      <c r="G155" s="56">
        <v>9403</v>
      </c>
      <c r="H155" s="50">
        <v>10</v>
      </c>
      <c r="I155" s="49">
        <f t="shared" si="5"/>
        <v>250</v>
      </c>
    </row>
    <row r="156" spans="2:9" ht="15.75" thickBot="1" x14ac:dyDescent="0.3">
      <c r="B156" s="55">
        <v>14</v>
      </c>
      <c r="C156" s="54" t="s">
        <v>772</v>
      </c>
      <c r="D156" s="53">
        <v>6</v>
      </c>
      <c r="E156" s="52">
        <v>400</v>
      </c>
      <c r="F156" s="51">
        <f t="shared" si="4"/>
        <v>2400</v>
      </c>
      <c r="G156" s="56">
        <v>9403</v>
      </c>
      <c r="H156" s="50">
        <v>10</v>
      </c>
      <c r="I156" s="49">
        <f t="shared" si="5"/>
        <v>240</v>
      </c>
    </row>
    <row r="157" spans="2:9" ht="15.75" thickBot="1" x14ac:dyDescent="0.3">
      <c r="B157" s="55">
        <v>15</v>
      </c>
      <c r="C157" s="54" t="s">
        <v>773</v>
      </c>
      <c r="D157" s="53">
        <v>6</v>
      </c>
      <c r="E157" s="52">
        <v>670</v>
      </c>
      <c r="F157" s="51">
        <f t="shared" si="4"/>
        <v>4020</v>
      </c>
      <c r="G157" s="56">
        <v>9403</v>
      </c>
      <c r="H157" s="50">
        <v>10</v>
      </c>
      <c r="I157" s="49">
        <f t="shared" si="5"/>
        <v>402</v>
      </c>
    </row>
    <row r="158" spans="2:9" ht="15.75" thickBot="1" x14ac:dyDescent="0.3">
      <c r="B158" s="55">
        <v>16</v>
      </c>
      <c r="C158" s="54" t="s">
        <v>786</v>
      </c>
      <c r="D158" s="53">
        <v>4</v>
      </c>
      <c r="E158" s="52">
        <v>750</v>
      </c>
      <c r="F158" s="51">
        <f t="shared" si="4"/>
        <v>3000</v>
      </c>
      <c r="G158" s="56">
        <v>9403</v>
      </c>
      <c r="H158" s="50">
        <v>10</v>
      </c>
      <c r="I158" s="49">
        <f t="shared" si="5"/>
        <v>300</v>
      </c>
    </row>
    <row r="159" spans="2:9" ht="15.75" thickBot="1" x14ac:dyDescent="0.3">
      <c r="B159" s="55">
        <v>17</v>
      </c>
      <c r="C159" s="54" t="s">
        <v>775</v>
      </c>
      <c r="D159" s="53">
        <v>2</v>
      </c>
      <c r="E159" s="52">
        <v>3000</v>
      </c>
      <c r="F159" s="51">
        <f t="shared" si="4"/>
        <v>6000</v>
      </c>
      <c r="G159" s="45"/>
      <c r="H159" s="50">
        <v>10</v>
      </c>
      <c r="I159" s="49">
        <f t="shared" si="5"/>
        <v>600</v>
      </c>
    </row>
    <row r="160" spans="2:9" ht="15.75" thickBot="1" x14ac:dyDescent="0.3">
      <c r="B160" s="1032" t="s">
        <v>776</v>
      </c>
      <c r="C160" s="1033"/>
      <c r="D160" s="1033"/>
      <c r="E160" s="1034"/>
      <c r="F160" s="48">
        <f>SUM(F143:F159)</f>
        <v>79480</v>
      </c>
      <c r="G160" s="1027" t="s">
        <v>777</v>
      </c>
      <c r="H160" s="1028"/>
      <c r="I160" s="47">
        <f>SUM(I141:I159)</f>
        <v>11359</v>
      </c>
    </row>
    <row r="161" spans="2:9" ht="15.75" thickBot="1" x14ac:dyDescent="0.3">
      <c r="B161" s="1035" t="s">
        <v>787</v>
      </c>
      <c r="C161" s="1036"/>
      <c r="D161" s="1036"/>
      <c r="E161" s="1037"/>
      <c r="F161" s="46">
        <f>F142+F160</f>
        <v>81660</v>
      </c>
      <c r="G161" s="45"/>
      <c r="H161" s="45"/>
      <c r="I161" s="45"/>
    </row>
    <row r="162" spans="2:9" x14ac:dyDescent="0.25">
      <c r="B162" s="44" t="s">
        <v>778</v>
      </c>
      <c r="C162" s="43" t="s">
        <v>779</v>
      </c>
    </row>
    <row r="163" spans="2:9" x14ac:dyDescent="0.25">
      <c r="B163" s="44"/>
      <c r="C163" s="43"/>
    </row>
  </sheetData>
  <mergeCells count="34">
    <mergeCell ref="B160:E160"/>
    <mergeCell ref="G160:H160"/>
    <mergeCell ref="B161:E161"/>
    <mergeCell ref="I138:I140"/>
    <mergeCell ref="B139:B140"/>
    <mergeCell ref="C139:C140"/>
    <mergeCell ref="D139:D140"/>
    <mergeCell ref="B142:E142"/>
    <mergeCell ref="G133:H133"/>
    <mergeCell ref="B134:E134"/>
    <mergeCell ref="B138:F138"/>
    <mergeCell ref="G138:G140"/>
    <mergeCell ref="H138:H140"/>
    <mergeCell ref="B133:E133"/>
    <mergeCell ref="B58:E58"/>
    <mergeCell ref="G112:G114"/>
    <mergeCell ref="H112:H114"/>
    <mergeCell ref="I112:I114"/>
    <mergeCell ref="B113:B114"/>
    <mergeCell ref="C113:C114"/>
    <mergeCell ref="D113:D114"/>
    <mergeCell ref="B61:F61"/>
    <mergeCell ref="B62:B63"/>
    <mergeCell ref="C62:C63"/>
    <mergeCell ref="B10:G10"/>
    <mergeCell ref="B11:B12"/>
    <mergeCell ref="C11:C12"/>
    <mergeCell ref="D11:D12"/>
    <mergeCell ref="E11:E12"/>
    <mergeCell ref="B116:E116"/>
    <mergeCell ref="D62:D63"/>
    <mergeCell ref="E62:E63"/>
    <mergeCell ref="B109:E109"/>
    <mergeCell ref="B112:F112"/>
  </mergeCells>
  <pageMargins left="0.511811024" right="0.511811024" top="0.78740157499999996" bottom="0.78740157499999996" header="0.31496062000000002" footer="0.31496062000000002"/>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P118"/>
  <sheetViews>
    <sheetView topLeftCell="A26" workbookViewId="0"/>
  </sheetViews>
  <sheetFormatPr defaultColWidth="12.42578125" defaultRowHeight="15" x14ac:dyDescent="0.25"/>
  <cols>
    <col min="1" max="1" width="12.42578125" style="12"/>
    <col min="2" max="2" width="5.7109375" style="12" customWidth="1"/>
    <col min="3" max="3" width="43.28515625" style="88" customWidth="1"/>
    <col min="4" max="4" width="8.85546875" style="12" customWidth="1"/>
    <col min="5" max="5" width="11.42578125" style="87" customWidth="1"/>
    <col min="6" max="6" width="12.42578125" style="86"/>
    <col min="7" max="7" width="40.28515625" style="12" customWidth="1"/>
    <col min="8" max="8" width="16.28515625" style="85" customWidth="1"/>
    <col min="9" max="9" width="11.28515625" style="84" customWidth="1"/>
    <col min="10" max="16384" width="12.42578125" style="12"/>
  </cols>
  <sheetData>
    <row r="1" spans="2:16" x14ac:dyDescent="0.25">
      <c r="B1" s="118"/>
    </row>
    <row r="2" spans="2:16" x14ac:dyDescent="0.25">
      <c r="C2" s="250" t="s">
        <v>788</v>
      </c>
      <c r="D2" s="1042">
        <f>F25</f>
        <v>3750.4600000000005</v>
      </c>
      <c r="E2" s="1042"/>
    </row>
    <row r="3" spans="2:16" x14ac:dyDescent="0.25">
      <c r="C3" s="250" t="s">
        <v>789</v>
      </c>
      <c r="D3" s="1042">
        <f>F80</f>
        <v>44513.950000000004</v>
      </c>
      <c r="E3" s="1042"/>
    </row>
    <row r="4" spans="2:16" x14ac:dyDescent="0.25">
      <c r="C4" s="250" t="s">
        <v>790</v>
      </c>
      <c r="D4" s="1042">
        <f>I52</f>
        <v>9618.9810000000016</v>
      </c>
      <c r="E4" s="1042"/>
    </row>
    <row r="5" spans="2:16" x14ac:dyDescent="0.25">
      <c r="C5" s="250" t="s">
        <v>791</v>
      </c>
      <c r="D5" s="1042">
        <f>I116</f>
        <v>82156.172500000015</v>
      </c>
      <c r="E5" s="1042"/>
    </row>
    <row r="6" spans="2:16" x14ac:dyDescent="0.25">
      <c r="C6" s="251" t="s">
        <v>792</v>
      </c>
      <c r="D6" s="1043">
        <f>D2+D3</f>
        <v>48264.41</v>
      </c>
      <c r="E6" s="1043"/>
      <c r="F6" s="249"/>
      <c r="G6" s="78" t="s">
        <v>793</v>
      </c>
      <c r="H6" s="319">
        <f>D4+D5</f>
        <v>91775.153500000015</v>
      </c>
      <c r="I6" s="270"/>
    </row>
    <row r="7" spans="2:16" x14ac:dyDescent="0.25">
      <c r="C7" s="82" t="s">
        <v>340</v>
      </c>
      <c r="D7" s="1045">
        <f>H7</f>
        <v>0.79693099999999994</v>
      </c>
      <c r="E7" s="1046"/>
      <c r="F7" s="249"/>
      <c r="G7" s="78" t="s">
        <v>794</v>
      </c>
      <c r="H7" s="309">
        <f>'custos unitários para atualizar'!$B$4</f>
        <v>0.79693099999999994</v>
      </c>
      <c r="I7" s="662"/>
    </row>
    <row r="8" spans="2:16" x14ac:dyDescent="0.25">
      <c r="C8" s="82" t="s">
        <v>342</v>
      </c>
      <c r="D8" s="1047">
        <f>D6*(1+D7)</f>
        <v>86727.814525709997</v>
      </c>
      <c r="E8" s="1048"/>
      <c r="F8" s="249"/>
      <c r="G8" s="78" t="s">
        <v>342</v>
      </c>
      <c r="H8" s="665">
        <f>H6*(1+H7)</f>
        <v>164913.6183539085</v>
      </c>
      <c r="I8" s="666"/>
    </row>
    <row r="9" spans="2:16" x14ac:dyDescent="0.25">
      <c r="C9" s="252" t="s">
        <v>795</v>
      </c>
      <c r="D9" s="1044">
        <f>F52+F116</f>
        <v>755255.85999999975</v>
      </c>
      <c r="E9" s="1044"/>
      <c r="F9" s="249"/>
      <c r="G9" s="18"/>
      <c r="H9" s="117"/>
    </row>
    <row r="10" spans="2:16" x14ac:dyDescent="0.25">
      <c r="C10" s="12"/>
      <c r="E10" s="12"/>
    </row>
    <row r="11" spans="2:16" ht="15.75" thickBot="1" x14ac:dyDescent="0.3"/>
    <row r="12" spans="2:16" ht="15.75" thickBot="1" x14ac:dyDescent="0.3">
      <c r="B12" s="1029" t="s">
        <v>796</v>
      </c>
      <c r="C12" s="1030"/>
      <c r="D12" s="1030"/>
      <c r="E12" s="1030"/>
      <c r="F12" s="1030"/>
      <c r="G12" s="1049" t="s">
        <v>797</v>
      </c>
      <c r="H12" s="1049"/>
      <c r="I12" s="1049"/>
      <c r="P12" s="296">
        <f>24551.6</f>
        <v>24551.599999999999</v>
      </c>
    </row>
    <row r="13" spans="2:16" ht="15.75" thickBot="1" x14ac:dyDescent="0.3">
      <c r="B13" s="1050" t="s">
        <v>686</v>
      </c>
      <c r="C13" s="1052" t="s">
        <v>687</v>
      </c>
      <c r="D13" s="1054" t="s">
        <v>623</v>
      </c>
      <c r="E13" s="109" t="s">
        <v>588</v>
      </c>
      <c r="F13" s="116" t="s">
        <v>588</v>
      </c>
      <c r="G13" s="1049"/>
      <c r="H13" s="1049"/>
      <c r="I13" s="1049"/>
      <c r="P13" s="296">
        <v>92900.15</v>
      </c>
    </row>
    <row r="14" spans="2:16" ht="16.5" customHeight="1" thickBot="1" x14ac:dyDescent="0.3">
      <c r="B14" s="1051"/>
      <c r="C14" s="1053"/>
      <c r="D14" s="1055"/>
      <c r="E14" s="107" t="s">
        <v>688</v>
      </c>
      <c r="F14" s="115" t="s">
        <v>689</v>
      </c>
      <c r="G14" s="1049"/>
      <c r="H14" s="1049"/>
      <c r="I14" s="1049"/>
    </row>
    <row r="15" spans="2:16" ht="15.75" thickBot="1" x14ac:dyDescent="0.3">
      <c r="B15" s="101">
        <v>1</v>
      </c>
      <c r="C15" s="100" t="s">
        <v>798</v>
      </c>
      <c r="D15" s="99">
        <v>1</v>
      </c>
      <c r="E15" s="98">
        <v>35.880000000000003</v>
      </c>
      <c r="F15" s="114">
        <v>35.880000000000003</v>
      </c>
      <c r="G15" s="1049"/>
      <c r="H15" s="1049"/>
      <c r="I15" s="1049"/>
    </row>
    <row r="16" spans="2:16" ht="15.75" thickBot="1" x14ac:dyDescent="0.3">
      <c r="B16" s="101">
        <v>2</v>
      </c>
      <c r="C16" s="100" t="s">
        <v>799</v>
      </c>
      <c r="D16" s="99">
        <v>1</v>
      </c>
      <c r="E16" s="98">
        <v>35.880000000000003</v>
      </c>
      <c r="F16" s="114">
        <v>35.880000000000003</v>
      </c>
      <c r="G16" s="1049"/>
      <c r="H16" s="1049"/>
      <c r="I16" s="1049"/>
    </row>
    <row r="17" spans="2:9" ht="15.75" thickBot="1" x14ac:dyDescent="0.3">
      <c r="B17" s="101">
        <v>3</v>
      </c>
      <c r="C17" s="100" t="s">
        <v>800</v>
      </c>
      <c r="D17" s="99">
        <v>1</v>
      </c>
      <c r="E17" s="98">
        <v>332.25</v>
      </c>
      <c r="F17" s="114">
        <v>332.25</v>
      </c>
      <c r="G17" s="1049"/>
      <c r="H17" s="1049"/>
      <c r="I17" s="1049"/>
    </row>
    <row r="18" spans="2:9" ht="15.75" thickBot="1" x14ac:dyDescent="0.3">
      <c r="B18" s="101">
        <v>4</v>
      </c>
      <c r="C18" s="100" t="s">
        <v>801</v>
      </c>
      <c r="D18" s="99">
        <v>1</v>
      </c>
      <c r="E18" s="98">
        <v>35.880000000000003</v>
      </c>
      <c r="F18" s="114">
        <v>35.880000000000003</v>
      </c>
      <c r="G18" s="1049"/>
      <c r="H18" s="1049"/>
      <c r="I18" s="1049"/>
    </row>
    <row r="19" spans="2:9" ht="15.75" thickBot="1" x14ac:dyDescent="0.3">
      <c r="B19" s="101">
        <v>5</v>
      </c>
      <c r="C19" s="100" t="s">
        <v>802</v>
      </c>
      <c r="D19" s="99">
        <v>1</v>
      </c>
      <c r="E19" s="98">
        <v>517.35</v>
      </c>
      <c r="F19" s="114">
        <v>517.35</v>
      </c>
      <c r="G19" s="1049"/>
      <c r="H19" s="1049"/>
      <c r="I19" s="1049"/>
    </row>
    <row r="20" spans="2:9" ht="15.75" thickBot="1" x14ac:dyDescent="0.3">
      <c r="B20" s="101">
        <v>6</v>
      </c>
      <c r="C20" s="100" t="s">
        <v>803</v>
      </c>
      <c r="D20" s="99">
        <v>1</v>
      </c>
      <c r="E20" s="98">
        <v>998.98</v>
      </c>
      <c r="F20" s="114">
        <v>998.98</v>
      </c>
      <c r="G20" s="1049"/>
      <c r="H20" s="1049"/>
      <c r="I20" s="1049"/>
    </row>
    <row r="21" spans="2:9" ht="15.75" thickBot="1" x14ac:dyDescent="0.3">
      <c r="B21" s="101">
        <v>7</v>
      </c>
      <c r="C21" s="100" t="s">
        <v>804</v>
      </c>
      <c r="D21" s="99">
        <v>1</v>
      </c>
      <c r="E21" s="98">
        <v>600</v>
      </c>
      <c r="F21" s="114">
        <v>600</v>
      </c>
      <c r="G21" s="1049"/>
      <c r="H21" s="1049"/>
      <c r="I21" s="1049"/>
    </row>
    <row r="22" spans="2:9" ht="13.5" customHeight="1" thickBot="1" x14ac:dyDescent="0.3">
      <c r="B22" s="101">
        <v>8</v>
      </c>
      <c r="C22" s="100" t="s">
        <v>805</v>
      </c>
      <c r="D22" s="99">
        <v>1</v>
      </c>
      <c r="E22" s="98">
        <v>573.75</v>
      </c>
      <c r="F22" s="114">
        <v>573.75</v>
      </c>
      <c r="G22" s="1049"/>
      <c r="H22" s="1049"/>
      <c r="I22" s="1049"/>
    </row>
    <row r="23" spans="2:9" ht="23.25" thickBot="1" x14ac:dyDescent="0.3">
      <c r="B23" s="101">
        <v>9</v>
      </c>
      <c r="C23" s="100" t="s">
        <v>806</v>
      </c>
      <c r="D23" s="99">
        <v>1</v>
      </c>
      <c r="E23" s="98">
        <v>382.9</v>
      </c>
      <c r="F23" s="98">
        <v>382.9</v>
      </c>
      <c r="G23" s="1024" t="s">
        <v>753</v>
      </c>
      <c r="H23" s="1024" t="s">
        <v>754</v>
      </c>
      <c r="I23" s="1024" t="s">
        <v>755</v>
      </c>
    </row>
    <row r="24" spans="2:9" ht="15.75" thickBot="1" x14ac:dyDescent="0.3">
      <c r="B24" s="101">
        <v>10</v>
      </c>
      <c r="C24" s="100" t="s">
        <v>807</v>
      </c>
      <c r="D24" s="99">
        <v>1</v>
      </c>
      <c r="E24" s="98">
        <v>237.59</v>
      </c>
      <c r="F24" s="98">
        <v>237.59</v>
      </c>
      <c r="G24" s="1025"/>
      <c r="H24" s="1025"/>
      <c r="I24" s="1025"/>
    </row>
    <row r="25" spans="2:9" ht="13.5" customHeight="1" thickBot="1" x14ac:dyDescent="0.3">
      <c r="B25" s="1056" t="s">
        <v>808</v>
      </c>
      <c r="C25" s="1057"/>
      <c r="D25" s="1057"/>
      <c r="E25" s="1058"/>
      <c r="F25" s="105">
        <f>SUM(F15:F24)</f>
        <v>3750.4600000000005</v>
      </c>
      <c r="G25" s="1026"/>
      <c r="H25" s="1026"/>
      <c r="I25" s="1026"/>
    </row>
    <row r="26" spans="2:9" ht="15.75" thickBot="1" x14ac:dyDescent="0.3">
      <c r="B26" s="101">
        <v>1</v>
      </c>
      <c r="C26" s="100" t="s">
        <v>809</v>
      </c>
      <c r="D26" s="99">
        <v>1</v>
      </c>
      <c r="E26" s="98">
        <v>575</v>
      </c>
      <c r="F26" s="98">
        <v>575</v>
      </c>
      <c r="G26" s="92">
        <v>82</v>
      </c>
      <c r="H26" s="113">
        <v>5</v>
      </c>
      <c r="I26" s="96">
        <f t="shared" ref="I26:I51" si="0">F26/H26</f>
        <v>115</v>
      </c>
    </row>
    <row r="27" spans="2:9" ht="15.75" thickBot="1" x14ac:dyDescent="0.3">
      <c r="B27" s="101">
        <v>2</v>
      </c>
      <c r="C27" s="100" t="s">
        <v>810</v>
      </c>
      <c r="D27" s="99">
        <v>1</v>
      </c>
      <c r="E27" s="98">
        <v>600</v>
      </c>
      <c r="F27" s="98">
        <v>600</v>
      </c>
      <c r="G27" s="92">
        <v>82</v>
      </c>
      <c r="H27" s="113">
        <v>5</v>
      </c>
      <c r="I27" s="96">
        <f t="shared" si="0"/>
        <v>120</v>
      </c>
    </row>
    <row r="28" spans="2:9" ht="15.75" thickBot="1" x14ac:dyDescent="0.3">
      <c r="B28" s="101">
        <v>3</v>
      </c>
      <c r="C28" s="100" t="s">
        <v>811</v>
      </c>
      <c r="D28" s="99">
        <v>1</v>
      </c>
      <c r="E28" s="98">
        <v>332.25</v>
      </c>
      <c r="F28" s="98">
        <v>332.25</v>
      </c>
      <c r="G28" s="92">
        <v>84</v>
      </c>
      <c r="H28" s="113">
        <v>10</v>
      </c>
      <c r="I28" s="96">
        <f t="shared" si="0"/>
        <v>33.225000000000001</v>
      </c>
    </row>
    <row r="29" spans="2:9" ht="15.75" thickBot="1" x14ac:dyDescent="0.3">
      <c r="B29" s="101">
        <v>4</v>
      </c>
      <c r="C29" s="100" t="s">
        <v>812</v>
      </c>
      <c r="D29" s="99">
        <v>1</v>
      </c>
      <c r="E29" s="98">
        <v>3927</v>
      </c>
      <c r="F29" s="98">
        <v>3927</v>
      </c>
      <c r="G29" s="92"/>
      <c r="H29" s="113">
        <v>5</v>
      </c>
      <c r="I29" s="96">
        <f t="shared" si="0"/>
        <v>785.4</v>
      </c>
    </row>
    <row r="30" spans="2:9" ht="15.75" thickBot="1" x14ac:dyDescent="0.3">
      <c r="B30" s="101">
        <v>5</v>
      </c>
      <c r="C30" s="100" t="s">
        <v>813</v>
      </c>
      <c r="D30" s="99">
        <v>1</v>
      </c>
      <c r="E30" s="98">
        <v>332.25</v>
      </c>
      <c r="F30" s="98">
        <v>332.25</v>
      </c>
      <c r="G30" s="92"/>
      <c r="H30" s="113">
        <v>5</v>
      </c>
      <c r="I30" s="96">
        <f t="shared" si="0"/>
        <v>66.45</v>
      </c>
    </row>
    <row r="31" spans="2:9" ht="15.75" thickBot="1" x14ac:dyDescent="0.3">
      <c r="B31" s="101">
        <v>6</v>
      </c>
      <c r="C31" s="100" t="s">
        <v>814</v>
      </c>
      <c r="D31" s="99">
        <v>1</v>
      </c>
      <c r="E31" s="98">
        <v>3927</v>
      </c>
      <c r="F31" s="98">
        <v>3927</v>
      </c>
      <c r="G31" s="92">
        <v>84</v>
      </c>
      <c r="H31" s="113">
        <v>10</v>
      </c>
      <c r="I31" s="96">
        <f t="shared" si="0"/>
        <v>392.7</v>
      </c>
    </row>
    <row r="32" spans="2:9" ht="15.75" thickBot="1" x14ac:dyDescent="0.3">
      <c r="B32" s="101">
        <v>7</v>
      </c>
      <c r="C32" s="100" t="s">
        <v>815</v>
      </c>
      <c r="D32" s="99">
        <v>1</v>
      </c>
      <c r="E32" s="98">
        <v>1315</v>
      </c>
      <c r="F32" s="98">
        <v>1315</v>
      </c>
      <c r="G32" s="92">
        <v>84</v>
      </c>
      <c r="H32" s="113">
        <v>10</v>
      </c>
      <c r="I32" s="96">
        <f t="shared" si="0"/>
        <v>131.5</v>
      </c>
    </row>
    <row r="33" spans="2:10" ht="15.75" thickBot="1" x14ac:dyDescent="0.3">
      <c r="B33" s="101">
        <v>8</v>
      </c>
      <c r="C33" s="100" t="s">
        <v>816</v>
      </c>
      <c r="D33" s="99">
        <v>1</v>
      </c>
      <c r="E33" s="98">
        <v>307.99</v>
      </c>
      <c r="F33" s="98">
        <v>307.99</v>
      </c>
      <c r="G33" s="92"/>
      <c r="H33" s="113">
        <v>10</v>
      </c>
      <c r="I33" s="96">
        <f t="shared" si="0"/>
        <v>30.798999999999999</v>
      </c>
    </row>
    <row r="34" spans="2:10" ht="15.75" thickBot="1" x14ac:dyDescent="0.3">
      <c r="B34" s="101">
        <v>9</v>
      </c>
      <c r="C34" s="100" t="s">
        <v>817</v>
      </c>
      <c r="D34" s="99">
        <v>1</v>
      </c>
      <c r="E34" s="98">
        <v>288.8</v>
      </c>
      <c r="F34" s="98">
        <v>288.8</v>
      </c>
      <c r="G34" s="92"/>
      <c r="H34" s="113">
        <v>10</v>
      </c>
      <c r="I34" s="96">
        <f t="shared" si="0"/>
        <v>28.880000000000003</v>
      </c>
    </row>
    <row r="35" spans="2:10" ht="15.75" thickBot="1" x14ac:dyDescent="0.3">
      <c r="B35" s="101">
        <v>10</v>
      </c>
      <c r="C35" s="100" t="s">
        <v>818</v>
      </c>
      <c r="D35" s="99">
        <v>1</v>
      </c>
      <c r="E35" s="98">
        <v>387.19</v>
      </c>
      <c r="F35" s="98">
        <v>387.19</v>
      </c>
      <c r="G35" s="92">
        <v>84</v>
      </c>
      <c r="H35" s="113">
        <v>10</v>
      </c>
      <c r="I35" s="96">
        <f t="shared" si="0"/>
        <v>38.719000000000001</v>
      </c>
    </row>
    <row r="36" spans="2:10" ht="15.75" thickBot="1" x14ac:dyDescent="0.3">
      <c r="B36" s="101">
        <v>11</v>
      </c>
      <c r="C36" s="100" t="s">
        <v>819</v>
      </c>
      <c r="D36" s="99">
        <v>1</v>
      </c>
      <c r="E36" s="98">
        <v>3499</v>
      </c>
      <c r="F36" s="98">
        <v>3499</v>
      </c>
      <c r="G36" s="92"/>
      <c r="H36" s="113">
        <v>5</v>
      </c>
      <c r="I36" s="96">
        <f t="shared" si="0"/>
        <v>699.8</v>
      </c>
    </row>
    <row r="37" spans="2:10" ht="15.75" thickBot="1" x14ac:dyDescent="0.3">
      <c r="B37" s="101">
        <v>12</v>
      </c>
      <c r="C37" s="100" t="s">
        <v>820</v>
      </c>
      <c r="D37" s="99">
        <v>1</v>
      </c>
      <c r="E37" s="98">
        <v>241.2</v>
      </c>
      <c r="F37" s="98">
        <v>241.2</v>
      </c>
      <c r="G37" s="92"/>
      <c r="H37" s="113">
        <v>5</v>
      </c>
      <c r="I37" s="96">
        <f t="shared" si="0"/>
        <v>48.239999999999995</v>
      </c>
    </row>
    <row r="38" spans="2:10" ht="15.75" thickBot="1" x14ac:dyDescent="0.3">
      <c r="B38" s="101">
        <v>13</v>
      </c>
      <c r="C38" s="100" t="s">
        <v>821</v>
      </c>
      <c r="D38" s="99">
        <v>1</v>
      </c>
      <c r="E38" s="98">
        <v>566.32000000000005</v>
      </c>
      <c r="F38" s="98">
        <v>566.32000000000005</v>
      </c>
      <c r="G38" s="92"/>
      <c r="H38" s="113">
        <v>5</v>
      </c>
      <c r="I38" s="96">
        <f t="shared" si="0"/>
        <v>113.26400000000001</v>
      </c>
    </row>
    <row r="39" spans="2:10" ht="15.75" thickBot="1" x14ac:dyDescent="0.3">
      <c r="B39" s="101">
        <v>14</v>
      </c>
      <c r="C39" s="100" t="s">
        <v>822</v>
      </c>
      <c r="D39" s="99">
        <v>1</v>
      </c>
      <c r="E39" s="98">
        <v>79</v>
      </c>
      <c r="F39" s="98">
        <v>79</v>
      </c>
      <c r="G39" s="92">
        <v>84</v>
      </c>
      <c r="H39" s="113">
        <v>10</v>
      </c>
      <c r="I39" s="96">
        <f t="shared" si="0"/>
        <v>7.9</v>
      </c>
    </row>
    <row r="40" spans="2:10" ht="15.75" thickBot="1" x14ac:dyDescent="0.3">
      <c r="B40" s="101">
        <v>15</v>
      </c>
      <c r="C40" s="100" t="s">
        <v>823</v>
      </c>
      <c r="D40" s="99">
        <v>1</v>
      </c>
      <c r="E40" s="98">
        <v>8325</v>
      </c>
      <c r="F40" s="98">
        <v>8325</v>
      </c>
      <c r="G40" s="92"/>
      <c r="H40" s="113">
        <v>5</v>
      </c>
      <c r="I40" s="96">
        <f t="shared" si="0"/>
        <v>1665</v>
      </c>
    </row>
    <row r="41" spans="2:10" ht="15.75" thickBot="1" x14ac:dyDescent="0.3">
      <c r="B41" s="101">
        <v>16</v>
      </c>
      <c r="C41" s="100" t="s">
        <v>824</v>
      </c>
      <c r="D41" s="99">
        <v>1</v>
      </c>
      <c r="E41" s="98">
        <v>2953</v>
      </c>
      <c r="F41" s="98">
        <v>2953</v>
      </c>
      <c r="G41" s="92"/>
      <c r="H41" s="113">
        <v>5</v>
      </c>
      <c r="I41" s="96">
        <f t="shared" si="0"/>
        <v>590.6</v>
      </c>
    </row>
    <row r="42" spans="2:10" ht="15.75" thickBot="1" x14ac:dyDescent="0.3">
      <c r="B42" s="101">
        <v>17</v>
      </c>
      <c r="C42" s="100" t="s">
        <v>825</v>
      </c>
      <c r="D42" s="99">
        <v>1</v>
      </c>
      <c r="E42" s="98">
        <v>18466.29</v>
      </c>
      <c r="F42" s="98">
        <v>18466.29</v>
      </c>
      <c r="G42" s="92"/>
      <c r="H42" s="113">
        <v>5</v>
      </c>
      <c r="I42" s="96">
        <f t="shared" si="0"/>
        <v>3693.2580000000003</v>
      </c>
      <c r="J42" s="102">
        <f>F42/$D$9</f>
        <v>2.4450376326772237E-2</v>
      </c>
    </row>
    <row r="43" spans="2:10" ht="15.75" thickBot="1" x14ac:dyDescent="0.3">
      <c r="B43" s="101">
        <v>18</v>
      </c>
      <c r="C43" s="100" t="s">
        <v>826</v>
      </c>
      <c r="D43" s="99">
        <v>1</v>
      </c>
      <c r="E43" s="98">
        <v>972.91</v>
      </c>
      <c r="F43" s="98">
        <v>972.91</v>
      </c>
      <c r="G43" s="92">
        <v>82</v>
      </c>
      <c r="H43" s="113">
        <v>5</v>
      </c>
      <c r="I43" s="96">
        <f t="shared" si="0"/>
        <v>194.58199999999999</v>
      </c>
    </row>
    <row r="44" spans="2:10" ht="15.75" thickBot="1" x14ac:dyDescent="0.3">
      <c r="B44" s="101">
        <v>19</v>
      </c>
      <c r="C44" s="100" t="s">
        <v>827</v>
      </c>
      <c r="D44" s="99">
        <v>1</v>
      </c>
      <c r="E44" s="98">
        <v>979.99</v>
      </c>
      <c r="F44" s="98">
        <v>979.99</v>
      </c>
      <c r="G44" s="92"/>
      <c r="H44" s="113">
        <v>5</v>
      </c>
      <c r="I44" s="96">
        <f t="shared" si="0"/>
        <v>195.99799999999999</v>
      </c>
    </row>
    <row r="45" spans="2:10" ht="15.75" thickBot="1" x14ac:dyDescent="0.3">
      <c r="B45" s="101">
        <v>20</v>
      </c>
      <c r="C45" s="100" t="s">
        <v>828</v>
      </c>
      <c r="D45" s="99">
        <v>1</v>
      </c>
      <c r="E45" s="98">
        <v>603.99</v>
      </c>
      <c r="F45" s="98">
        <v>603.99</v>
      </c>
      <c r="G45" s="92"/>
      <c r="H45" s="113">
        <v>5</v>
      </c>
      <c r="I45" s="96">
        <f t="shared" si="0"/>
        <v>120.798</v>
      </c>
    </row>
    <row r="46" spans="2:10" ht="15.75" thickBot="1" x14ac:dyDescent="0.3">
      <c r="B46" s="101">
        <v>21</v>
      </c>
      <c r="C46" s="100" t="s">
        <v>829</v>
      </c>
      <c r="D46" s="99">
        <v>1</v>
      </c>
      <c r="E46" s="98">
        <v>1100</v>
      </c>
      <c r="F46" s="98">
        <v>1100</v>
      </c>
      <c r="G46" s="92">
        <v>90</v>
      </c>
      <c r="H46" s="113">
        <v>10</v>
      </c>
      <c r="I46" s="96">
        <f t="shared" si="0"/>
        <v>110</v>
      </c>
    </row>
    <row r="47" spans="2:10" ht="15.75" thickBot="1" x14ac:dyDescent="0.3">
      <c r="B47" s="101">
        <v>22</v>
      </c>
      <c r="C47" s="100" t="s">
        <v>830</v>
      </c>
      <c r="D47" s="99">
        <v>1</v>
      </c>
      <c r="E47" s="98">
        <v>209.9</v>
      </c>
      <c r="F47" s="98">
        <v>209.9</v>
      </c>
      <c r="G47" s="92"/>
      <c r="H47" s="113">
        <v>5</v>
      </c>
      <c r="I47" s="96">
        <f t="shared" si="0"/>
        <v>41.980000000000004</v>
      </c>
    </row>
    <row r="48" spans="2:10" ht="15.75" thickBot="1" x14ac:dyDescent="0.3">
      <c r="B48" s="101">
        <v>23</v>
      </c>
      <c r="C48" s="100" t="s">
        <v>831</v>
      </c>
      <c r="D48" s="99">
        <v>1</v>
      </c>
      <c r="E48" s="98">
        <v>420</v>
      </c>
      <c r="F48" s="98">
        <v>420</v>
      </c>
      <c r="G48" s="92"/>
      <c r="H48" s="113">
        <v>5</v>
      </c>
      <c r="I48" s="96">
        <f t="shared" si="0"/>
        <v>84</v>
      </c>
    </row>
    <row r="49" spans="2:9" ht="15.75" thickBot="1" x14ac:dyDescent="0.3">
      <c r="B49" s="101">
        <v>24</v>
      </c>
      <c r="C49" s="100" t="s">
        <v>832</v>
      </c>
      <c r="D49" s="99">
        <v>1</v>
      </c>
      <c r="E49" s="98">
        <v>169.1</v>
      </c>
      <c r="F49" s="98">
        <v>169.1</v>
      </c>
      <c r="G49" s="92">
        <v>90</v>
      </c>
      <c r="H49" s="113">
        <v>10</v>
      </c>
      <c r="I49" s="96">
        <f t="shared" si="0"/>
        <v>16.91</v>
      </c>
    </row>
    <row r="50" spans="2:9" ht="15.75" thickBot="1" x14ac:dyDescent="0.3">
      <c r="B50" s="101">
        <v>25</v>
      </c>
      <c r="C50" s="100" t="s">
        <v>833</v>
      </c>
      <c r="D50" s="99">
        <v>1</v>
      </c>
      <c r="E50" s="98">
        <v>1857.99</v>
      </c>
      <c r="F50" s="98">
        <v>1857.99</v>
      </c>
      <c r="G50" s="92">
        <v>84</v>
      </c>
      <c r="H50" s="113">
        <v>10</v>
      </c>
      <c r="I50" s="96">
        <f t="shared" si="0"/>
        <v>185.79900000000001</v>
      </c>
    </row>
    <row r="51" spans="2:9" ht="15.75" thickBot="1" x14ac:dyDescent="0.3">
      <c r="B51" s="101">
        <v>26</v>
      </c>
      <c r="C51" s="100" t="s">
        <v>834</v>
      </c>
      <c r="D51" s="99">
        <v>1</v>
      </c>
      <c r="E51" s="98">
        <v>1081.79</v>
      </c>
      <c r="F51" s="98">
        <v>1081.79</v>
      </c>
      <c r="G51" s="112">
        <v>84</v>
      </c>
      <c r="H51" s="111">
        <v>10</v>
      </c>
      <c r="I51" s="96">
        <f t="shared" si="0"/>
        <v>108.179</v>
      </c>
    </row>
    <row r="52" spans="2:9" ht="15.75" thickBot="1" x14ac:dyDescent="0.3">
      <c r="B52" s="1071" t="s">
        <v>835</v>
      </c>
      <c r="C52" s="1072"/>
      <c r="D52" s="1072"/>
      <c r="E52" s="1073"/>
      <c r="F52" s="110">
        <f>SUM(F26:F51)</f>
        <v>53517.96</v>
      </c>
      <c r="G52" s="1027" t="s">
        <v>777</v>
      </c>
      <c r="H52" s="1028"/>
      <c r="I52" s="94">
        <f>SUM(I26:I51)</f>
        <v>9618.9810000000016</v>
      </c>
    </row>
    <row r="53" spans="2:9" ht="15.75" thickBot="1" x14ac:dyDescent="0.3">
      <c r="B53" s="1059" t="s">
        <v>836</v>
      </c>
      <c r="C53" s="1060"/>
      <c r="D53" s="1060"/>
      <c r="E53" s="1061"/>
      <c r="F53" s="93">
        <f>F25+F52</f>
        <v>57268.42</v>
      </c>
    </row>
    <row r="54" spans="2:9" x14ac:dyDescent="0.25">
      <c r="B54" s="18" t="s">
        <v>778</v>
      </c>
      <c r="C54" s="89" t="s">
        <v>837</v>
      </c>
    </row>
    <row r="55" spans="2:9" ht="15.75" thickBot="1" x14ac:dyDescent="0.3"/>
    <row r="56" spans="2:9" ht="13.5" customHeight="1" thickBot="1" x14ac:dyDescent="0.3">
      <c r="B56" s="1029" t="s">
        <v>838</v>
      </c>
      <c r="C56" s="1030"/>
      <c r="D56" s="1030"/>
      <c r="E56" s="1030"/>
      <c r="F56" s="1031"/>
      <c r="G56" s="1062" t="s">
        <v>80</v>
      </c>
      <c r="H56" s="1063"/>
      <c r="I56" s="1064"/>
    </row>
    <row r="57" spans="2:9" x14ac:dyDescent="0.25">
      <c r="B57" s="1050" t="s">
        <v>686</v>
      </c>
      <c r="C57" s="1054" t="s">
        <v>687</v>
      </c>
      <c r="D57" s="1054" t="s">
        <v>623</v>
      </c>
      <c r="E57" s="109" t="s">
        <v>588</v>
      </c>
      <c r="F57" s="108" t="s">
        <v>588</v>
      </c>
      <c r="G57" s="1065"/>
      <c r="H57" s="1066"/>
      <c r="I57" s="1067"/>
    </row>
    <row r="58" spans="2:9" ht="15.75" thickBot="1" x14ac:dyDescent="0.3">
      <c r="B58" s="1051"/>
      <c r="C58" s="1055"/>
      <c r="D58" s="1055"/>
      <c r="E58" s="107" t="s">
        <v>688</v>
      </c>
      <c r="F58" s="106" t="s">
        <v>689</v>
      </c>
      <c r="G58" s="1065"/>
      <c r="H58" s="1066"/>
      <c r="I58" s="1067"/>
    </row>
    <row r="59" spans="2:9" ht="15.75" thickBot="1" x14ac:dyDescent="0.3">
      <c r="B59" s="101">
        <v>1</v>
      </c>
      <c r="C59" s="100" t="s">
        <v>839</v>
      </c>
      <c r="D59" s="99">
        <v>5</v>
      </c>
      <c r="E59" s="98">
        <v>22.41</v>
      </c>
      <c r="F59" s="97">
        <v>112.05</v>
      </c>
      <c r="G59" s="1065"/>
      <c r="H59" s="1066"/>
      <c r="I59" s="1067"/>
    </row>
    <row r="60" spans="2:9" ht="15.75" thickBot="1" x14ac:dyDescent="0.3">
      <c r="B60" s="101">
        <v>2</v>
      </c>
      <c r="C60" s="100" t="s">
        <v>840</v>
      </c>
      <c r="D60" s="99">
        <v>50</v>
      </c>
      <c r="E60" s="98">
        <v>25.46</v>
      </c>
      <c r="F60" s="97">
        <v>1273</v>
      </c>
      <c r="G60" s="1065"/>
      <c r="H60" s="1066"/>
      <c r="I60" s="1067"/>
    </row>
    <row r="61" spans="2:9" ht="15.75" thickBot="1" x14ac:dyDescent="0.3">
      <c r="B61" s="101">
        <v>3</v>
      </c>
      <c r="C61" s="100" t="s">
        <v>841</v>
      </c>
      <c r="D61" s="99">
        <v>50</v>
      </c>
      <c r="E61" s="98">
        <v>29.2</v>
      </c>
      <c r="F61" s="97">
        <v>1460</v>
      </c>
      <c r="G61" s="1065"/>
      <c r="H61" s="1066"/>
      <c r="I61" s="1067"/>
    </row>
    <row r="62" spans="2:9" ht="15.75" thickBot="1" x14ac:dyDescent="0.3">
      <c r="B62" s="101">
        <v>4</v>
      </c>
      <c r="C62" s="100" t="s">
        <v>842</v>
      </c>
      <c r="D62" s="99">
        <v>50</v>
      </c>
      <c r="E62" s="98">
        <v>30.18</v>
      </c>
      <c r="F62" s="97">
        <v>1509</v>
      </c>
      <c r="G62" s="1065"/>
      <c r="H62" s="1066"/>
      <c r="I62" s="1067"/>
    </row>
    <row r="63" spans="2:9" ht="15.75" thickBot="1" x14ac:dyDescent="0.3">
      <c r="B63" s="101">
        <v>5</v>
      </c>
      <c r="C63" s="100" t="s">
        <v>798</v>
      </c>
      <c r="D63" s="99">
        <v>5</v>
      </c>
      <c r="E63" s="98">
        <v>35.880000000000003</v>
      </c>
      <c r="F63" s="97">
        <v>179.4</v>
      </c>
      <c r="G63" s="1065"/>
      <c r="H63" s="1066"/>
      <c r="I63" s="1067"/>
    </row>
    <row r="64" spans="2:9" ht="15.75" thickBot="1" x14ac:dyDescent="0.3">
      <c r="B64" s="101">
        <v>6</v>
      </c>
      <c r="C64" s="100" t="s">
        <v>799</v>
      </c>
      <c r="D64" s="99">
        <v>5</v>
      </c>
      <c r="E64" s="98">
        <v>35.880000000000003</v>
      </c>
      <c r="F64" s="97">
        <v>179.4</v>
      </c>
      <c r="G64" s="1065"/>
      <c r="H64" s="1066"/>
      <c r="I64" s="1067"/>
    </row>
    <row r="65" spans="2:9" ht="15.75" thickBot="1" x14ac:dyDescent="0.3">
      <c r="B65" s="101">
        <v>7</v>
      </c>
      <c r="C65" s="100" t="s">
        <v>801</v>
      </c>
      <c r="D65" s="99">
        <v>5</v>
      </c>
      <c r="E65" s="98">
        <v>35.880000000000003</v>
      </c>
      <c r="F65" s="97">
        <v>179.4</v>
      </c>
      <c r="G65" s="1065"/>
      <c r="H65" s="1066"/>
      <c r="I65" s="1067"/>
    </row>
    <row r="66" spans="2:9" ht="15.75" thickBot="1" x14ac:dyDescent="0.3">
      <c r="B66" s="101">
        <v>8</v>
      </c>
      <c r="C66" s="100" t="s">
        <v>843</v>
      </c>
      <c r="D66" s="99">
        <v>50</v>
      </c>
      <c r="E66" s="98">
        <v>42.21</v>
      </c>
      <c r="F66" s="97">
        <v>2110.5</v>
      </c>
      <c r="G66" s="1065"/>
      <c r="H66" s="1066"/>
      <c r="I66" s="1067"/>
    </row>
    <row r="67" spans="2:9" ht="15.75" thickBot="1" x14ac:dyDescent="0.3">
      <c r="B67" s="101">
        <v>9</v>
      </c>
      <c r="C67" s="100" t="s">
        <v>844</v>
      </c>
      <c r="D67" s="99">
        <v>50</v>
      </c>
      <c r="E67" s="98">
        <v>49.9</v>
      </c>
      <c r="F67" s="97">
        <v>2495</v>
      </c>
      <c r="G67" s="1065"/>
      <c r="H67" s="1066"/>
      <c r="I67" s="1067"/>
    </row>
    <row r="68" spans="2:9" ht="15.75" thickBot="1" x14ac:dyDescent="0.3">
      <c r="B68" s="101">
        <v>10</v>
      </c>
      <c r="C68" s="100" t="s">
        <v>845</v>
      </c>
      <c r="D68" s="99">
        <v>25</v>
      </c>
      <c r="E68" s="98">
        <v>60.12</v>
      </c>
      <c r="F68" s="97">
        <v>1503</v>
      </c>
      <c r="G68" s="1065"/>
      <c r="H68" s="1066"/>
      <c r="I68" s="1067"/>
    </row>
    <row r="69" spans="2:9" ht="15.75" thickBot="1" x14ac:dyDescent="0.3">
      <c r="B69" s="101">
        <v>11</v>
      </c>
      <c r="C69" s="100" t="s">
        <v>846</v>
      </c>
      <c r="D69" s="99">
        <v>50</v>
      </c>
      <c r="E69" s="98">
        <v>62</v>
      </c>
      <c r="F69" s="97">
        <v>3100</v>
      </c>
      <c r="G69" s="1065"/>
      <c r="H69" s="1066"/>
      <c r="I69" s="1067"/>
    </row>
    <row r="70" spans="2:9" ht="15.75" thickBot="1" x14ac:dyDescent="0.3">
      <c r="B70" s="101">
        <v>12</v>
      </c>
      <c r="C70" s="100" t="s">
        <v>847</v>
      </c>
      <c r="D70" s="99">
        <v>25</v>
      </c>
      <c r="E70" s="98">
        <v>188.56</v>
      </c>
      <c r="F70" s="97">
        <v>4714</v>
      </c>
      <c r="G70" s="1065"/>
      <c r="H70" s="1066"/>
      <c r="I70" s="1067"/>
    </row>
    <row r="71" spans="2:9" ht="15.75" thickBot="1" x14ac:dyDescent="0.3">
      <c r="B71" s="101">
        <v>13</v>
      </c>
      <c r="C71" s="100" t="s">
        <v>848</v>
      </c>
      <c r="D71" s="99">
        <v>15</v>
      </c>
      <c r="E71" s="98">
        <v>209.99</v>
      </c>
      <c r="F71" s="97">
        <v>3149.8500000000004</v>
      </c>
      <c r="G71" s="1065"/>
      <c r="H71" s="1066"/>
      <c r="I71" s="1067"/>
    </row>
    <row r="72" spans="2:9" ht="15.75" thickBot="1" x14ac:dyDescent="0.3">
      <c r="B72" s="101">
        <v>14</v>
      </c>
      <c r="C72" s="100" t="s">
        <v>849</v>
      </c>
      <c r="D72" s="99">
        <v>5</v>
      </c>
      <c r="E72" s="98">
        <v>214.5</v>
      </c>
      <c r="F72" s="97">
        <v>1072.5</v>
      </c>
      <c r="G72" s="1065"/>
      <c r="H72" s="1066"/>
      <c r="I72" s="1067"/>
    </row>
    <row r="73" spans="2:9" customFormat="1" ht="15.75" thickBot="1" x14ac:dyDescent="0.3">
      <c r="B73" s="101">
        <v>15</v>
      </c>
      <c r="C73" s="100" t="s">
        <v>850</v>
      </c>
      <c r="D73" s="99">
        <v>5</v>
      </c>
      <c r="E73" s="98">
        <v>219</v>
      </c>
      <c r="F73" s="97">
        <v>1095</v>
      </c>
      <c r="G73" s="1065"/>
      <c r="H73" s="1066"/>
      <c r="I73" s="1067"/>
    </row>
    <row r="74" spans="2:9" ht="15.75" thickBot="1" x14ac:dyDescent="0.3">
      <c r="B74" s="101">
        <v>16</v>
      </c>
      <c r="C74" s="100" t="s">
        <v>851</v>
      </c>
      <c r="D74" s="99">
        <v>5</v>
      </c>
      <c r="E74" s="98">
        <v>237.59</v>
      </c>
      <c r="F74" s="97">
        <v>1187.95</v>
      </c>
      <c r="G74" s="1065"/>
      <c r="H74" s="1066"/>
      <c r="I74" s="1067"/>
    </row>
    <row r="75" spans="2:9" ht="23.25" thickBot="1" x14ac:dyDescent="0.3">
      <c r="B75" s="101">
        <v>17</v>
      </c>
      <c r="C75" s="100" t="s">
        <v>806</v>
      </c>
      <c r="D75" s="99">
        <v>15</v>
      </c>
      <c r="E75" s="98">
        <v>382.9</v>
      </c>
      <c r="F75" s="97">
        <v>5743.5</v>
      </c>
      <c r="G75" s="1065"/>
      <c r="H75" s="1066"/>
      <c r="I75" s="1067"/>
    </row>
    <row r="76" spans="2:9" ht="15.75" thickBot="1" x14ac:dyDescent="0.3">
      <c r="B76" s="101">
        <v>18</v>
      </c>
      <c r="C76" s="100" t="s">
        <v>802</v>
      </c>
      <c r="D76" s="99">
        <v>5</v>
      </c>
      <c r="E76" s="98">
        <v>517.35</v>
      </c>
      <c r="F76" s="97">
        <v>2586.75</v>
      </c>
      <c r="G76" s="1065"/>
      <c r="H76" s="1066"/>
      <c r="I76" s="1067"/>
    </row>
    <row r="77" spans="2:9" ht="15.75" thickBot="1" x14ac:dyDescent="0.3">
      <c r="B77" s="101">
        <v>19</v>
      </c>
      <c r="C77" s="100" t="s">
        <v>805</v>
      </c>
      <c r="D77" s="99">
        <v>5</v>
      </c>
      <c r="E77" s="98">
        <v>573.75</v>
      </c>
      <c r="F77" s="97">
        <v>2868.75</v>
      </c>
      <c r="G77" s="1068"/>
      <c r="H77" s="1069"/>
      <c r="I77" s="1070"/>
    </row>
    <row r="78" spans="2:9" ht="15.75" thickBot="1" x14ac:dyDescent="0.3">
      <c r="B78" s="101">
        <v>20</v>
      </c>
      <c r="C78" s="100" t="s">
        <v>804</v>
      </c>
      <c r="D78" s="99">
        <v>5</v>
      </c>
      <c r="E78" s="98">
        <v>600</v>
      </c>
      <c r="F78" s="97">
        <v>3000</v>
      </c>
      <c r="G78" s="1024" t="s">
        <v>753</v>
      </c>
      <c r="H78" s="1024" t="s">
        <v>754</v>
      </c>
      <c r="I78" s="1024" t="s">
        <v>755</v>
      </c>
    </row>
    <row r="79" spans="2:9" ht="13.5" customHeight="1" thickBot="1" x14ac:dyDescent="0.3">
      <c r="B79" s="101">
        <v>21</v>
      </c>
      <c r="C79" s="100" t="s">
        <v>803</v>
      </c>
      <c r="D79" s="99">
        <v>5</v>
      </c>
      <c r="E79" s="98">
        <v>998.98</v>
      </c>
      <c r="F79" s="97">
        <v>4994.8999999999996</v>
      </c>
      <c r="G79" s="1025"/>
      <c r="H79" s="1025"/>
      <c r="I79" s="1025"/>
    </row>
    <row r="80" spans="2:9" ht="15.75" thickBot="1" x14ac:dyDescent="0.3">
      <c r="B80" s="1056" t="s">
        <v>808</v>
      </c>
      <c r="C80" s="1057"/>
      <c r="D80" s="1057"/>
      <c r="E80" s="1058"/>
      <c r="F80" s="105">
        <f>SUM(F59:F79)</f>
        <v>44513.950000000004</v>
      </c>
      <c r="G80" s="1026"/>
      <c r="H80" s="1026"/>
      <c r="I80" s="1026"/>
    </row>
    <row r="81" spans="2:10" ht="15.75" thickBot="1" x14ac:dyDescent="0.3">
      <c r="B81" s="101">
        <v>1</v>
      </c>
      <c r="C81" s="100" t="s">
        <v>810</v>
      </c>
      <c r="D81" s="99">
        <v>5</v>
      </c>
      <c r="E81" s="98">
        <v>600</v>
      </c>
      <c r="F81" s="97">
        <v>3000</v>
      </c>
      <c r="G81" s="92">
        <v>82</v>
      </c>
      <c r="H81" s="91">
        <v>5</v>
      </c>
      <c r="I81" s="96">
        <f t="shared" ref="I81:I115" si="1">F81/H81</f>
        <v>600</v>
      </c>
    </row>
    <row r="82" spans="2:10" ht="15.75" thickBot="1" x14ac:dyDescent="0.3">
      <c r="B82" s="101">
        <v>2</v>
      </c>
      <c r="C82" s="100" t="s">
        <v>809</v>
      </c>
      <c r="D82" s="99">
        <v>5</v>
      </c>
      <c r="E82" s="98">
        <v>575</v>
      </c>
      <c r="F82" s="97">
        <v>2875</v>
      </c>
      <c r="G82" s="92">
        <v>82</v>
      </c>
      <c r="H82" s="91">
        <v>5</v>
      </c>
      <c r="I82" s="96">
        <f t="shared" si="1"/>
        <v>575</v>
      </c>
    </row>
    <row r="83" spans="2:10" ht="15.75" thickBot="1" x14ac:dyDescent="0.3">
      <c r="B83" s="101">
        <v>3</v>
      </c>
      <c r="C83" s="100" t="s">
        <v>811</v>
      </c>
      <c r="D83" s="99">
        <v>5</v>
      </c>
      <c r="E83" s="98">
        <v>332.25</v>
      </c>
      <c r="F83" s="97">
        <v>1661.25</v>
      </c>
      <c r="G83" s="92"/>
      <c r="H83" s="91">
        <v>5</v>
      </c>
      <c r="I83" s="96">
        <f t="shared" si="1"/>
        <v>332.25</v>
      </c>
    </row>
    <row r="84" spans="2:10" ht="15.75" thickBot="1" x14ac:dyDescent="0.3">
      <c r="B84" s="101">
        <v>4</v>
      </c>
      <c r="C84" s="100" t="s">
        <v>812</v>
      </c>
      <c r="D84" s="99">
        <v>5</v>
      </c>
      <c r="E84" s="98">
        <v>3927</v>
      </c>
      <c r="F84" s="97">
        <v>19635</v>
      </c>
      <c r="G84" s="92"/>
      <c r="H84" s="91">
        <v>5</v>
      </c>
      <c r="I84" s="96">
        <f t="shared" si="1"/>
        <v>3927</v>
      </c>
    </row>
    <row r="85" spans="2:10" ht="15.75" thickBot="1" x14ac:dyDescent="0.3">
      <c r="B85" s="101">
        <v>5</v>
      </c>
      <c r="C85" s="100" t="s">
        <v>852</v>
      </c>
      <c r="D85" s="99">
        <v>5</v>
      </c>
      <c r="E85" s="98">
        <v>1053.1500000000001</v>
      </c>
      <c r="F85" s="97">
        <v>5265.75</v>
      </c>
      <c r="G85" s="92"/>
      <c r="H85" s="91">
        <v>20</v>
      </c>
      <c r="I85" s="96">
        <f t="shared" si="1"/>
        <v>263.28750000000002</v>
      </c>
    </row>
    <row r="86" spans="2:10" ht="15.75" thickBot="1" x14ac:dyDescent="0.3">
      <c r="B86" s="101">
        <v>6</v>
      </c>
      <c r="C86" s="104" t="s">
        <v>853</v>
      </c>
      <c r="D86" s="103">
        <v>28</v>
      </c>
      <c r="E86" s="97">
        <v>6500</v>
      </c>
      <c r="F86" s="97">
        <f>D86*E86</f>
        <v>182000</v>
      </c>
      <c r="G86" s="92">
        <v>89</v>
      </c>
      <c r="H86" s="91">
        <v>20</v>
      </c>
      <c r="I86" s="96">
        <f t="shared" si="1"/>
        <v>9100</v>
      </c>
      <c r="J86" s="102">
        <f>F86/$D$9</f>
        <v>0.24097793825790384</v>
      </c>
    </row>
    <row r="87" spans="2:10" ht="15.75" thickBot="1" x14ac:dyDescent="0.3">
      <c r="B87" s="101">
        <v>7</v>
      </c>
      <c r="C87" s="100" t="s">
        <v>813</v>
      </c>
      <c r="D87" s="99">
        <v>5</v>
      </c>
      <c r="E87" s="98">
        <v>332.25</v>
      </c>
      <c r="F87" s="97">
        <v>1661.25</v>
      </c>
      <c r="G87" s="92"/>
      <c r="H87" s="91">
        <v>5</v>
      </c>
      <c r="I87" s="96">
        <f t="shared" si="1"/>
        <v>332.25</v>
      </c>
    </row>
    <row r="88" spans="2:10" ht="15.75" thickBot="1" x14ac:dyDescent="0.3">
      <c r="B88" s="101">
        <v>8</v>
      </c>
      <c r="C88" s="100" t="s">
        <v>854</v>
      </c>
      <c r="D88" s="99">
        <v>5</v>
      </c>
      <c r="E88" s="98">
        <v>3927</v>
      </c>
      <c r="F88" s="97">
        <v>19635</v>
      </c>
      <c r="G88" s="92">
        <v>84</v>
      </c>
      <c r="H88" s="91">
        <v>10</v>
      </c>
      <c r="I88" s="96">
        <f t="shared" si="1"/>
        <v>1963.5</v>
      </c>
    </row>
    <row r="89" spans="2:10" ht="15.75" thickBot="1" x14ac:dyDescent="0.3">
      <c r="B89" s="101">
        <v>9</v>
      </c>
      <c r="C89" s="100" t="s">
        <v>800</v>
      </c>
      <c r="D89" s="99">
        <v>5</v>
      </c>
      <c r="E89" s="98">
        <v>332.25</v>
      </c>
      <c r="F89" s="97">
        <v>1661.25</v>
      </c>
      <c r="G89" s="92"/>
      <c r="H89" s="91">
        <v>10</v>
      </c>
      <c r="I89" s="96">
        <f t="shared" si="1"/>
        <v>166.125</v>
      </c>
    </row>
    <row r="90" spans="2:10" ht="15.75" thickBot="1" x14ac:dyDescent="0.3">
      <c r="B90" s="101">
        <v>10</v>
      </c>
      <c r="C90" s="100" t="s">
        <v>815</v>
      </c>
      <c r="D90" s="99">
        <v>5</v>
      </c>
      <c r="E90" s="98">
        <v>1315</v>
      </c>
      <c r="F90" s="97">
        <v>6575</v>
      </c>
      <c r="G90" s="92">
        <v>84</v>
      </c>
      <c r="H90" s="91">
        <v>10</v>
      </c>
      <c r="I90" s="96">
        <f t="shared" si="1"/>
        <v>657.5</v>
      </c>
    </row>
    <row r="91" spans="2:10" ht="15.75" thickBot="1" x14ac:dyDescent="0.3">
      <c r="B91" s="101">
        <v>11</v>
      </c>
      <c r="C91" s="100" t="s">
        <v>816</v>
      </c>
      <c r="D91" s="99">
        <v>5</v>
      </c>
      <c r="E91" s="98">
        <v>307.99</v>
      </c>
      <c r="F91" s="97">
        <v>1539.95</v>
      </c>
      <c r="G91" s="92"/>
      <c r="H91" s="91">
        <v>10</v>
      </c>
      <c r="I91" s="96">
        <f t="shared" si="1"/>
        <v>153.995</v>
      </c>
    </row>
    <row r="92" spans="2:10" ht="15.75" thickBot="1" x14ac:dyDescent="0.3">
      <c r="B92" s="101">
        <v>12</v>
      </c>
      <c r="C92" s="100" t="s">
        <v>817</v>
      </c>
      <c r="D92" s="99">
        <v>5</v>
      </c>
      <c r="E92" s="98">
        <v>288.8</v>
      </c>
      <c r="F92" s="97">
        <v>1444</v>
      </c>
      <c r="G92" s="92"/>
      <c r="H92" s="91">
        <v>10</v>
      </c>
      <c r="I92" s="96">
        <f t="shared" si="1"/>
        <v>144.4</v>
      </c>
    </row>
    <row r="93" spans="2:10" ht="15.75" thickBot="1" x14ac:dyDescent="0.3">
      <c r="B93" s="101">
        <v>13</v>
      </c>
      <c r="C93" s="100" t="s">
        <v>855</v>
      </c>
      <c r="D93" s="99">
        <v>5</v>
      </c>
      <c r="E93" s="98">
        <v>1016.41</v>
      </c>
      <c r="F93" s="97">
        <v>5082.05</v>
      </c>
      <c r="G93" s="92">
        <v>84</v>
      </c>
      <c r="H93" s="91">
        <v>10</v>
      </c>
      <c r="I93" s="96">
        <f t="shared" si="1"/>
        <v>508.20500000000004</v>
      </c>
    </row>
    <row r="94" spans="2:10" ht="15.75" thickBot="1" x14ac:dyDescent="0.3">
      <c r="B94" s="101">
        <v>14</v>
      </c>
      <c r="C94" s="100" t="s">
        <v>818</v>
      </c>
      <c r="D94" s="99">
        <v>5</v>
      </c>
      <c r="E94" s="98">
        <v>387.19</v>
      </c>
      <c r="F94" s="97">
        <v>1935.95</v>
      </c>
      <c r="G94" s="92"/>
      <c r="H94" s="91">
        <v>10</v>
      </c>
      <c r="I94" s="96">
        <f t="shared" si="1"/>
        <v>193.595</v>
      </c>
    </row>
    <row r="95" spans="2:10" ht="15.75" thickBot="1" x14ac:dyDescent="0.3">
      <c r="B95" s="101">
        <v>15</v>
      </c>
      <c r="C95" s="100" t="s">
        <v>856</v>
      </c>
      <c r="D95" s="99">
        <v>5</v>
      </c>
      <c r="E95" s="98">
        <v>1311.15</v>
      </c>
      <c r="F95" s="97">
        <v>6555.75</v>
      </c>
      <c r="G95" s="92">
        <v>84</v>
      </c>
      <c r="H95" s="91">
        <v>10</v>
      </c>
      <c r="I95" s="96">
        <f t="shared" si="1"/>
        <v>655.57500000000005</v>
      </c>
    </row>
    <row r="96" spans="2:10" ht="15.75" thickBot="1" x14ac:dyDescent="0.3">
      <c r="B96" s="101">
        <v>16</v>
      </c>
      <c r="C96" s="100" t="s">
        <v>819</v>
      </c>
      <c r="D96" s="99">
        <v>5</v>
      </c>
      <c r="E96" s="98">
        <v>3499</v>
      </c>
      <c r="F96" s="97">
        <v>17495</v>
      </c>
      <c r="G96" s="92"/>
      <c r="H96" s="91">
        <v>5</v>
      </c>
      <c r="I96" s="96">
        <f t="shared" si="1"/>
        <v>3499</v>
      </c>
    </row>
    <row r="97" spans="2:10" ht="15.75" thickBot="1" x14ac:dyDescent="0.3">
      <c r="B97" s="101">
        <v>17</v>
      </c>
      <c r="C97" s="100" t="s">
        <v>820</v>
      </c>
      <c r="D97" s="99">
        <v>5</v>
      </c>
      <c r="E97" s="98">
        <v>241.2</v>
      </c>
      <c r="F97" s="97">
        <v>1206</v>
      </c>
      <c r="G97" s="92"/>
      <c r="H97" s="91">
        <v>5</v>
      </c>
      <c r="I97" s="96">
        <f t="shared" si="1"/>
        <v>241.2</v>
      </c>
    </row>
    <row r="98" spans="2:10" ht="15.75" thickBot="1" x14ac:dyDescent="0.3">
      <c r="B98" s="101">
        <v>18</v>
      </c>
      <c r="C98" s="100" t="s">
        <v>821</v>
      </c>
      <c r="D98" s="99">
        <v>5</v>
      </c>
      <c r="E98" s="98">
        <v>566.32000000000005</v>
      </c>
      <c r="F98" s="97">
        <v>2831.6000000000004</v>
      </c>
      <c r="G98" s="92">
        <v>82</v>
      </c>
      <c r="H98" s="91">
        <v>5</v>
      </c>
      <c r="I98" s="96">
        <f t="shared" si="1"/>
        <v>566.32000000000005</v>
      </c>
    </row>
    <row r="99" spans="2:10" ht="15.75" thickBot="1" x14ac:dyDescent="0.3">
      <c r="B99" s="101">
        <v>19</v>
      </c>
      <c r="C99" s="100" t="s">
        <v>822</v>
      </c>
      <c r="D99" s="99">
        <v>5</v>
      </c>
      <c r="E99" s="98">
        <v>79</v>
      </c>
      <c r="F99" s="97">
        <v>395</v>
      </c>
      <c r="G99" s="92">
        <v>84</v>
      </c>
      <c r="H99" s="91">
        <v>10</v>
      </c>
      <c r="I99" s="96">
        <f t="shared" si="1"/>
        <v>39.5</v>
      </c>
    </row>
    <row r="100" spans="2:10" ht="15.75" thickBot="1" x14ac:dyDescent="0.3">
      <c r="B100" s="101">
        <v>20</v>
      </c>
      <c r="C100" s="100" t="s">
        <v>857</v>
      </c>
      <c r="D100" s="99">
        <v>5</v>
      </c>
      <c r="E100" s="98">
        <v>384.8</v>
      </c>
      <c r="F100" s="97">
        <v>1924</v>
      </c>
      <c r="G100" s="92">
        <v>84</v>
      </c>
      <c r="H100" s="91">
        <v>10</v>
      </c>
      <c r="I100" s="96">
        <f t="shared" si="1"/>
        <v>192.4</v>
      </c>
    </row>
    <row r="101" spans="2:10" ht="15.75" thickBot="1" x14ac:dyDescent="0.3">
      <c r="B101" s="101">
        <v>21</v>
      </c>
      <c r="C101" s="100" t="s">
        <v>823</v>
      </c>
      <c r="D101" s="99">
        <v>5</v>
      </c>
      <c r="E101" s="98">
        <v>8325</v>
      </c>
      <c r="F101" s="97">
        <v>41625</v>
      </c>
      <c r="G101" s="92"/>
      <c r="H101" s="91">
        <v>5</v>
      </c>
      <c r="I101" s="96">
        <f t="shared" si="1"/>
        <v>8325</v>
      </c>
    </row>
    <row r="102" spans="2:10" ht="15.75" thickBot="1" x14ac:dyDescent="0.3">
      <c r="B102" s="101">
        <v>22</v>
      </c>
      <c r="C102" s="100" t="s">
        <v>824</v>
      </c>
      <c r="D102" s="99">
        <v>5</v>
      </c>
      <c r="E102" s="98">
        <v>2953</v>
      </c>
      <c r="F102" s="97">
        <v>14765</v>
      </c>
      <c r="G102" s="92"/>
      <c r="H102" s="91">
        <v>5</v>
      </c>
      <c r="I102" s="96">
        <f t="shared" si="1"/>
        <v>2953</v>
      </c>
    </row>
    <row r="103" spans="2:10" ht="15.75" thickBot="1" x14ac:dyDescent="0.3">
      <c r="B103" s="101">
        <v>23</v>
      </c>
      <c r="C103" s="100" t="s">
        <v>825</v>
      </c>
      <c r="D103" s="99">
        <v>5</v>
      </c>
      <c r="E103" s="98">
        <v>18466.29</v>
      </c>
      <c r="F103" s="97">
        <v>92331.450000000012</v>
      </c>
      <c r="G103" s="92"/>
      <c r="H103" s="91">
        <v>5</v>
      </c>
      <c r="I103" s="96">
        <f t="shared" si="1"/>
        <v>18466.29</v>
      </c>
      <c r="J103" s="102">
        <f>F103/$D$9</f>
        <v>0.12225188163386119</v>
      </c>
    </row>
    <row r="104" spans="2:10" ht="15.75" thickBot="1" x14ac:dyDescent="0.3">
      <c r="B104" s="101">
        <v>24</v>
      </c>
      <c r="C104" s="100" t="s">
        <v>826</v>
      </c>
      <c r="D104" s="99">
        <v>5</v>
      </c>
      <c r="E104" s="98">
        <v>972.91</v>
      </c>
      <c r="F104" s="97">
        <v>4864.55</v>
      </c>
      <c r="G104" s="92">
        <v>82</v>
      </c>
      <c r="H104" s="91">
        <v>5</v>
      </c>
      <c r="I104" s="96">
        <f t="shared" si="1"/>
        <v>972.91000000000008</v>
      </c>
    </row>
    <row r="105" spans="2:10" ht="15.75" thickBot="1" x14ac:dyDescent="0.3">
      <c r="B105" s="101">
        <v>25</v>
      </c>
      <c r="C105" s="100" t="s">
        <v>858</v>
      </c>
      <c r="D105" s="99">
        <v>5</v>
      </c>
      <c r="E105" s="98">
        <v>317.14</v>
      </c>
      <c r="F105" s="97">
        <v>1585.6999999999998</v>
      </c>
      <c r="G105" s="92"/>
      <c r="H105" s="91">
        <v>5</v>
      </c>
      <c r="I105" s="96">
        <f t="shared" si="1"/>
        <v>317.14</v>
      </c>
    </row>
    <row r="106" spans="2:10" ht="15.75" thickBot="1" x14ac:dyDescent="0.3">
      <c r="B106" s="101">
        <v>26</v>
      </c>
      <c r="C106" s="100" t="s">
        <v>859</v>
      </c>
      <c r="D106" s="99">
        <v>28</v>
      </c>
      <c r="E106" s="98">
        <v>8000</v>
      </c>
      <c r="F106" s="98">
        <f>D106*E106</f>
        <v>224000</v>
      </c>
      <c r="G106" s="92">
        <v>84</v>
      </c>
      <c r="H106" s="91">
        <v>10</v>
      </c>
      <c r="I106" s="96">
        <f t="shared" si="1"/>
        <v>22400</v>
      </c>
      <c r="J106" s="102">
        <f>F106/$D$9</f>
        <v>0.29658823170203547</v>
      </c>
    </row>
    <row r="107" spans="2:10" ht="15.75" thickBot="1" x14ac:dyDescent="0.3">
      <c r="B107" s="101">
        <v>27</v>
      </c>
      <c r="C107" s="100" t="s">
        <v>827</v>
      </c>
      <c r="D107" s="99">
        <v>5</v>
      </c>
      <c r="E107" s="98">
        <v>979.99</v>
      </c>
      <c r="F107" s="97">
        <v>4899.95</v>
      </c>
      <c r="G107" s="92"/>
      <c r="H107" s="91">
        <v>5</v>
      </c>
      <c r="I107" s="96">
        <f t="shared" si="1"/>
        <v>979.99</v>
      </c>
    </row>
    <row r="108" spans="2:10" ht="15.75" thickBot="1" x14ac:dyDescent="0.3">
      <c r="B108" s="101">
        <v>28</v>
      </c>
      <c r="C108" s="100" t="s">
        <v>828</v>
      </c>
      <c r="D108" s="99">
        <v>5</v>
      </c>
      <c r="E108" s="98">
        <v>603.99</v>
      </c>
      <c r="F108" s="97">
        <v>3019.95</v>
      </c>
      <c r="G108" s="92"/>
      <c r="H108" s="91">
        <v>5</v>
      </c>
      <c r="I108" s="96">
        <f t="shared" si="1"/>
        <v>603.99</v>
      </c>
    </row>
    <row r="109" spans="2:10" ht="15.75" thickBot="1" x14ac:dyDescent="0.3">
      <c r="B109" s="101">
        <v>29</v>
      </c>
      <c r="C109" s="100" t="s">
        <v>829</v>
      </c>
      <c r="D109" s="99">
        <v>5</v>
      </c>
      <c r="E109" s="98">
        <v>1100</v>
      </c>
      <c r="F109" s="97">
        <v>5500</v>
      </c>
      <c r="G109" s="92">
        <v>90</v>
      </c>
      <c r="H109" s="91">
        <v>10</v>
      </c>
      <c r="I109" s="96">
        <f t="shared" si="1"/>
        <v>550</v>
      </c>
    </row>
    <row r="110" spans="2:10" ht="15.75" thickBot="1" x14ac:dyDescent="0.3">
      <c r="B110" s="101">
        <v>30</v>
      </c>
      <c r="C110" s="100" t="s">
        <v>830</v>
      </c>
      <c r="D110" s="99">
        <v>5</v>
      </c>
      <c r="E110" s="98">
        <v>209.9</v>
      </c>
      <c r="F110" s="97">
        <v>1049.5</v>
      </c>
      <c r="G110" s="92">
        <v>90</v>
      </c>
      <c r="H110" s="91">
        <v>10</v>
      </c>
      <c r="I110" s="96">
        <f t="shared" si="1"/>
        <v>104.95</v>
      </c>
    </row>
    <row r="111" spans="2:10" ht="15.75" thickBot="1" x14ac:dyDescent="0.3">
      <c r="B111" s="101">
        <v>31</v>
      </c>
      <c r="C111" s="100" t="s">
        <v>831</v>
      </c>
      <c r="D111" s="99">
        <v>5</v>
      </c>
      <c r="E111" s="98">
        <v>420</v>
      </c>
      <c r="F111" s="97">
        <v>2100</v>
      </c>
      <c r="G111" s="92">
        <v>90</v>
      </c>
      <c r="H111" s="91">
        <v>10</v>
      </c>
      <c r="I111" s="96">
        <f t="shared" si="1"/>
        <v>210</v>
      </c>
    </row>
    <row r="112" spans="2:10" ht="15.75" thickBot="1" x14ac:dyDescent="0.3">
      <c r="B112" s="101">
        <v>32</v>
      </c>
      <c r="C112" s="100" t="s">
        <v>860</v>
      </c>
      <c r="D112" s="99">
        <v>5</v>
      </c>
      <c r="E112" s="98">
        <v>1214.72</v>
      </c>
      <c r="F112" s="97">
        <v>6073.6</v>
      </c>
      <c r="G112" s="92">
        <v>84</v>
      </c>
      <c r="H112" s="91">
        <v>10</v>
      </c>
      <c r="I112" s="96">
        <f t="shared" si="1"/>
        <v>607.36</v>
      </c>
    </row>
    <row r="113" spans="2:9" ht="15.75" thickBot="1" x14ac:dyDescent="0.3">
      <c r="B113" s="101">
        <v>33</v>
      </c>
      <c r="C113" s="100" t="s">
        <v>832</v>
      </c>
      <c r="D113" s="99">
        <v>5</v>
      </c>
      <c r="E113" s="98">
        <v>169.1</v>
      </c>
      <c r="F113" s="97">
        <v>845.5</v>
      </c>
      <c r="G113" s="92">
        <v>90</v>
      </c>
      <c r="H113" s="91">
        <v>10</v>
      </c>
      <c r="I113" s="96">
        <f t="shared" si="1"/>
        <v>84.55</v>
      </c>
    </row>
    <row r="114" spans="2:9" ht="15.75" thickBot="1" x14ac:dyDescent="0.3">
      <c r="B114" s="101">
        <v>34</v>
      </c>
      <c r="C114" s="100" t="s">
        <v>833</v>
      </c>
      <c r="D114" s="99">
        <v>5</v>
      </c>
      <c r="E114" s="98">
        <v>1857.99</v>
      </c>
      <c r="F114" s="97">
        <v>9289.9500000000007</v>
      </c>
      <c r="G114" s="92">
        <v>84</v>
      </c>
      <c r="H114" s="91">
        <v>10</v>
      </c>
      <c r="I114" s="96">
        <f t="shared" si="1"/>
        <v>928.99500000000012</v>
      </c>
    </row>
    <row r="115" spans="2:9" ht="15.75" thickBot="1" x14ac:dyDescent="0.3">
      <c r="B115" s="101">
        <v>35</v>
      </c>
      <c r="C115" s="100" t="s">
        <v>834</v>
      </c>
      <c r="D115" s="99">
        <v>5</v>
      </c>
      <c r="E115" s="98">
        <v>1081.79</v>
      </c>
      <c r="F115" s="97">
        <v>5408.95</v>
      </c>
      <c r="G115" s="92">
        <v>84</v>
      </c>
      <c r="H115" s="91">
        <v>10</v>
      </c>
      <c r="I115" s="96">
        <f t="shared" si="1"/>
        <v>540.89499999999998</v>
      </c>
    </row>
    <row r="116" spans="2:9" ht="15.75" thickBot="1" x14ac:dyDescent="0.3">
      <c r="B116" s="1056" t="s">
        <v>835</v>
      </c>
      <c r="C116" s="1057"/>
      <c r="D116" s="1057"/>
      <c r="E116" s="1058"/>
      <c r="F116" s="95">
        <f>SUM(F81:F115)</f>
        <v>701737.89999999979</v>
      </c>
      <c r="G116" s="1027" t="s">
        <v>777</v>
      </c>
      <c r="H116" s="1028"/>
      <c r="I116" s="94">
        <f>SUM(I81:I115)</f>
        <v>82156.172500000015</v>
      </c>
    </row>
    <row r="117" spans="2:9" ht="15.75" thickBot="1" x14ac:dyDescent="0.3">
      <c r="B117" s="1074" t="s">
        <v>861</v>
      </c>
      <c r="C117" s="1075"/>
      <c r="D117" s="1075"/>
      <c r="E117" s="1076"/>
      <c r="F117" s="93">
        <f>F80+F116</f>
        <v>746251.84999999974</v>
      </c>
      <c r="G117" s="92"/>
      <c r="H117" s="91"/>
      <c r="I117" s="90"/>
    </row>
    <row r="118" spans="2:9" x14ac:dyDescent="0.25">
      <c r="B118" s="18" t="s">
        <v>778</v>
      </c>
      <c r="C118" s="89" t="s">
        <v>837</v>
      </c>
    </row>
  </sheetData>
  <mergeCells count="32">
    <mergeCell ref="B117:E117"/>
    <mergeCell ref="G78:G80"/>
    <mergeCell ref="H78:H80"/>
    <mergeCell ref="I78:I80"/>
    <mergeCell ref="B80:E80"/>
    <mergeCell ref="B116:E116"/>
    <mergeCell ref="G116:H116"/>
    <mergeCell ref="G52:H52"/>
    <mergeCell ref="B53:E53"/>
    <mergeCell ref="B56:F56"/>
    <mergeCell ref="G56:I77"/>
    <mergeCell ref="B57:B58"/>
    <mergeCell ref="C57:C58"/>
    <mergeCell ref="D57:D58"/>
    <mergeCell ref="B52:E52"/>
    <mergeCell ref="G12:I22"/>
    <mergeCell ref="B13:B14"/>
    <mergeCell ref="C13:C14"/>
    <mergeCell ref="D13:D14"/>
    <mergeCell ref="G23:G25"/>
    <mergeCell ref="H23:H25"/>
    <mergeCell ref="I23:I25"/>
    <mergeCell ref="B25:E25"/>
    <mergeCell ref="D2:E2"/>
    <mergeCell ref="D3:E3"/>
    <mergeCell ref="D6:E6"/>
    <mergeCell ref="D9:E9"/>
    <mergeCell ref="B12:F12"/>
    <mergeCell ref="D4:E4"/>
    <mergeCell ref="D5:E5"/>
    <mergeCell ref="D7:E7"/>
    <mergeCell ref="D8:E8"/>
  </mergeCells>
  <pageMargins left="0.511811024" right="0.511811024" top="0.78740157499999996" bottom="0.78740157499999996" header="0.31496062000000002" footer="0.31496062000000002"/>
  <pageSetup paperSize="9" orientation="portrait"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G70"/>
  <sheetViews>
    <sheetView showGridLines="0" workbookViewId="0"/>
  </sheetViews>
  <sheetFormatPr defaultColWidth="12.42578125" defaultRowHeight="15" x14ac:dyDescent="0.25"/>
  <cols>
    <col min="1" max="1" width="26" bestFit="1" customWidth="1"/>
    <col min="3" max="3" width="47.42578125" customWidth="1"/>
    <col min="4" max="4" width="16.85546875" customWidth="1"/>
  </cols>
  <sheetData>
    <row r="1" spans="2:7" x14ac:dyDescent="0.25">
      <c r="C1" s="132" t="s">
        <v>862</v>
      </c>
      <c r="D1" s="667" t="s">
        <v>205</v>
      </c>
    </row>
    <row r="2" spans="2:7" x14ac:dyDescent="0.25">
      <c r="C2" s="847" t="s">
        <v>863</v>
      </c>
      <c r="D2" s="848">
        <f>G36</f>
        <v>230356</v>
      </c>
    </row>
    <row r="3" spans="2:7" x14ac:dyDescent="0.25">
      <c r="C3" s="16" t="s">
        <v>864</v>
      </c>
      <c r="D3" s="131">
        <f>G70</f>
        <v>369152</v>
      </c>
    </row>
    <row r="4" spans="2:7" x14ac:dyDescent="0.25">
      <c r="C4" s="617" t="s">
        <v>192</v>
      </c>
      <c r="D4" s="618">
        <f>SUM(D2:D3)</f>
        <v>599508</v>
      </c>
    </row>
    <row r="5" spans="2:7" x14ac:dyDescent="0.25">
      <c r="C5" s="82" t="s">
        <v>340</v>
      </c>
      <c r="D5" s="309">
        <f>'custos unitários para atualizar'!$B$4</f>
        <v>0.79693099999999994</v>
      </c>
    </row>
    <row r="6" spans="2:7" x14ac:dyDescent="0.25">
      <c r="C6" s="82" t="s">
        <v>342</v>
      </c>
      <c r="D6" s="81">
        <f>D4*(1+D5)</f>
        <v>1077274.5099479998</v>
      </c>
    </row>
    <row r="8" spans="2:7" ht="16.5" thickBot="1" x14ac:dyDescent="0.3">
      <c r="B8" s="130" t="s">
        <v>865</v>
      </c>
    </row>
    <row r="9" spans="2:7" x14ac:dyDescent="0.25">
      <c r="B9" s="1038" t="s">
        <v>686</v>
      </c>
      <c r="C9" s="1040" t="s">
        <v>687</v>
      </c>
      <c r="D9" s="1040" t="s">
        <v>624</v>
      </c>
      <c r="E9" s="1040" t="s">
        <v>623</v>
      </c>
      <c r="F9" s="129" t="s">
        <v>588</v>
      </c>
      <c r="G9" s="129" t="s">
        <v>588</v>
      </c>
    </row>
    <row r="10" spans="2:7" ht="15.75" thickBot="1" x14ac:dyDescent="0.3">
      <c r="B10" s="1039"/>
      <c r="C10" s="1041"/>
      <c r="D10" s="1041"/>
      <c r="E10" s="1041"/>
      <c r="F10" s="53" t="s">
        <v>688</v>
      </c>
      <c r="G10" s="53" t="s">
        <v>689</v>
      </c>
    </row>
    <row r="11" spans="2:7" ht="15.75" thickBot="1" x14ac:dyDescent="0.3">
      <c r="B11" s="55">
        <v>1</v>
      </c>
      <c r="C11" s="54" t="s">
        <v>866</v>
      </c>
      <c r="D11" s="53" t="s">
        <v>867</v>
      </c>
      <c r="E11" s="53">
        <v>1800</v>
      </c>
      <c r="F11" s="126">
        <v>30</v>
      </c>
      <c r="G11" s="51">
        <f t="shared" ref="G11:G35" si="0">E11*F11</f>
        <v>54000</v>
      </c>
    </row>
    <row r="12" spans="2:7" ht="15.75" thickBot="1" x14ac:dyDescent="0.3">
      <c r="B12" s="55">
        <v>2</v>
      </c>
      <c r="C12" s="54" t="s">
        <v>868</v>
      </c>
      <c r="D12" s="53" t="s">
        <v>869</v>
      </c>
      <c r="E12" s="53">
        <v>1800</v>
      </c>
      <c r="F12" s="126">
        <v>12</v>
      </c>
      <c r="G12" s="51">
        <f t="shared" si="0"/>
        <v>21600</v>
      </c>
    </row>
    <row r="13" spans="2:7" ht="15.75" thickBot="1" x14ac:dyDescent="0.3">
      <c r="B13" s="55">
        <v>3</v>
      </c>
      <c r="C13" s="54" t="s">
        <v>870</v>
      </c>
      <c r="D13" s="53" t="s">
        <v>867</v>
      </c>
      <c r="E13" s="53">
        <v>100</v>
      </c>
      <c r="F13" s="126">
        <v>10</v>
      </c>
      <c r="G13" s="51">
        <f t="shared" si="0"/>
        <v>1000</v>
      </c>
    </row>
    <row r="14" spans="2:7" ht="15.75" thickBot="1" x14ac:dyDescent="0.3">
      <c r="B14" s="55">
        <v>4</v>
      </c>
      <c r="C14" s="54" t="s">
        <v>871</v>
      </c>
      <c r="D14" s="53" t="s">
        <v>872</v>
      </c>
      <c r="E14" s="53">
        <v>200</v>
      </c>
      <c r="F14" s="126">
        <v>21</v>
      </c>
      <c r="G14" s="51">
        <f t="shared" si="0"/>
        <v>4200</v>
      </c>
    </row>
    <row r="15" spans="2:7" ht="15.75" thickBot="1" x14ac:dyDescent="0.3">
      <c r="B15" s="55">
        <v>5</v>
      </c>
      <c r="C15" s="54" t="s">
        <v>873</v>
      </c>
      <c r="D15" s="53" t="s">
        <v>325</v>
      </c>
      <c r="E15" s="53">
        <v>90</v>
      </c>
      <c r="F15" s="126">
        <v>15</v>
      </c>
      <c r="G15" s="51">
        <f t="shared" si="0"/>
        <v>1350</v>
      </c>
    </row>
    <row r="16" spans="2:7" ht="15.75" thickBot="1" x14ac:dyDescent="0.3">
      <c r="B16" s="55">
        <v>6</v>
      </c>
      <c r="C16" s="54" t="s">
        <v>874</v>
      </c>
      <c r="D16" s="53" t="s">
        <v>325</v>
      </c>
      <c r="E16" s="53">
        <v>90</v>
      </c>
      <c r="F16" s="126">
        <v>18</v>
      </c>
      <c r="G16" s="51">
        <f t="shared" si="0"/>
        <v>1620</v>
      </c>
    </row>
    <row r="17" spans="2:7" ht="15.75" thickBot="1" x14ac:dyDescent="0.3">
      <c r="B17" s="55">
        <v>7</v>
      </c>
      <c r="C17" s="54" t="s">
        <v>875</v>
      </c>
      <c r="D17" s="53" t="s">
        <v>325</v>
      </c>
      <c r="E17" s="53">
        <v>90</v>
      </c>
      <c r="F17" s="126">
        <v>22</v>
      </c>
      <c r="G17" s="51">
        <f t="shared" si="0"/>
        <v>1980</v>
      </c>
    </row>
    <row r="18" spans="2:7" ht="15.75" thickBot="1" x14ac:dyDescent="0.3">
      <c r="B18" s="55">
        <v>8</v>
      </c>
      <c r="C18" s="54" t="s">
        <v>876</v>
      </c>
      <c r="D18" s="53" t="s">
        <v>325</v>
      </c>
      <c r="E18" s="53">
        <v>90</v>
      </c>
      <c r="F18" s="126">
        <v>35</v>
      </c>
      <c r="G18" s="51">
        <f t="shared" si="0"/>
        <v>3150</v>
      </c>
    </row>
    <row r="19" spans="2:7" ht="15.75" thickBot="1" x14ac:dyDescent="0.3">
      <c r="B19" s="55">
        <v>9</v>
      </c>
      <c r="C19" s="54" t="s">
        <v>877</v>
      </c>
      <c r="D19" s="53" t="s">
        <v>325</v>
      </c>
      <c r="E19" s="53">
        <v>90</v>
      </c>
      <c r="F19" s="126">
        <v>25</v>
      </c>
      <c r="G19" s="51">
        <f t="shared" si="0"/>
        <v>2250</v>
      </c>
    </row>
    <row r="20" spans="2:7" ht="15.75" thickBot="1" x14ac:dyDescent="0.3">
      <c r="B20" s="55">
        <v>10</v>
      </c>
      <c r="C20" s="54" t="s">
        <v>878</v>
      </c>
      <c r="D20" s="53" t="s">
        <v>325</v>
      </c>
      <c r="E20" s="53">
        <v>90</v>
      </c>
      <c r="F20" s="126">
        <v>20</v>
      </c>
      <c r="G20" s="51">
        <f t="shared" si="0"/>
        <v>1800</v>
      </c>
    </row>
    <row r="21" spans="2:7" ht="15.75" thickBot="1" x14ac:dyDescent="0.3">
      <c r="B21" s="55">
        <v>11</v>
      </c>
      <c r="C21" s="54" t="s">
        <v>879</v>
      </c>
      <c r="D21" s="53" t="s">
        <v>325</v>
      </c>
      <c r="E21" s="53">
        <v>90</v>
      </c>
      <c r="F21" s="126">
        <v>40</v>
      </c>
      <c r="G21" s="51">
        <f t="shared" si="0"/>
        <v>3600</v>
      </c>
    </row>
    <row r="22" spans="2:7" ht="15.75" thickBot="1" x14ac:dyDescent="0.3">
      <c r="B22" s="55">
        <v>12</v>
      </c>
      <c r="C22" s="54" t="s">
        <v>880</v>
      </c>
      <c r="D22" s="53" t="s">
        <v>325</v>
      </c>
      <c r="E22" s="53">
        <v>270</v>
      </c>
      <c r="F22" s="126">
        <v>0.3</v>
      </c>
      <c r="G22" s="51">
        <f t="shared" si="0"/>
        <v>81</v>
      </c>
    </row>
    <row r="23" spans="2:7" ht="15.75" thickBot="1" x14ac:dyDescent="0.3">
      <c r="B23" s="55">
        <v>13</v>
      </c>
      <c r="C23" s="54" t="s">
        <v>881</v>
      </c>
      <c r="D23" s="53" t="s">
        <v>325</v>
      </c>
      <c r="E23" s="53">
        <v>270</v>
      </c>
      <c r="F23" s="126">
        <v>0.45</v>
      </c>
      <c r="G23" s="51">
        <f t="shared" si="0"/>
        <v>121.5</v>
      </c>
    </row>
    <row r="24" spans="2:7" ht="15.75" thickBot="1" x14ac:dyDescent="0.3">
      <c r="B24" s="55">
        <v>14</v>
      </c>
      <c r="C24" s="54" t="s">
        <v>882</v>
      </c>
      <c r="D24" s="53" t="s">
        <v>325</v>
      </c>
      <c r="E24" s="53">
        <v>270</v>
      </c>
      <c r="F24" s="126">
        <v>0.45</v>
      </c>
      <c r="G24" s="51">
        <f t="shared" si="0"/>
        <v>121.5</v>
      </c>
    </row>
    <row r="25" spans="2:7" ht="15.75" thickBot="1" x14ac:dyDescent="0.3">
      <c r="B25" s="55">
        <v>15</v>
      </c>
      <c r="C25" s="54" t="s">
        <v>883</v>
      </c>
      <c r="D25" s="53" t="s">
        <v>325</v>
      </c>
      <c r="E25" s="53">
        <v>90</v>
      </c>
      <c r="F25" s="126">
        <v>50</v>
      </c>
      <c r="G25" s="51">
        <f t="shared" si="0"/>
        <v>4500</v>
      </c>
    </row>
    <row r="26" spans="2:7" ht="15.75" thickBot="1" x14ac:dyDescent="0.3">
      <c r="B26" s="55">
        <v>16</v>
      </c>
      <c r="C26" s="54" t="s">
        <v>884</v>
      </c>
      <c r="D26" s="53" t="s">
        <v>325</v>
      </c>
      <c r="E26" s="53">
        <v>18</v>
      </c>
      <c r="F26" s="126">
        <v>85</v>
      </c>
      <c r="G26" s="51">
        <f t="shared" si="0"/>
        <v>1530</v>
      </c>
    </row>
    <row r="27" spans="2:7" ht="15.75" thickBot="1" x14ac:dyDescent="0.3">
      <c r="B27" s="55">
        <v>17</v>
      </c>
      <c r="C27" s="54" t="s">
        <v>885</v>
      </c>
      <c r="D27" s="53" t="s">
        <v>325</v>
      </c>
      <c r="E27" s="53">
        <v>24</v>
      </c>
      <c r="F27" s="126">
        <v>58</v>
      </c>
      <c r="G27" s="51">
        <f t="shared" si="0"/>
        <v>1392</v>
      </c>
    </row>
    <row r="28" spans="2:7" ht="15.75" thickBot="1" x14ac:dyDescent="0.3">
      <c r="B28" s="55">
        <v>18</v>
      </c>
      <c r="C28" s="54" t="s">
        <v>886</v>
      </c>
      <c r="D28" s="53" t="s">
        <v>325</v>
      </c>
      <c r="E28" s="53">
        <v>24</v>
      </c>
      <c r="F28" s="126">
        <v>984</v>
      </c>
      <c r="G28" s="51">
        <f t="shared" si="0"/>
        <v>23616</v>
      </c>
    </row>
    <row r="29" spans="2:7" ht="15.75" thickBot="1" x14ac:dyDescent="0.3">
      <c r="B29" s="55">
        <v>19</v>
      </c>
      <c r="C29" s="54" t="s">
        <v>887</v>
      </c>
      <c r="D29" s="53" t="s">
        <v>325</v>
      </c>
      <c r="E29" s="53">
        <v>24</v>
      </c>
      <c r="F29" s="126">
        <v>116</v>
      </c>
      <c r="G29" s="51">
        <f t="shared" si="0"/>
        <v>2784</v>
      </c>
    </row>
    <row r="30" spans="2:7" ht="15.75" thickBot="1" x14ac:dyDescent="0.3">
      <c r="B30" s="55">
        <v>20</v>
      </c>
      <c r="C30" s="54" t="s">
        <v>888</v>
      </c>
      <c r="D30" s="53" t="s">
        <v>325</v>
      </c>
      <c r="E30" s="53">
        <v>10</v>
      </c>
      <c r="F30" s="126">
        <v>54</v>
      </c>
      <c r="G30" s="51">
        <f t="shared" si="0"/>
        <v>540</v>
      </c>
    </row>
    <row r="31" spans="2:7" ht="15.75" thickBot="1" x14ac:dyDescent="0.3">
      <c r="B31" s="55">
        <v>21</v>
      </c>
      <c r="C31" s="54" t="s">
        <v>889</v>
      </c>
      <c r="D31" s="53" t="s">
        <v>325</v>
      </c>
      <c r="E31" s="53">
        <v>270</v>
      </c>
      <c r="F31" s="126">
        <v>21</v>
      </c>
      <c r="G31" s="51">
        <f t="shared" si="0"/>
        <v>5670</v>
      </c>
    </row>
    <row r="32" spans="2:7" ht="15.75" thickBot="1" x14ac:dyDescent="0.3">
      <c r="B32" s="55">
        <v>22</v>
      </c>
      <c r="C32" s="54" t="s">
        <v>890</v>
      </c>
      <c r="D32" s="53" t="s">
        <v>891</v>
      </c>
      <c r="E32" s="53">
        <v>900</v>
      </c>
      <c r="F32" s="126">
        <v>35</v>
      </c>
      <c r="G32" s="51">
        <f t="shared" si="0"/>
        <v>31500</v>
      </c>
    </row>
    <row r="33" spans="2:7" ht="15.75" thickBot="1" x14ac:dyDescent="0.3">
      <c r="B33" s="55">
        <v>23</v>
      </c>
      <c r="C33" s="54" t="s">
        <v>892</v>
      </c>
      <c r="D33" s="53" t="s">
        <v>325</v>
      </c>
      <c r="E33" s="53">
        <v>90</v>
      </c>
      <c r="F33" s="126">
        <v>40</v>
      </c>
      <c r="G33" s="51">
        <f t="shared" si="0"/>
        <v>3600</v>
      </c>
    </row>
    <row r="34" spans="2:7" ht="15.75" thickBot="1" x14ac:dyDescent="0.3">
      <c r="B34" s="55">
        <v>24</v>
      </c>
      <c r="C34" s="54" t="s">
        <v>893</v>
      </c>
      <c r="D34" s="53" t="s">
        <v>894</v>
      </c>
      <c r="E34" s="53">
        <v>27</v>
      </c>
      <c r="F34" s="51">
        <v>2000</v>
      </c>
      <c r="G34" s="51">
        <f t="shared" si="0"/>
        <v>54000</v>
      </c>
    </row>
    <row r="35" spans="2:7" ht="15.75" thickBot="1" x14ac:dyDescent="0.3">
      <c r="B35" s="55">
        <v>25</v>
      </c>
      <c r="C35" s="54" t="s">
        <v>895</v>
      </c>
      <c r="D35" s="53" t="s">
        <v>896</v>
      </c>
      <c r="E35" s="53">
        <v>50</v>
      </c>
      <c r="F35" s="126">
        <v>87</v>
      </c>
      <c r="G35" s="51">
        <f t="shared" si="0"/>
        <v>4350</v>
      </c>
    </row>
    <row r="36" spans="2:7" ht="15.75" thickBot="1" x14ac:dyDescent="0.3">
      <c r="B36" s="1077" t="s">
        <v>192</v>
      </c>
      <c r="C36" s="1078"/>
      <c r="D36" s="1078"/>
      <c r="E36" s="1079"/>
      <c r="F36" s="126">
        <f>SUM(F11:F35)</f>
        <v>3779.2</v>
      </c>
      <c r="G36" s="51">
        <f>SUM(G11:G35)</f>
        <v>230356</v>
      </c>
    </row>
    <row r="38" spans="2:7" ht="16.5" thickBot="1" x14ac:dyDescent="0.3">
      <c r="B38" s="130" t="s">
        <v>897</v>
      </c>
    </row>
    <row r="39" spans="2:7" x14ac:dyDescent="0.25">
      <c r="B39" s="1038" t="s">
        <v>686</v>
      </c>
      <c r="C39" s="1040" t="s">
        <v>687</v>
      </c>
      <c r="D39" s="1040" t="s">
        <v>624</v>
      </c>
      <c r="E39" s="1040" t="s">
        <v>623</v>
      </c>
      <c r="F39" s="129" t="s">
        <v>588</v>
      </c>
      <c r="G39" s="129" t="s">
        <v>588</v>
      </c>
    </row>
    <row r="40" spans="2:7" ht="15.75" thickBot="1" x14ac:dyDescent="0.3">
      <c r="B40" s="1039"/>
      <c r="C40" s="1041"/>
      <c r="D40" s="1041"/>
      <c r="E40" s="1041"/>
      <c r="F40" s="53" t="s">
        <v>688</v>
      </c>
      <c r="G40" s="53" t="s">
        <v>689</v>
      </c>
    </row>
    <row r="41" spans="2:7" ht="15.75" thickBot="1" x14ac:dyDescent="0.3">
      <c r="B41" s="55">
        <v>1</v>
      </c>
      <c r="C41" s="54" t="s">
        <v>866</v>
      </c>
      <c r="D41" s="53" t="s">
        <v>867</v>
      </c>
      <c r="E41" s="53">
        <v>1800</v>
      </c>
      <c r="F41" s="126">
        <v>30</v>
      </c>
      <c r="G41" s="128">
        <f t="shared" ref="G41:G69" si="1">E41*F41</f>
        <v>54000</v>
      </c>
    </row>
    <row r="42" spans="2:7" ht="15.75" thickBot="1" x14ac:dyDescent="0.3">
      <c r="B42" s="55">
        <v>2</v>
      </c>
      <c r="C42" s="54" t="s">
        <v>868</v>
      </c>
      <c r="D42" s="53" t="s">
        <v>869</v>
      </c>
      <c r="E42" s="53">
        <v>1800</v>
      </c>
      <c r="F42" s="126">
        <v>12</v>
      </c>
      <c r="G42" s="127">
        <f t="shared" si="1"/>
        <v>21600</v>
      </c>
    </row>
    <row r="43" spans="2:7" ht="15.75" thickBot="1" x14ac:dyDescent="0.3">
      <c r="B43" s="55">
        <v>3</v>
      </c>
      <c r="C43" s="54" t="s">
        <v>870</v>
      </c>
      <c r="D43" s="53" t="s">
        <v>867</v>
      </c>
      <c r="E43" s="53">
        <v>100</v>
      </c>
      <c r="F43" s="126">
        <v>10</v>
      </c>
      <c r="G43" s="127">
        <f t="shared" si="1"/>
        <v>1000</v>
      </c>
    </row>
    <row r="44" spans="2:7" ht="15.75" thickBot="1" x14ac:dyDescent="0.3">
      <c r="B44" s="55">
        <v>4</v>
      </c>
      <c r="C44" s="54" t="s">
        <v>871</v>
      </c>
      <c r="D44" s="53" t="s">
        <v>325</v>
      </c>
      <c r="E44" s="53">
        <v>200</v>
      </c>
      <c r="F44" s="126">
        <v>21</v>
      </c>
      <c r="G44" s="127">
        <f t="shared" si="1"/>
        <v>4200</v>
      </c>
    </row>
    <row r="45" spans="2:7" ht="15.75" thickBot="1" x14ac:dyDescent="0.3">
      <c r="B45" s="55">
        <v>5</v>
      </c>
      <c r="C45" s="54" t="s">
        <v>898</v>
      </c>
      <c r="D45" s="53" t="s">
        <v>325</v>
      </c>
      <c r="E45" s="53">
        <v>90</v>
      </c>
      <c r="F45" s="126">
        <v>15</v>
      </c>
      <c r="G45" s="127">
        <f t="shared" si="1"/>
        <v>1350</v>
      </c>
    </row>
    <row r="46" spans="2:7" ht="15.75" thickBot="1" x14ac:dyDescent="0.3">
      <c r="B46" s="55">
        <v>6</v>
      </c>
      <c r="C46" s="54" t="s">
        <v>874</v>
      </c>
      <c r="D46" s="53" t="s">
        <v>325</v>
      </c>
      <c r="E46" s="53">
        <v>90</v>
      </c>
      <c r="F46" s="126">
        <v>18</v>
      </c>
      <c r="G46" s="127">
        <f t="shared" si="1"/>
        <v>1620</v>
      </c>
    </row>
    <row r="47" spans="2:7" ht="15.75" thickBot="1" x14ac:dyDescent="0.3">
      <c r="B47" s="55">
        <v>7</v>
      </c>
      <c r="C47" s="54" t="s">
        <v>875</v>
      </c>
      <c r="D47" s="53" t="s">
        <v>325</v>
      </c>
      <c r="E47" s="53">
        <v>90</v>
      </c>
      <c r="F47" s="126">
        <v>22</v>
      </c>
      <c r="G47" s="127">
        <f t="shared" si="1"/>
        <v>1980</v>
      </c>
    </row>
    <row r="48" spans="2:7" ht="15.75" thickBot="1" x14ac:dyDescent="0.3">
      <c r="B48" s="55">
        <v>8</v>
      </c>
      <c r="C48" s="54" t="s">
        <v>876</v>
      </c>
      <c r="D48" s="53" t="s">
        <v>325</v>
      </c>
      <c r="E48" s="53">
        <v>90</v>
      </c>
      <c r="F48" s="126">
        <v>35</v>
      </c>
      <c r="G48" s="127">
        <f t="shared" si="1"/>
        <v>3150</v>
      </c>
    </row>
    <row r="49" spans="2:7" ht="15.75" thickBot="1" x14ac:dyDescent="0.3">
      <c r="B49" s="55">
        <v>9</v>
      </c>
      <c r="C49" s="54" t="s">
        <v>877</v>
      </c>
      <c r="D49" s="53" t="s">
        <v>325</v>
      </c>
      <c r="E49" s="53">
        <v>90</v>
      </c>
      <c r="F49" s="126">
        <v>25</v>
      </c>
      <c r="G49" s="127">
        <f t="shared" si="1"/>
        <v>2250</v>
      </c>
    </row>
    <row r="50" spans="2:7" ht="15.75" thickBot="1" x14ac:dyDescent="0.3">
      <c r="B50" s="55">
        <v>10</v>
      </c>
      <c r="C50" s="54" t="s">
        <v>878</v>
      </c>
      <c r="D50" s="53" t="s">
        <v>325</v>
      </c>
      <c r="E50" s="53">
        <v>90</v>
      </c>
      <c r="F50" s="126">
        <v>20</v>
      </c>
      <c r="G50" s="127">
        <f t="shared" si="1"/>
        <v>1800</v>
      </c>
    </row>
    <row r="51" spans="2:7" ht="15.75" thickBot="1" x14ac:dyDescent="0.3">
      <c r="B51" s="55">
        <v>11</v>
      </c>
      <c r="C51" s="54" t="s">
        <v>879</v>
      </c>
      <c r="D51" s="53" t="s">
        <v>325</v>
      </c>
      <c r="E51" s="53">
        <v>90</v>
      </c>
      <c r="F51" s="126">
        <v>40</v>
      </c>
      <c r="G51" s="127">
        <f t="shared" si="1"/>
        <v>3600</v>
      </c>
    </row>
    <row r="52" spans="2:7" ht="15.75" thickBot="1" x14ac:dyDescent="0.3">
      <c r="B52" s="55">
        <v>12</v>
      </c>
      <c r="C52" s="54" t="s">
        <v>880</v>
      </c>
      <c r="D52" s="53" t="s">
        <v>325</v>
      </c>
      <c r="E52" s="53">
        <v>270</v>
      </c>
      <c r="F52" s="126">
        <v>0.3</v>
      </c>
      <c r="G52" s="127">
        <f t="shared" si="1"/>
        <v>81</v>
      </c>
    </row>
    <row r="53" spans="2:7" ht="15.75" thickBot="1" x14ac:dyDescent="0.3">
      <c r="B53" s="55">
        <v>13</v>
      </c>
      <c r="C53" s="54" t="s">
        <v>881</v>
      </c>
      <c r="D53" s="53" t="s">
        <v>325</v>
      </c>
      <c r="E53" s="53">
        <v>270</v>
      </c>
      <c r="F53" s="126">
        <v>0.45</v>
      </c>
      <c r="G53" s="127">
        <f t="shared" si="1"/>
        <v>121.5</v>
      </c>
    </row>
    <row r="54" spans="2:7" ht="15.75" thickBot="1" x14ac:dyDescent="0.3">
      <c r="B54" s="55">
        <v>14</v>
      </c>
      <c r="C54" s="54" t="s">
        <v>882</v>
      </c>
      <c r="D54" s="53" t="s">
        <v>325</v>
      </c>
      <c r="E54" s="53">
        <v>270</v>
      </c>
      <c r="F54" s="126">
        <v>0.45</v>
      </c>
      <c r="G54" s="127">
        <f t="shared" si="1"/>
        <v>121.5</v>
      </c>
    </row>
    <row r="55" spans="2:7" ht="15.75" thickBot="1" x14ac:dyDescent="0.3">
      <c r="B55" s="55">
        <v>15</v>
      </c>
      <c r="C55" s="54" t="s">
        <v>883</v>
      </c>
      <c r="D55" s="53" t="s">
        <v>325</v>
      </c>
      <c r="E55" s="53">
        <v>90</v>
      </c>
      <c r="F55" s="126">
        <v>50</v>
      </c>
      <c r="G55" s="127">
        <f t="shared" si="1"/>
        <v>4500</v>
      </c>
    </row>
    <row r="56" spans="2:7" ht="15.75" thickBot="1" x14ac:dyDescent="0.3">
      <c r="B56" s="55">
        <v>16</v>
      </c>
      <c r="C56" s="54" t="s">
        <v>884</v>
      </c>
      <c r="D56" s="53" t="s">
        <v>325</v>
      </c>
      <c r="E56" s="53">
        <v>18</v>
      </c>
      <c r="F56" s="126">
        <v>85</v>
      </c>
      <c r="G56" s="127">
        <f t="shared" si="1"/>
        <v>1530</v>
      </c>
    </row>
    <row r="57" spans="2:7" ht="15.75" thickBot="1" x14ac:dyDescent="0.3">
      <c r="B57" s="55">
        <v>17</v>
      </c>
      <c r="C57" s="54" t="s">
        <v>885</v>
      </c>
      <c r="D57" s="53" t="s">
        <v>325</v>
      </c>
      <c r="E57" s="53">
        <v>24</v>
      </c>
      <c r="F57" s="126">
        <v>58</v>
      </c>
      <c r="G57" s="127">
        <f t="shared" si="1"/>
        <v>1392</v>
      </c>
    </row>
    <row r="58" spans="2:7" ht="15.75" thickBot="1" x14ac:dyDescent="0.3">
      <c r="B58" s="55">
        <v>18</v>
      </c>
      <c r="C58" s="54" t="s">
        <v>886</v>
      </c>
      <c r="D58" s="53" t="s">
        <v>325</v>
      </c>
      <c r="E58" s="53">
        <v>24</v>
      </c>
      <c r="F58" s="126">
        <v>984</v>
      </c>
      <c r="G58" s="127">
        <f t="shared" si="1"/>
        <v>23616</v>
      </c>
    </row>
    <row r="59" spans="2:7" ht="15.75" thickBot="1" x14ac:dyDescent="0.3">
      <c r="B59" s="55">
        <v>19</v>
      </c>
      <c r="C59" s="54" t="s">
        <v>887</v>
      </c>
      <c r="D59" s="53" t="s">
        <v>325</v>
      </c>
      <c r="E59" s="53">
        <v>24</v>
      </c>
      <c r="F59" s="126">
        <v>116</v>
      </c>
      <c r="G59" s="127">
        <f t="shared" si="1"/>
        <v>2784</v>
      </c>
    </row>
    <row r="60" spans="2:7" ht="15.75" thickBot="1" x14ac:dyDescent="0.3">
      <c r="B60" s="55">
        <v>20</v>
      </c>
      <c r="C60" s="54" t="s">
        <v>888</v>
      </c>
      <c r="D60" s="53" t="s">
        <v>325</v>
      </c>
      <c r="E60" s="53">
        <v>9</v>
      </c>
      <c r="F60" s="126">
        <v>54</v>
      </c>
      <c r="G60" s="127">
        <f t="shared" si="1"/>
        <v>486</v>
      </c>
    </row>
    <row r="61" spans="2:7" ht="15.75" thickBot="1" x14ac:dyDescent="0.3">
      <c r="B61" s="55">
        <v>21</v>
      </c>
      <c r="C61" s="54" t="s">
        <v>889</v>
      </c>
      <c r="D61" s="53" t="s">
        <v>325</v>
      </c>
      <c r="E61" s="53">
        <v>270</v>
      </c>
      <c r="F61" s="126">
        <v>21</v>
      </c>
      <c r="G61" s="127">
        <f t="shared" si="1"/>
        <v>5670</v>
      </c>
    </row>
    <row r="62" spans="2:7" ht="15.75" thickBot="1" x14ac:dyDescent="0.3">
      <c r="B62" s="55">
        <v>22</v>
      </c>
      <c r="C62" s="54" t="s">
        <v>890</v>
      </c>
      <c r="D62" s="53" t="s">
        <v>891</v>
      </c>
      <c r="E62" s="53">
        <v>900</v>
      </c>
      <c r="F62" s="126">
        <v>35</v>
      </c>
      <c r="G62" s="127">
        <f t="shared" si="1"/>
        <v>31500</v>
      </c>
    </row>
    <row r="63" spans="2:7" ht="15.75" thickBot="1" x14ac:dyDescent="0.3">
      <c r="B63" s="55">
        <v>23</v>
      </c>
      <c r="C63" s="54" t="s">
        <v>892</v>
      </c>
      <c r="D63" s="53" t="s">
        <v>325</v>
      </c>
      <c r="E63" s="53">
        <v>90</v>
      </c>
      <c r="F63" s="126">
        <v>40</v>
      </c>
      <c r="G63" s="127">
        <f t="shared" si="1"/>
        <v>3600</v>
      </c>
    </row>
    <row r="64" spans="2:7" ht="15.75" thickBot="1" x14ac:dyDescent="0.3">
      <c r="B64" s="55">
        <v>24</v>
      </c>
      <c r="C64" s="54" t="s">
        <v>893</v>
      </c>
      <c r="D64" s="53" t="s">
        <v>894</v>
      </c>
      <c r="E64" s="53">
        <v>27</v>
      </c>
      <c r="F64" s="51">
        <v>2000</v>
      </c>
      <c r="G64" s="127">
        <f t="shared" si="1"/>
        <v>54000</v>
      </c>
    </row>
    <row r="65" spans="2:7" ht="15.75" thickBot="1" x14ac:dyDescent="0.3">
      <c r="B65" s="55">
        <v>25</v>
      </c>
      <c r="C65" s="54" t="s">
        <v>899</v>
      </c>
      <c r="D65" s="53" t="s">
        <v>900</v>
      </c>
      <c r="E65" s="53">
        <v>1200</v>
      </c>
      <c r="F65" s="126">
        <v>35</v>
      </c>
      <c r="G65" s="127">
        <f t="shared" si="1"/>
        <v>42000</v>
      </c>
    </row>
    <row r="66" spans="2:7" ht="15.75" thickBot="1" x14ac:dyDescent="0.3">
      <c r="B66" s="55">
        <v>26</v>
      </c>
      <c r="C66" s="54" t="s">
        <v>901</v>
      </c>
      <c r="D66" s="53" t="s">
        <v>900</v>
      </c>
      <c r="E66" s="53">
        <v>600</v>
      </c>
      <c r="F66" s="126">
        <v>56</v>
      </c>
      <c r="G66" s="127">
        <f t="shared" si="1"/>
        <v>33600</v>
      </c>
    </row>
    <row r="67" spans="2:7" ht="15.75" thickBot="1" x14ac:dyDescent="0.3">
      <c r="B67" s="55">
        <v>27</v>
      </c>
      <c r="C67" s="54" t="s">
        <v>902</v>
      </c>
      <c r="D67" s="53" t="s">
        <v>903</v>
      </c>
      <c r="E67" s="53">
        <v>500</v>
      </c>
      <c r="F67" s="126">
        <v>23</v>
      </c>
      <c r="G67" s="127">
        <f t="shared" si="1"/>
        <v>11500</v>
      </c>
    </row>
    <row r="68" spans="2:7" ht="15.75" thickBot="1" x14ac:dyDescent="0.3">
      <c r="B68" s="55">
        <v>28</v>
      </c>
      <c r="C68" s="54" t="s">
        <v>904</v>
      </c>
      <c r="D68" s="53" t="s">
        <v>905</v>
      </c>
      <c r="E68" s="53">
        <v>300</v>
      </c>
      <c r="F68" s="126">
        <v>130</v>
      </c>
      <c r="G68" s="127">
        <f t="shared" si="1"/>
        <v>39000</v>
      </c>
    </row>
    <row r="69" spans="2:7" ht="15.75" thickBot="1" x14ac:dyDescent="0.3">
      <c r="B69" s="55">
        <v>29</v>
      </c>
      <c r="C69" s="54" t="s">
        <v>906</v>
      </c>
      <c r="D69" s="53" t="s">
        <v>907</v>
      </c>
      <c r="E69" s="53">
        <v>3000</v>
      </c>
      <c r="F69" s="126">
        <v>5.7</v>
      </c>
      <c r="G69" s="127">
        <f t="shared" si="1"/>
        <v>17100</v>
      </c>
    </row>
    <row r="70" spans="2:7" ht="15.75" thickBot="1" x14ac:dyDescent="0.3">
      <c r="B70" s="1077" t="s">
        <v>192</v>
      </c>
      <c r="C70" s="1078"/>
      <c r="D70" s="1078"/>
      <c r="E70" s="1079"/>
      <c r="F70" s="127">
        <f>SUM(F41:F69)</f>
        <v>3941.8999999999996</v>
      </c>
      <c r="G70" s="46">
        <f>SUM(G41:G69)</f>
        <v>369152</v>
      </c>
    </row>
  </sheetData>
  <mergeCells count="10">
    <mergeCell ref="B70:E70"/>
    <mergeCell ref="B9:B10"/>
    <mergeCell ref="C9:C10"/>
    <mergeCell ref="D9:D10"/>
    <mergeCell ref="E9:E10"/>
    <mergeCell ref="B36:E36"/>
    <mergeCell ref="B39:B40"/>
    <mergeCell ref="C39:C40"/>
    <mergeCell ref="D39:D40"/>
    <mergeCell ref="E39:E40"/>
  </mergeCells>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4"/>
  <sheetViews>
    <sheetView showGridLines="0" workbookViewId="0"/>
  </sheetViews>
  <sheetFormatPr defaultColWidth="8.85546875" defaultRowHeight="15" x14ac:dyDescent="0.25"/>
  <cols>
    <col min="1" max="1" width="51" bestFit="1" customWidth="1"/>
    <col min="2" max="2" width="13.28515625" bestFit="1" customWidth="1"/>
    <col min="5" max="5" width="12" bestFit="1" customWidth="1"/>
    <col min="6" max="6" width="41.28515625" bestFit="1" customWidth="1"/>
    <col min="7" max="7" width="11.42578125" customWidth="1"/>
    <col min="8" max="8" width="13.28515625" customWidth="1"/>
  </cols>
  <sheetData>
    <row r="1" spans="1:8" x14ac:dyDescent="0.25">
      <c r="A1" s="1080" t="s">
        <v>908</v>
      </c>
      <c r="B1" s="1080"/>
      <c r="C1" s="1080"/>
      <c r="D1" s="1080"/>
    </row>
    <row r="2" spans="1:8" ht="15.75" thickBot="1" x14ac:dyDescent="0.3"/>
    <row r="3" spans="1:8" x14ac:dyDescent="0.25">
      <c r="A3" s="37" t="s">
        <v>909</v>
      </c>
      <c r="B3" s="36"/>
      <c r="C3" s="36"/>
      <c r="D3" s="36"/>
      <c r="E3" s="36"/>
      <c r="F3" s="36"/>
      <c r="G3" s="36"/>
      <c r="H3" s="148"/>
    </row>
    <row r="4" spans="1:8" x14ac:dyDescent="0.25">
      <c r="A4" s="34" t="s">
        <v>910</v>
      </c>
      <c r="B4" s="3">
        <v>500000</v>
      </c>
      <c r="C4" t="s">
        <v>911</v>
      </c>
      <c r="F4" s="147" t="s">
        <v>7</v>
      </c>
      <c r="G4" s="147" t="s">
        <v>9</v>
      </c>
      <c r="H4" s="146" t="s">
        <v>172</v>
      </c>
    </row>
    <row r="5" spans="1:8" x14ac:dyDescent="0.25">
      <c r="A5" s="34" t="s">
        <v>912</v>
      </c>
      <c r="B5" s="3">
        <v>9</v>
      </c>
      <c r="C5" t="s">
        <v>913</v>
      </c>
      <c r="F5" s="14" t="s">
        <v>205</v>
      </c>
      <c r="G5" s="14" t="s">
        <v>205</v>
      </c>
      <c r="H5" s="138" t="s">
        <v>205</v>
      </c>
    </row>
    <row r="6" spans="1:8" x14ac:dyDescent="0.25">
      <c r="A6" s="34" t="s">
        <v>914</v>
      </c>
      <c r="B6" s="3">
        <f>B4*B5</f>
        <v>4500000</v>
      </c>
      <c r="F6" s="145">
        <f>B8*(6/9)</f>
        <v>300000</v>
      </c>
      <c r="G6" s="145">
        <f>B8*(3/9)</f>
        <v>150000</v>
      </c>
      <c r="H6" s="144">
        <f>F6+G6</f>
        <v>450000</v>
      </c>
    </row>
    <row r="7" spans="1:8" x14ac:dyDescent="0.25">
      <c r="A7" s="34" t="s">
        <v>915</v>
      </c>
      <c r="B7" s="5">
        <v>0.1</v>
      </c>
      <c r="C7" t="s">
        <v>916</v>
      </c>
      <c r="F7" s="82" t="s">
        <v>340</v>
      </c>
      <c r="G7" s="1045">
        <f>'custos unitários para atualizar'!B4</f>
        <v>0.79693099999999994</v>
      </c>
      <c r="H7" s="1046"/>
    </row>
    <row r="8" spans="1:8" ht="15.75" thickBot="1" x14ac:dyDescent="0.3">
      <c r="A8" s="32" t="s">
        <v>917</v>
      </c>
      <c r="B8" s="137">
        <f>B7*B6</f>
        <v>450000</v>
      </c>
      <c r="C8" s="31" t="s">
        <v>205</v>
      </c>
      <c r="D8" s="31"/>
      <c r="E8" s="31"/>
      <c r="F8" s="82" t="s">
        <v>342</v>
      </c>
      <c r="G8" s="1047">
        <f>H6*(1+G7)</f>
        <v>808618.95</v>
      </c>
      <c r="H8" s="1048"/>
    </row>
    <row r="10" spans="1:8" ht="15.75" thickBot="1" x14ac:dyDescent="0.3"/>
    <row r="11" spans="1:8" x14ac:dyDescent="0.25">
      <c r="A11" s="142" t="s">
        <v>918</v>
      </c>
      <c r="B11" s="36"/>
      <c r="C11" s="36"/>
      <c r="D11" s="36"/>
      <c r="E11" s="36"/>
      <c r="F11" s="141" t="s">
        <v>7</v>
      </c>
      <c r="G11" s="141" t="s">
        <v>9</v>
      </c>
      <c r="H11" s="140" t="s">
        <v>172</v>
      </c>
    </row>
    <row r="12" spans="1:8" x14ac:dyDescent="0.25">
      <c r="A12" s="34" t="s">
        <v>919</v>
      </c>
      <c r="B12" s="139">
        <v>20</v>
      </c>
      <c r="C12" t="s">
        <v>491</v>
      </c>
      <c r="F12" s="14" t="s">
        <v>205</v>
      </c>
      <c r="G12" s="14" t="s">
        <v>205</v>
      </c>
      <c r="H12" s="138" t="s">
        <v>205</v>
      </c>
    </row>
    <row r="13" spans="1:8" ht="15.75" thickBot="1" x14ac:dyDescent="0.3">
      <c r="A13" s="32" t="s">
        <v>920</v>
      </c>
      <c r="B13" s="137">
        <f>B6/B12</f>
        <v>225000</v>
      </c>
      <c r="C13" s="31" t="s">
        <v>205</v>
      </c>
      <c r="D13" s="31"/>
      <c r="E13" s="31"/>
      <c r="F13" s="136">
        <f>B13*(6/9)</f>
        <v>150000</v>
      </c>
      <c r="G13" s="136">
        <f>B13*(3/9)</f>
        <v>75000</v>
      </c>
      <c r="H13" s="135">
        <f>F13+G13</f>
        <v>225000</v>
      </c>
    </row>
    <row r="14" spans="1:8" x14ac:dyDescent="0.25">
      <c r="B14" s="3"/>
    </row>
  </sheetData>
  <mergeCells count="3">
    <mergeCell ref="A1:D1"/>
    <mergeCell ref="G7:H7"/>
    <mergeCell ref="G8:H8"/>
  </mergeCells>
  <pageMargins left="0.511811024" right="0.511811024" top="0.78740157499999996" bottom="0.78740157499999996" header="0.31496062000000002" footer="0.31496062000000002"/>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I134"/>
  <sheetViews>
    <sheetView showGridLines="0" workbookViewId="0"/>
  </sheetViews>
  <sheetFormatPr defaultColWidth="12.42578125" defaultRowHeight="15" x14ac:dyDescent="0.25"/>
  <cols>
    <col min="1" max="1" width="9.28515625" customWidth="1"/>
    <col min="2" max="2" width="41.42578125" bestFit="1" customWidth="1"/>
    <col min="3" max="3" width="23.28515625" bestFit="1" customWidth="1"/>
    <col min="6" max="6" width="14" customWidth="1"/>
    <col min="7" max="7" width="41.28515625" bestFit="1" customWidth="1"/>
    <col min="8" max="8" width="22.85546875" customWidth="1"/>
  </cols>
  <sheetData>
    <row r="2" spans="2:9" x14ac:dyDescent="0.25">
      <c r="C2" s="4"/>
      <c r="F2" s="147" t="s">
        <v>7</v>
      </c>
      <c r="G2" s="147" t="s">
        <v>9</v>
      </c>
      <c r="H2" s="147" t="s">
        <v>172</v>
      </c>
    </row>
    <row r="3" spans="2:9" x14ac:dyDescent="0.25">
      <c r="F3" s="14" t="s">
        <v>205</v>
      </c>
      <c r="G3" s="14" t="s">
        <v>205</v>
      </c>
      <c r="H3" s="14" t="s">
        <v>205</v>
      </c>
    </row>
    <row r="4" spans="2:9" x14ac:dyDescent="0.25">
      <c r="B4" s="1080" t="s">
        <v>921</v>
      </c>
      <c r="C4" s="1080"/>
      <c r="D4" s="1080"/>
      <c r="E4" s="1080"/>
      <c r="F4" s="145"/>
      <c r="G4" s="145"/>
      <c r="H4" s="145">
        <f>C15</f>
        <v>859552.22661190142</v>
      </c>
    </row>
    <row r="5" spans="2:9" x14ac:dyDescent="0.25">
      <c r="G5" s="82" t="s">
        <v>340</v>
      </c>
      <c r="H5" s="309">
        <f>'custos unitários para atualizar'!$B$4</f>
        <v>0.79693099999999994</v>
      </c>
      <c r="I5" s="668"/>
    </row>
    <row r="6" spans="2:9" x14ac:dyDescent="0.25">
      <c r="G6" s="82" t="s">
        <v>342</v>
      </c>
      <c r="H6" s="663">
        <f>H4*(1+H5)</f>
        <v>1544556.0421179505</v>
      </c>
      <c r="I6" s="664"/>
    </row>
    <row r="7" spans="2:9" x14ac:dyDescent="0.25">
      <c r="B7" t="s">
        <v>922</v>
      </c>
      <c r="C7" s="4">
        <f>2720000*G11</f>
        <v>4810662.6674575554</v>
      </c>
    </row>
    <row r="8" spans="2:9" x14ac:dyDescent="0.25">
      <c r="B8" t="s">
        <v>923</v>
      </c>
      <c r="C8" s="4">
        <f>780000*G11</f>
        <v>1379528.2649326813</v>
      </c>
      <c r="F8" t="s">
        <v>924</v>
      </c>
    </row>
    <row r="9" spans="2:9" x14ac:dyDescent="0.25">
      <c r="B9" t="s">
        <v>925</v>
      </c>
      <c r="C9">
        <v>7.5</v>
      </c>
      <c r="D9" t="s">
        <v>491</v>
      </c>
      <c r="F9" s="849">
        <v>39295</v>
      </c>
      <c r="G9" s="850">
        <v>357.404</v>
      </c>
    </row>
    <row r="10" spans="2:9" x14ac:dyDescent="0.25">
      <c r="B10" t="s">
        <v>926</v>
      </c>
      <c r="C10">
        <v>6</v>
      </c>
      <c r="D10" t="s">
        <v>491</v>
      </c>
      <c r="F10" s="134">
        <v>42401</v>
      </c>
      <c r="G10" s="133">
        <v>632.11400000000003</v>
      </c>
    </row>
    <row r="11" spans="2:9" x14ac:dyDescent="0.25">
      <c r="B11" t="s">
        <v>927</v>
      </c>
      <c r="C11" s="5">
        <v>0.15</v>
      </c>
      <c r="D11" t="s">
        <v>928</v>
      </c>
      <c r="F11" s="619" t="s">
        <v>929</v>
      </c>
      <c r="G11" s="620">
        <f>G10/G9</f>
        <v>1.7686259806829248</v>
      </c>
    </row>
    <row r="12" spans="2:9" x14ac:dyDescent="0.25">
      <c r="B12" t="s">
        <v>930</v>
      </c>
      <c r="C12" s="5">
        <v>0.1</v>
      </c>
      <c r="D12" t="s">
        <v>928</v>
      </c>
    </row>
    <row r="13" spans="2:9" x14ac:dyDescent="0.25">
      <c r="B13" t="s">
        <v>931</v>
      </c>
      <c r="C13" s="4">
        <f>C7*C11</f>
        <v>721599.40011863329</v>
      </c>
      <c r="D13" t="s">
        <v>205</v>
      </c>
    </row>
    <row r="14" spans="2:9" x14ac:dyDescent="0.25">
      <c r="B14" t="s">
        <v>932</v>
      </c>
      <c r="C14" s="4">
        <f>C8*C12</f>
        <v>137952.82649326813</v>
      </c>
      <c r="D14" t="s">
        <v>205</v>
      </c>
    </row>
    <row r="15" spans="2:9" x14ac:dyDescent="0.25">
      <c r="B15" t="s">
        <v>933</v>
      </c>
      <c r="C15" s="4">
        <f>C13+C14</f>
        <v>859552.22661190142</v>
      </c>
      <c r="D15" t="s">
        <v>205</v>
      </c>
    </row>
    <row r="16" spans="2:9" x14ac:dyDescent="0.25">
      <c r="B16" t="s">
        <v>934</v>
      </c>
      <c r="C16" s="4">
        <f>C7/C9</f>
        <v>641421.68899434071</v>
      </c>
      <c r="D16" t="s">
        <v>205</v>
      </c>
      <c r="E16" t="s">
        <v>935</v>
      </c>
    </row>
    <row r="17" spans="1:8" x14ac:dyDescent="0.25">
      <c r="B17" t="s">
        <v>936</v>
      </c>
      <c r="C17" s="4">
        <f>C8/C10</f>
        <v>229921.37748878021</v>
      </c>
      <c r="D17" t="s">
        <v>205</v>
      </c>
      <c r="E17" t="s">
        <v>935</v>
      </c>
    </row>
    <row r="18" spans="1:8" x14ac:dyDescent="0.25">
      <c r="C18" s="4"/>
    </row>
    <row r="19" spans="1:8" x14ac:dyDescent="0.25">
      <c r="A19" s="621"/>
      <c r="B19" s="621"/>
      <c r="C19" s="622"/>
      <c r="D19" s="621"/>
      <c r="E19" s="621"/>
      <c r="F19" s="621"/>
      <c r="G19" s="621"/>
      <c r="H19" s="621"/>
    </row>
    <row r="24" spans="1:8" x14ac:dyDescent="0.25">
      <c r="F24" s="4">
        <f>1730895.29-C15</f>
        <v>871343.06338809861</v>
      </c>
    </row>
    <row r="37" spans="2:8" x14ac:dyDescent="0.25">
      <c r="F37" s="147"/>
      <c r="G37" s="147"/>
      <c r="H37" s="147"/>
    </row>
    <row r="38" spans="2:8" x14ac:dyDescent="0.25">
      <c r="F38" s="14"/>
      <c r="G38" s="14"/>
      <c r="H38" s="14"/>
    </row>
    <row r="39" spans="2:8" x14ac:dyDescent="0.25">
      <c r="B39" s="1082"/>
      <c r="C39" s="1082"/>
      <c r="D39" s="1082"/>
      <c r="E39" s="1082"/>
      <c r="F39" s="4"/>
      <c r="G39" s="4"/>
      <c r="H39" s="4"/>
    </row>
    <row r="42" spans="2:8" x14ac:dyDescent="0.25">
      <c r="B42" s="150"/>
    </row>
    <row r="45" spans="2:8" x14ac:dyDescent="0.25">
      <c r="C45" s="3"/>
    </row>
    <row r="46" spans="2:8" x14ac:dyDescent="0.25">
      <c r="C46" s="3"/>
    </row>
    <row r="48" spans="2:8" x14ac:dyDescent="0.25">
      <c r="C48" s="3"/>
    </row>
    <row r="49" spans="2:8" x14ac:dyDescent="0.25">
      <c r="C49" s="3"/>
    </row>
    <row r="51" spans="2:8" x14ac:dyDescent="0.25">
      <c r="C51" s="3"/>
    </row>
    <row r="52" spans="2:8" x14ac:dyDescent="0.25">
      <c r="B52" s="15"/>
      <c r="C52" s="3"/>
    </row>
    <row r="53" spans="2:8" x14ac:dyDescent="0.25">
      <c r="C53" s="157"/>
    </row>
    <row r="54" spans="2:8" x14ac:dyDescent="0.25">
      <c r="C54" s="157"/>
    </row>
    <row r="55" spans="2:8" x14ac:dyDescent="0.25">
      <c r="C55" s="3"/>
    </row>
    <row r="56" spans="2:8" x14ac:dyDescent="0.25">
      <c r="C56" s="3"/>
    </row>
    <row r="57" spans="2:8" x14ac:dyDescent="0.25">
      <c r="C57" s="3"/>
    </row>
    <row r="58" spans="2:8" x14ac:dyDescent="0.25">
      <c r="C58" s="3"/>
      <c r="F58" s="147"/>
      <c r="G58" s="147"/>
      <c r="H58" s="147"/>
    </row>
    <row r="59" spans="2:8" x14ac:dyDescent="0.25">
      <c r="C59" s="3"/>
    </row>
    <row r="61" spans="2:8" x14ac:dyDescent="0.25">
      <c r="B61" s="15"/>
      <c r="C61" s="3"/>
    </row>
    <row r="62" spans="2:8" x14ac:dyDescent="0.25">
      <c r="C62" s="3"/>
    </row>
    <row r="63" spans="2:8" x14ac:dyDescent="0.25">
      <c r="C63" s="3"/>
    </row>
    <row r="64" spans="2:8" x14ac:dyDescent="0.25">
      <c r="C64" s="3"/>
    </row>
    <row r="65" spans="2:3" x14ac:dyDescent="0.25">
      <c r="C65" s="3"/>
    </row>
    <row r="66" spans="2:3" x14ac:dyDescent="0.25">
      <c r="C66" s="3"/>
    </row>
    <row r="67" spans="2:3" x14ac:dyDescent="0.25">
      <c r="C67" s="3"/>
    </row>
    <row r="68" spans="2:3" x14ac:dyDescent="0.25">
      <c r="C68" s="3"/>
    </row>
    <row r="69" spans="2:3" x14ac:dyDescent="0.25">
      <c r="C69" s="3"/>
    </row>
    <row r="70" spans="2:3" x14ac:dyDescent="0.25">
      <c r="C70" s="3"/>
    </row>
    <row r="71" spans="2:3" x14ac:dyDescent="0.25">
      <c r="C71" s="3"/>
    </row>
    <row r="72" spans="2:3" x14ac:dyDescent="0.25">
      <c r="B72" s="15"/>
      <c r="C72" s="3"/>
    </row>
    <row r="73" spans="2:3" x14ac:dyDescent="0.25">
      <c r="C73" s="3"/>
    </row>
    <row r="74" spans="2:3" x14ac:dyDescent="0.25">
      <c r="C74" s="3"/>
    </row>
    <row r="75" spans="2:3" x14ac:dyDescent="0.25">
      <c r="C75" s="3"/>
    </row>
    <row r="76" spans="2:3" x14ac:dyDescent="0.25">
      <c r="C76" s="3"/>
    </row>
    <row r="77" spans="2:3" x14ac:dyDescent="0.25">
      <c r="C77" s="3"/>
    </row>
    <row r="78" spans="2:3" x14ac:dyDescent="0.25">
      <c r="C78" s="3"/>
    </row>
    <row r="79" spans="2:3" x14ac:dyDescent="0.25">
      <c r="C79" s="3"/>
    </row>
    <row r="80" spans="2:3" x14ac:dyDescent="0.25">
      <c r="C80" s="3"/>
    </row>
    <row r="81" spans="2:8" x14ac:dyDescent="0.25">
      <c r="F81" s="147"/>
      <c r="G81" s="147"/>
      <c r="H81" s="147"/>
    </row>
    <row r="82" spans="2:8" x14ac:dyDescent="0.25">
      <c r="F82" s="14"/>
      <c r="G82" s="14"/>
      <c r="H82" s="14"/>
    </row>
    <row r="83" spans="2:8" x14ac:dyDescent="0.25">
      <c r="B83" s="1082"/>
      <c r="C83" s="1082"/>
      <c r="D83" s="1082"/>
      <c r="E83" s="1082"/>
      <c r="F83" s="4"/>
      <c r="G83" s="4"/>
      <c r="H83" s="4"/>
    </row>
    <row r="85" spans="2:8" x14ac:dyDescent="0.25">
      <c r="C85" s="3"/>
    </row>
    <row r="86" spans="2:8" x14ac:dyDescent="0.25">
      <c r="C86" s="3"/>
    </row>
    <row r="87" spans="2:8" x14ac:dyDescent="0.25">
      <c r="C87" s="5"/>
    </row>
    <row r="88" spans="2:8" x14ac:dyDescent="0.25">
      <c r="C88" s="3"/>
    </row>
    <row r="89" spans="2:8" x14ac:dyDescent="0.25">
      <c r="C89" s="139"/>
    </row>
    <row r="90" spans="2:8" x14ac:dyDescent="0.25">
      <c r="C90" s="3"/>
    </row>
    <row r="91" spans="2:8" x14ac:dyDescent="0.25">
      <c r="C91" s="3"/>
    </row>
    <row r="92" spans="2:8" x14ac:dyDescent="0.25">
      <c r="F92" s="14"/>
      <c r="G92" s="14"/>
      <c r="H92" s="14"/>
    </row>
    <row r="93" spans="2:8" x14ac:dyDescent="0.25">
      <c r="B93" s="1082"/>
      <c r="C93" s="1082"/>
      <c r="D93" s="1082"/>
      <c r="E93" s="1082"/>
      <c r="F93" s="4"/>
      <c r="G93" s="4"/>
      <c r="H93" s="4"/>
    </row>
    <row r="94" spans="2:8" x14ac:dyDescent="0.25">
      <c r="C94" s="4"/>
    </row>
    <row r="96" spans="2:8" x14ac:dyDescent="0.25">
      <c r="C96" s="19"/>
    </row>
    <row r="97" spans="2:9" x14ac:dyDescent="0.25">
      <c r="C97" s="19"/>
    </row>
    <row r="98" spans="2:9" x14ac:dyDescent="0.25">
      <c r="C98" s="153"/>
      <c r="F98" s="153"/>
      <c r="G98" s="18"/>
    </row>
    <row r="99" spans="2:9" x14ac:dyDescent="0.25">
      <c r="C99" s="153"/>
    </row>
    <row r="102" spans="2:9" x14ac:dyDescent="0.25">
      <c r="C102" s="153"/>
    </row>
    <row r="103" spans="2:9" x14ac:dyDescent="0.25">
      <c r="C103" s="153"/>
    </row>
    <row r="104" spans="2:9" x14ac:dyDescent="0.25">
      <c r="C104" s="153"/>
    </row>
    <row r="105" spans="2:9" x14ac:dyDescent="0.25">
      <c r="C105" s="4"/>
    </row>
    <row r="106" spans="2:9" x14ac:dyDescent="0.25">
      <c r="C106" s="4"/>
    </row>
    <row r="107" spans="2:9" x14ac:dyDescent="0.25">
      <c r="C107" s="4"/>
    </row>
    <row r="108" spans="2:9" x14ac:dyDescent="0.25">
      <c r="C108" s="4"/>
    </row>
    <row r="110" spans="2:9" x14ac:dyDescent="0.25">
      <c r="B110" s="1082"/>
      <c r="C110" s="1082"/>
      <c r="D110" s="1082"/>
      <c r="E110" s="1082"/>
      <c r="F110" s="14"/>
      <c r="G110" s="14"/>
      <c r="H110" s="14"/>
      <c r="I110" s="12"/>
    </row>
    <row r="111" spans="2:9" x14ac:dyDescent="0.25">
      <c r="F111" s="4"/>
      <c r="G111" s="4"/>
      <c r="H111" s="4"/>
      <c r="I111" s="12"/>
    </row>
    <row r="112" spans="2:9" x14ac:dyDescent="0.25">
      <c r="I112" s="12"/>
    </row>
    <row r="113" spans="2:9" x14ac:dyDescent="0.25">
      <c r="B113" s="156"/>
      <c r="I113" s="155"/>
    </row>
    <row r="114" spans="2:9" x14ac:dyDescent="0.25">
      <c r="B114" s="18"/>
      <c r="D114" s="18"/>
      <c r="I114" s="12"/>
    </row>
    <row r="115" spans="2:9" x14ac:dyDescent="0.25">
      <c r="B115" s="18"/>
      <c r="D115" s="18"/>
      <c r="I115" s="12"/>
    </row>
    <row r="116" spans="2:9" x14ac:dyDescent="0.25">
      <c r="C116" s="154"/>
      <c r="I116" s="12"/>
    </row>
    <row r="117" spans="2:9" x14ac:dyDescent="0.25">
      <c r="C117" s="4"/>
      <c r="D117" s="18"/>
      <c r="I117" s="12"/>
    </row>
    <row r="118" spans="2:9" x14ac:dyDescent="0.25">
      <c r="C118" s="4"/>
      <c r="D118" s="18"/>
      <c r="I118" s="12"/>
    </row>
    <row r="119" spans="2:9" x14ac:dyDescent="0.25">
      <c r="C119" s="4"/>
      <c r="D119" s="18"/>
      <c r="I119" s="12"/>
    </row>
    <row r="120" spans="2:9" x14ac:dyDescent="0.25">
      <c r="C120" s="153"/>
      <c r="D120" s="18"/>
      <c r="I120" s="12"/>
    </row>
    <row r="121" spans="2:9" x14ac:dyDescent="0.25">
      <c r="B121" s="18"/>
      <c r="C121" s="19"/>
      <c r="E121" s="18"/>
      <c r="I121" s="12"/>
    </row>
    <row r="122" spans="2:9" x14ac:dyDescent="0.25">
      <c r="B122" s="18"/>
      <c r="C122" s="19"/>
      <c r="E122" s="18"/>
    </row>
    <row r="123" spans="2:9" x14ac:dyDescent="0.25">
      <c r="B123" s="18"/>
      <c r="C123" s="4"/>
      <c r="D123" s="18"/>
    </row>
    <row r="124" spans="2:9" x14ac:dyDescent="0.25">
      <c r="B124" s="18"/>
      <c r="C124" s="4"/>
      <c r="D124" s="18"/>
      <c r="I124" s="19"/>
    </row>
    <row r="126" spans="2:9" x14ac:dyDescent="0.25">
      <c r="B126" s="1081"/>
      <c r="C126" s="1081"/>
      <c r="D126" s="1081"/>
      <c r="E126" s="1081"/>
      <c r="F126" s="152"/>
    </row>
    <row r="127" spans="2:9" x14ac:dyDescent="0.25">
      <c r="F127" s="4"/>
    </row>
    <row r="128" spans="2:9" x14ac:dyDescent="0.25">
      <c r="B128" s="18"/>
      <c r="C128" s="4"/>
      <c r="D128" s="18"/>
    </row>
    <row r="129" spans="2:6" x14ac:dyDescent="0.25">
      <c r="B129" s="18"/>
      <c r="C129" s="4"/>
      <c r="D129" s="18"/>
    </row>
    <row r="130" spans="2:6" x14ac:dyDescent="0.25">
      <c r="C130" s="4"/>
      <c r="D130" s="18"/>
    </row>
    <row r="131" spans="2:6" x14ac:dyDescent="0.25">
      <c r="E131" s="18"/>
    </row>
    <row r="132" spans="2:6" x14ac:dyDescent="0.25">
      <c r="E132" s="151"/>
    </row>
    <row r="133" spans="2:6" x14ac:dyDescent="0.25">
      <c r="E133" s="151"/>
    </row>
    <row r="134" spans="2:6" x14ac:dyDescent="0.25">
      <c r="E134" s="150"/>
      <c r="F134" s="149"/>
    </row>
  </sheetData>
  <mergeCells count="6">
    <mergeCell ref="B126:E126"/>
    <mergeCell ref="B4:E4"/>
    <mergeCell ref="B39:E39"/>
    <mergeCell ref="B83:E83"/>
    <mergeCell ref="B93:E93"/>
    <mergeCell ref="B110:E110"/>
  </mergeCells>
  <pageMargins left="0.511811024" right="0.511811024" top="0.78740157499999996" bottom="0.78740157499999996" header="0.31496062000000002" footer="0.31496062000000002"/>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K22"/>
  <sheetViews>
    <sheetView showGridLines="0" topLeftCell="B1" workbookViewId="0"/>
  </sheetViews>
  <sheetFormatPr defaultColWidth="12.42578125" defaultRowHeight="15" x14ac:dyDescent="0.25"/>
  <cols>
    <col min="1" max="1" width="9.28515625" customWidth="1"/>
    <col min="2" max="2" width="41.42578125" bestFit="1" customWidth="1"/>
    <col min="3" max="3" width="23.28515625" bestFit="1" customWidth="1"/>
    <col min="6" max="6" width="14" customWidth="1"/>
    <col min="7" max="7" width="41.28515625" bestFit="1" customWidth="1"/>
    <col min="8" max="8" width="24.7109375" customWidth="1"/>
  </cols>
  <sheetData>
    <row r="2" spans="2:11" x14ac:dyDescent="0.25">
      <c r="B2" s="254" t="s">
        <v>937</v>
      </c>
      <c r="C2" s="254"/>
      <c r="D2" s="254"/>
      <c r="E2" s="254"/>
      <c r="F2" s="255" t="s">
        <v>7</v>
      </c>
      <c r="G2" s="255" t="s">
        <v>9</v>
      </c>
      <c r="H2" s="255" t="s">
        <v>172</v>
      </c>
    </row>
    <row r="3" spans="2:11" x14ac:dyDescent="0.25">
      <c r="B3" s="6"/>
      <c r="C3" s="6"/>
      <c r="D3" s="6"/>
      <c r="E3" s="6"/>
      <c r="F3" s="13" t="s">
        <v>205</v>
      </c>
      <c r="G3" s="13" t="s">
        <v>205</v>
      </c>
      <c r="H3" s="13" t="s">
        <v>205</v>
      </c>
    </row>
    <row r="4" spans="2:11" x14ac:dyDescent="0.25">
      <c r="B4" s="1083" t="s">
        <v>938</v>
      </c>
      <c r="C4" s="1083"/>
      <c r="D4" s="1083"/>
      <c r="E4" s="1083"/>
      <c r="F4" s="256">
        <f>C18</f>
        <v>544000</v>
      </c>
      <c r="G4" s="256">
        <f>C19</f>
        <v>630000</v>
      </c>
      <c r="H4" s="256">
        <v>0</v>
      </c>
    </row>
    <row r="5" spans="2:11" x14ac:dyDescent="0.25">
      <c r="B5" s="6" t="s">
        <v>939</v>
      </c>
      <c r="C5" s="120">
        <f>20000/3</f>
        <v>6666.666666666667</v>
      </c>
      <c r="D5" s="6" t="s">
        <v>547</v>
      </c>
      <c r="E5" s="6"/>
      <c r="F5" s="6"/>
      <c r="G5" s="6"/>
      <c r="H5" s="6"/>
      <c r="K5" s="120">
        <f>20000/3</f>
        <v>6666.666666666667</v>
      </c>
    </row>
    <row r="6" spans="2:11" x14ac:dyDescent="0.25">
      <c r="B6" s="6" t="s">
        <v>940</v>
      </c>
      <c r="C6" s="6">
        <v>80</v>
      </c>
      <c r="D6" s="6" t="s">
        <v>941</v>
      </c>
      <c r="E6" s="6"/>
      <c r="F6" s="132" t="s">
        <v>942</v>
      </c>
      <c r="G6" s="6"/>
      <c r="H6" s="6"/>
      <c r="K6" s="6">
        <v>80</v>
      </c>
    </row>
    <row r="7" spans="2:11" x14ac:dyDescent="0.25">
      <c r="B7" s="6" t="s">
        <v>943</v>
      </c>
      <c r="C7" s="235">
        <f>(217*2)+(220/2)</f>
        <v>544</v>
      </c>
      <c r="D7" s="6" t="s">
        <v>656</v>
      </c>
      <c r="E7" s="6" t="s">
        <v>944</v>
      </c>
      <c r="F7" s="6"/>
      <c r="G7" s="6"/>
      <c r="H7" s="6"/>
      <c r="K7" s="235">
        <f>(217*2)+(220/2)</f>
        <v>544</v>
      </c>
    </row>
    <row r="8" spans="2:11" x14ac:dyDescent="0.25">
      <c r="B8" s="6" t="s">
        <v>945</v>
      </c>
      <c r="C8" s="235">
        <f>(260*2)+(220/2)</f>
        <v>630</v>
      </c>
      <c r="D8" s="6" t="s">
        <v>656</v>
      </c>
      <c r="E8" s="6" t="s">
        <v>944</v>
      </c>
      <c r="F8" s="257" t="s">
        <v>946</v>
      </c>
      <c r="G8" s="13"/>
      <c r="H8" s="6"/>
      <c r="K8" s="235">
        <f>(260*2)+(220/2)</f>
        <v>630</v>
      </c>
    </row>
    <row r="9" spans="2:11" x14ac:dyDescent="0.25">
      <c r="B9" s="6" t="s">
        <v>947</v>
      </c>
      <c r="C9" s="11">
        <f>C7/C6</f>
        <v>6.8</v>
      </c>
      <c r="D9" s="6" t="s">
        <v>948</v>
      </c>
      <c r="E9" s="6"/>
      <c r="F9" s="238">
        <f>C9+C10</f>
        <v>14.675000000000001</v>
      </c>
      <c r="G9" s="13">
        <f>F9*4</f>
        <v>58.7</v>
      </c>
      <c r="H9" s="6"/>
      <c r="K9" s="11">
        <f>K7/K6</f>
        <v>6.8</v>
      </c>
    </row>
    <row r="10" spans="2:11" x14ac:dyDescent="0.25">
      <c r="B10" s="6" t="s">
        <v>949</v>
      </c>
      <c r="C10" s="11">
        <f>C8/C6</f>
        <v>7.875</v>
      </c>
      <c r="D10" s="6" t="s">
        <v>948</v>
      </c>
      <c r="E10" s="6"/>
      <c r="F10" s="257" t="s">
        <v>950</v>
      </c>
      <c r="G10" s="257" t="s">
        <v>951</v>
      </c>
      <c r="H10" s="6"/>
      <c r="K10" s="11">
        <f>K8/K6</f>
        <v>7.875</v>
      </c>
    </row>
    <row r="11" spans="2:11" x14ac:dyDescent="0.25">
      <c r="B11" s="6" t="s">
        <v>952</v>
      </c>
      <c r="C11" s="6">
        <v>1</v>
      </c>
      <c r="D11" s="6" t="s">
        <v>953</v>
      </c>
      <c r="E11" s="6"/>
      <c r="F11" s="6"/>
      <c r="G11" s="6"/>
      <c r="H11" s="6"/>
      <c r="K11" s="6">
        <v>1</v>
      </c>
    </row>
    <row r="12" spans="2:11" x14ac:dyDescent="0.25">
      <c r="B12" s="6" t="s">
        <v>954</v>
      </c>
      <c r="C12" s="6">
        <v>1</v>
      </c>
      <c r="D12" s="6" t="s">
        <v>953</v>
      </c>
      <c r="E12" s="6"/>
      <c r="F12" s="6"/>
      <c r="G12" s="6"/>
      <c r="H12" s="6"/>
      <c r="K12" s="6">
        <v>1</v>
      </c>
    </row>
    <row r="13" spans="2:11" x14ac:dyDescent="0.25">
      <c r="B13" s="6" t="s">
        <v>955</v>
      </c>
      <c r="C13" s="258">
        <v>12</v>
      </c>
      <c r="D13" s="6" t="s">
        <v>956</v>
      </c>
      <c r="E13" s="6"/>
      <c r="F13" s="6"/>
      <c r="G13" s="6"/>
      <c r="H13" s="6"/>
      <c r="K13" s="258">
        <v>12</v>
      </c>
    </row>
    <row r="14" spans="2:11" x14ac:dyDescent="0.25">
      <c r="B14" s="6" t="s">
        <v>957</v>
      </c>
      <c r="C14" s="258">
        <f>C11*C13</f>
        <v>12</v>
      </c>
      <c r="D14" s="6" t="s">
        <v>958</v>
      </c>
      <c r="E14" s="6"/>
      <c r="F14" s="6"/>
      <c r="G14" s="6"/>
      <c r="H14" s="6"/>
      <c r="K14" s="258">
        <f>K11*K13</f>
        <v>12</v>
      </c>
    </row>
    <row r="15" spans="2:11" x14ac:dyDescent="0.25">
      <c r="B15" s="6" t="s">
        <v>959</v>
      </c>
      <c r="C15" s="258">
        <f>C12*C13</f>
        <v>12</v>
      </c>
      <c r="D15" s="6" t="s">
        <v>958</v>
      </c>
      <c r="E15" s="6"/>
      <c r="F15" s="6"/>
      <c r="G15" s="6"/>
      <c r="H15" s="6"/>
      <c r="K15" s="258">
        <f>K12*K13</f>
        <v>12</v>
      </c>
    </row>
    <row r="16" spans="2:11" x14ac:dyDescent="0.25">
      <c r="B16" s="6" t="s">
        <v>960</v>
      </c>
      <c r="C16" s="120">
        <f>C9*C5</f>
        <v>45333.333333333336</v>
      </c>
      <c r="D16" s="6" t="s">
        <v>961</v>
      </c>
      <c r="E16" s="6"/>
      <c r="F16" s="6"/>
      <c r="G16" s="6"/>
      <c r="H16" s="6"/>
      <c r="K16" s="120">
        <f>K9*K5</f>
        <v>45333.333333333336</v>
      </c>
    </row>
    <row r="17" spans="1:11" x14ac:dyDescent="0.25">
      <c r="B17" s="6" t="s">
        <v>962</v>
      </c>
      <c r="C17" s="120">
        <f>C5*C10</f>
        <v>52500</v>
      </c>
      <c r="D17" s="6" t="s">
        <v>961</v>
      </c>
      <c r="E17" s="6"/>
      <c r="F17" s="6"/>
      <c r="G17" s="6"/>
      <c r="H17" s="6"/>
      <c r="K17" s="120">
        <f>K5*K10</f>
        <v>52500</v>
      </c>
    </row>
    <row r="18" spans="1:11" x14ac:dyDescent="0.25">
      <c r="B18" s="6" t="s">
        <v>963</v>
      </c>
      <c r="C18" s="120">
        <f>C16*C14</f>
        <v>544000</v>
      </c>
      <c r="D18" s="6" t="s">
        <v>205</v>
      </c>
      <c r="E18" s="6"/>
      <c r="F18" s="6"/>
      <c r="G18" s="6"/>
      <c r="H18" s="6"/>
      <c r="K18" s="120">
        <f>K16*K14</f>
        <v>544000</v>
      </c>
    </row>
    <row r="19" spans="1:11" x14ac:dyDescent="0.25">
      <c r="A19" s="621"/>
      <c r="B19" s="6" t="s">
        <v>964</v>
      </c>
      <c r="C19" s="120">
        <f>C17*C15</f>
        <v>630000</v>
      </c>
      <c r="D19" s="6" t="s">
        <v>205</v>
      </c>
      <c r="E19" s="6"/>
      <c r="F19" s="6"/>
      <c r="G19" s="6"/>
      <c r="H19" s="6"/>
      <c r="K19" s="120">
        <f>K17*K15</f>
        <v>630000</v>
      </c>
    </row>
    <row r="21" spans="1:11" x14ac:dyDescent="0.25">
      <c r="G21" s="82" t="s">
        <v>965</v>
      </c>
      <c r="H21" s="309">
        <f>'custos unitários para atualizar'!$B$4</f>
        <v>0.79693099999999994</v>
      </c>
    </row>
    <row r="22" spans="1:11" x14ac:dyDescent="0.25">
      <c r="G22" s="82" t="s">
        <v>603</v>
      </c>
      <c r="H22" s="663">
        <f>H4*(1+H21)</f>
        <v>0</v>
      </c>
    </row>
  </sheetData>
  <mergeCells count="1">
    <mergeCell ref="B4:E4"/>
  </mergeCells>
  <pageMargins left="0.511811024" right="0.511811024" top="0.78740157499999996" bottom="0.78740157499999996" header="0.31496062000000002" footer="0.31496062000000002"/>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L19"/>
  <sheetViews>
    <sheetView showGridLines="0" workbookViewId="0"/>
  </sheetViews>
  <sheetFormatPr defaultColWidth="12.42578125" defaultRowHeight="15" x14ac:dyDescent="0.25"/>
  <cols>
    <col min="1" max="1" width="9.28515625" customWidth="1"/>
    <col min="2" max="2" width="41.42578125" bestFit="1" customWidth="1"/>
    <col min="3" max="3" width="23.28515625" bestFit="1" customWidth="1"/>
    <col min="6" max="6" width="14" customWidth="1"/>
    <col min="7" max="7" width="41.28515625" bestFit="1" customWidth="1"/>
    <col min="8" max="8" width="15.140625" bestFit="1" customWidth="1"/>
  </cols>
  <sheetData>
    <row r="1" spans="2:12" x14ac:dyDescent="0.25">
      <c r="B1" s="6"/>
      <c r="C1" s="6"/>
      <c r="D1" s="6"/>
      <c r="E1" s="6"/>
      <c r="F1" s="13" t="s">
        <v>205</v>
      </c>
      <c r="G1" s="13" t="s">
        <v>205</v>
      </c>
      <c r="H1" s="13" t="s">
        <v>205</v>
      </c>
    </row>
    <row r="2" spans="2:12" x14ac:dyDescent="0.25">
      <c r="B2" s="1083" t="s">
        <v>966</v>
      </c>
      <c r="C2" s="1083"/>
      <c r="D2" s="1083"/>
      <c r="E2" s="1083"/>
      <c r="F2" s="256">
        <f>C16</f>
        <v>81600</v>
      </c>
      <c r="G2" s="256">
        <f>C17</f>
        <v>94500</v>
      </c>
      <c r="H2" s="256">
        <v>0</v>
      </c>
    </row>
    <row r="3" spans="2:12" x14ac:dyDescent="0.25">
      <c r="B3" s="6" t="s">
        <v>967</v>
      </c>
      <c r="C3" s="120">
        <f>3000/8</f>
        <v>375</v>
      </c>
      <c r="D3" s="6" t="s">
        <v>547</v>
      </c>
      <c r="E3" s="6"/>
      <c r="F3" s="6"/>
      <c r="G3" s="6"/>
      <c r="H3" s="6"/>
      <c r="L3" s="120">
        <f>3000/8</f>
        <v>375</v>
      </c>
    </row>
    <row r="4" spans="2:12" x14ac:dyDescent="0.25">
      <c r="B4" s="6" t="s">
        <v>940</v>
      </c>
      <c r="C4" s="6">
        <v>30</v>
      </c>
      <c r="D4" s="6" t="s">
        <v>941</v>
      </c>
      <c r="E4" s="6"/>
      <c r="F4" s="6"/>
      <c r="G4" s="6"/>
      <c r="H4" s="6"/>
      <c r="L4" s="6">
        <v>30</v>
      </c>
    </row>
    <row r="5" spans="2:12" x14ac:dyDescent="0.25">
      <c r="B5" s="6" t="s">
        <v>943</v>
      </c>
      <c r="C5" s="235">
        <f>(217*2)+(220/2)</f>
        <v>544</v>
      </c>
      <c r="D5" s="6" t="s">
        <v>656</v>
      </c>
      <c r="E5" s="6" t="s">
        <v>944</v>
      </c>
      <c r="F5" s="6"/>
      <c r="G5" s="6"/>
      <c r="H5" s="6"/>
      <c r="L5" s="235">
        <f>(217*2)+(220/2)</f>
        <v>544</v>
      </c>
    </row>
    <row r="6" spans="2:12" x14ac:dyDescent="0.25">
      <c r="B6" s="6" t="s">
        <v>945</v>
      </c>
      <c r="C6" s="235">
        <f>(260*2)+(220/2)</f>
        <v>630</v>
      </c>
      <c r="D6" s="6" t="s">
        <v>656</v>
      </c>
      <c r="E6" s="6" t="s">
        <v>944</v>
      </c>
      <c r="F6" s="6"/>
      <c r="G6" s="6"/>
      <c r="H6" s="6"/>
      <c r="L6" s="235">
        <f>(260*2)+(220/2)</f>
        <v>630</v>
      </c>
    </row>
    <row r="7" spans="2:12" x14ac:dyDescent="0.25">
      <c r="B7" s="6" t="s">
        <v>947</v>
      </c>
      <c r="C7" s="11">
        <f>C5/C4</f>
        <v>18.133333333333333</v>
      </c>
      <c r="D7" s="6" t="s">
        <v>948</v>
      </c>
      <c r="E7" s="6"/>
      <c r="F7" s="11">
        <f>C7+C8</f>
        <v>39.133333333333333</v>
      </c>
      <c r="G7" s="132" t="s">
        <v>968</v>
      </c>
      <c r="H7" s="6"/>
      <c r="L7" s="11">
        <f>L5/L4</f>
        <v>18.133333333333333</v>
      </c>
    </row>
    <row r="8" spans="2:12" x14ac:dyDescent="0.25">
      <c r="B8" s="6" t="s">
        <v>949</v>
      </c>
      <c r="C8" s="11">
        <f>C6/C4</f>
        <v>21</v>
      </c>
      <c r="D8" s="6" t="s">
        <v>948</v>
      </c>
      <c r="E8" s="6"/>
      <c r="F8" s="6"/>
      <c r="G8" s="6"/>
      <c r="H8" s="6"/>
      <c r="L8" s="11">
        <f>L6/L4</f>
        <v>21</v>
      </c>
    </row>
    <row r="9" spans="2:12" x14ac:dyDescent="0.25">
      <c r="B9" s="6" t="s">
        <v>952</v>
      </c>
      <c r="C9" s="6">
        <v>1</v>
      </c>
      <c r="D9" s="6" t="s">
        <v>953</v>
      </c>
      <c r="E9" s="6"/>
      <c r="F9" s="6"/>
      <c r="G9" s="6"/>
      <c r="H9" s="6"/>
      <c r="L9" s="6">
        <v>1</v>
      </c>
    </row>
    <row r="10" spans="2:12" x14ac:dyDescent="0.25">
      <c r="B10" s="6" t="s">
        <v>954</v>
      </c>
      <c r="C10" s="6">
        <v>1</v>
      </c>
      <c r="D10" s="6" t="s">
        <v>953</v>
      </c>
      <c r="E10" s="6"/>
      <c r="F10" s="6"/>
      <c r="G10" s="6"/>
      <c r="H10" s="6"/>
      <c r="L10" s="6">
        <v>1</v>
      </c>
    </row>
    <row r="11" spans="2:12" x14ac:dyDescent="0.25">
      <c r="B11" s="6" t="s">
        <v>969</v>
      </c>
      <c r="C11" s="258">
        <v>12</v>
      </c>
      <c r="D11" s="6" t="s">
        <v>956</v>
      </c>
      <c r="E11" s="6"/>
      <c r="F11" s="6"/>
      <c r="G11" s="6"/>
      <c r="H11" s="6"/>
      <c r="L11" s="258">
        <v>12</v>
      </c>
    </row>
    <row r="12" spans="2:12" x14ac:dyDescent="0.25">
      <c r="B12" s="6" t="s">
        <v>957</v>
      </c>
      <c r="C12" s="11">
        <f>C9*C11</f>
        <v>12</v>
      </c>
      <c r="D12" s="6" t="s">
        <v>958</v>
      </c>
      <c r="E12" s="6"/>
      <c r="F12" s="6"/>
      <c r="G12" s="6"/>
      <c r="H12" s="6"/>
      <c r="L12" s="11">
        <f>L9*L11</f>
        <v>12</v>
      </c>
    </row>
    <row r="13" spans="2:12" x14ac:dyDescent="0.25">
      <c r="B13" s="6" t="s">
        <v>959</v>
      </c>
      <c r="C13" s="11">
        <f>C10*C11</f>
        <v>12</v>
      </c>
      <c r="D13" s="6" t="s">
        <v>958</v>
      </c>
      <c r="E13" s="6"/>
      <c r="F13" s="6"/>
      <c r="G13" s="6"/>
      <c r="H13" s="6"/>
      <c r="L13" s="11">
        <f>L10*L11</f>
        <v>12</v>
      </c>
    </row>
    <row r="14" spans="2:12" x14ac:dyDescent="0.25">
      <c r="B14" s="6" t="s">
        <v>960</v>
      </c>
      <c r="C14" s="120">
        <f>C7*C3</f>
        <v>6800</v>
      </c>
      <c r="D14" s="6" t="s">
        <v>961</v>
      </c>
      <c r="E14" s="6"/>
      <c r="F14" s="6"/>
      <c r="G14" s="6"/>
      <c r="H14" s="6"/>
      <c r="L14" s="120">
        <f>L7*L3</f>
        <v>6800</v>
      </c>
    </row>
    <row r="15" spans="2:12" x14ac:dyDescent="0.25">
      <c r="B15" s="6" t="s">
        <v>962</v>
      </c>
      <c r="C15" s="120">
        <f>C3*C8</f>
        <v>7875</v>
      </c>
      <c r="D15" s="6" t="s">
        <v>961</v>
      </c>
      <c r="E15" s="6"/>
      <c r="F15" s="6"/>
      <c r="G15" s="6"/>
      <c r="H15" s="6"/>
      <c r="L15" s="120">
        <f>L3*L8</f>
        <v>7875</v>
      </c>
    </row>
    <row r="16" spans="2:12" x14ac:dyDescent="0.25">
      <c r="B16" s="6" t="s">
        <v>963</v>
      </c>
      <c r="C16" s="120">
        <f>C14*C12</f>
        <v>81600</v>
      </c>
      <c r="D16" s="6" t="s">
        <v>205</v>
      </c>
      <c r="E16" s="6"/>
      <c r="F16" s="6"/>
      <c r="G16" s="6"/>
      <c r="H16" s="6"/>
      <c r="L16" s="120">
        <f>L14*L12</f>
        <v>81600</v>
      </c>
    </row>
    <row r="17" spans="2:12" x14ac:dyDescent="0.25">
      <c r="B17" s="6" t="s">
        <v>964</v>
      </c>
      <c r="C17" s="120">
        <f>C15*C13</f>
        <v>94500</v>
      </c>
      <c r="D17" s="6" t="s">
        <v>205</v>
      </c>
      <c r="E17" s="6"/>
      <c r="F17" s="6"/>
      <c r="G17" s="6"/>
      <c r="H17" s="6"/>
      <c r="L17" s="120">
        <f>L15*L13</f>
        <v>94500</v>
      </c>
    </row>
    <row r="18" spans="2:12" x14ac:dyDescent="0.25">
      <c r="G18" s="82" t="s">
        <v>965</v>
      </c>
      <c r="H18" s="309">
        <f>'custos unitários para atualizar'!$B$4</f>
        <v>0.79693099999999994</v>
      </c>
    </row>
    <row r="19" spans="2:12" x14ac:dyDescent="0.25">
      <c r="G19" s="82" t="s">
        <v>603</v>
      </c>
      <c r="H19" s="663">
        <f>H2*(1+H18)</f>
        <v>0</v>
      </c>
    </row>
  </sheetData>
  <mergeCells count="1">
    <mergeCell ref="B2:E2"/>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55"/>
  <sheetViews>
    <sheetView showGridLines="0" tabSelected="1" topLeftCell="A6" zoomScaleNormal="100" workbookViewId="0">
      <selection activeCell="B20" sqref="B20"/>
    </sheetView>
  </sheetViews>
  <sheetFormatPr defaultColWidth="23.85546875" defaultRowHeight="15" x14ac:dyDescent="0.25"/>
  <cols>
    <col min="1" max="1" width="20" bestFit="1" customWidth="1"/>
    <col min="2" max="2" width="24.7109375" customWidth="1"/>
    <col min="3" max="3" width="26" customWidth="1"/>
    <col min="4" max="4" width="20.42578125" customWidth="1"/>
    <col min="5" max="5" width="17.7109375" customWidth="1"/>
    <col min="6" max="6" width="7.7109375" customWidth="1"/>
    <col min="7" max="7" width="38.7109375" bestFit="1" customWidth="1"/>
    <col min="10" max="11" width="6.7109375" customWidth="1"/>
    <col min="16" max="16" width="9.85546875" customWidth="1"/>
  </cols>
  <sheetData>
    <row r="1" spans="1:16" ht="15.95" customHeight="1" thickBot="1" x14ac:dyDescent="0.3">
      <c r="G1" t="s">
        <v>71</v>
      </c>
      <c r="H1" s="4"/>
    </row>
    <row r="2" spans="1:16" ht="15.95" customHeight="1" thickBot="1" x14ac:dyDescent="0.3">
      <c r="A2" s="909" t="s">
        <v>72</v>
      </c>
      <c r="B2" s="909" t="s">
        <v>73</v>
      </c>
      <c r="C2" s="414"/>
      <c r="G2" s="786" t="s">
        <v>74</v>
      </c>
      <c r="H2" s="787" t="s">
        <v>75</v>
      </c>
      <c r="I2" s="787" t="s">
        <v>76</v>
      </c>
    </row>
    <row r="3" spans="1:16" s="12" customFormat="1" ht="15.95" customHeight="1" thickBot="1" x14ac:dyDescent="0.35">
      <c r="A3" s="293" t="s">
        <v>77</v>
      </c>
      <c r="B3" s="292">
        <f>H23/(O10*86400*365)</f>
        <v>0.35670829149546157</v>
      </c>
      <c r="C3" s="903"/>
      <c r="G3" s="287" t="s">
        <v>78</v>
      </c>
      <c r="H3" s="278">
        <f>'Anexo 2_CF_O&amp;M'!C5</f>
        <v>139006048.49195945</v>
      </c>
      <c r="I3" s="281">
        <f>H3/$H$11</f>
        <v>0.6756781084664204</v>
      </c>
      <c r="L3" s="710" t="s">
        <v>79</v>
      </c>
      <c r="M3"/>
      <c r="N3"/>
      <c r="O3"/>
    </row>
    <row r="4" spans="1:16" s="12" customFormat="1" ht="15.95" customHeight="1" thickBot="1" x14ac:dyDescent="0.3">
      <c r="A4" s="293" t="s">
        <v>80</v>
      </c>
      <c r="B4" s="292">
        <f>H24/D14</f>
        <v>0.27331396269156133</v>
      </c>
      <c r="C4" s="903"/>
      <c r="D4" s="857"/>
      <c r="G4" s="287" t="s">
        <v>81</v>
      </c>
      <c r="H4" s="278">
        <f>'Anexo 3_Custos Ambientais'!C17</f>
        <v>29411427.188042291</v>
      </c>
      <c r="I4" s="281">
        <f>H4/$H$11</f>
        <v>0.14296253799965952</v>
      </c>
      <c r="L4" s="916" t="s">
        <v>82</v>
      </c>
      <c r="M4" s="311" t="s">
        <v>83</v>
      </c>
      <c r="N4" s="311" t="s">
        <v>83</v>
      </c>
      <c r="O4" s="457" t="s">
        <v>84</v>
      </c>
    </row>
    <row r="5" spans="1:16" s="12" customFormat="1" ht="15.95" customHeight="1" x14ac:dyDescent="0.25">
      <c r="A5" s="12" t="s">
        <v>96</v>
      </c>
      <c r="B5" s="757">
        <f>B4+B3</f>
        <v>0.63002225418702285</v>
      </c>
      <c r="C5" s="859"/>
      <c r="G5" s="287" t="s">
        <v>85</v>
      </c>
      <c r="H5" s="278">
        <v>0</v>
      </c>
      <c r="I5" s="281">
        <f t="shared" ref="I5:I11" si="0">H5/$H$11</f>
        <v>0</v>
      </c>
      <c r="L5" s="917"/>
      <c r="M5" s="196" t="s">
        <v>9</v>
      </c>
      <c r="N5" s="196" t="s">
        <v>7</v>
      </c>
      <c r="O5" s="457"/>
    </row>
    <row r="6" spans="1:16" s="2" customFormat="1" ht="15.95" customHeight="1" thickBot="1" x14ac:dyDescent="0.35">
      <c r="A6" s="754" t="s">
        <v>1514</v>
      </c>
      <c r="B6" s="284"/>
      <c r="C6" s="150"/>
      <c r="D6"/>
      <c r="G6" s="287" t="s">
        <v>86</v>
      </c>
      <c r="H6" s="278">
        <f>'Anexo 5_Desp Adm'!B21*0</f>
        <v>0</v>
      </c>
      <c r="I6" s="281">
        <f t="shared" si="0"/>
        <v>0</v>
      </c>
      <c r="J6" s="891" t="s">
        <v>1546</v>
      </c>
      <c r="L6" s="282" t="s">
        <v>87</v>
      </c>
      <c r="M6" s="283">
        <v>7.57</v>
      </c>
      <c r="N6" s="283">
        <v>0</v>
      </c>
      <c r="O6" s="238">
        <f>SUM(M6:N6)</f>
        <v>7.57</v>
      </c>
    </row>
    <row r="7" spans="1:16" ht="15.95" customHeight="1" thickBot="1" x14ac:dyDescent="0.3">
      <c r="A7" s="806" t="s">
        <v>82</v>
      </c>
      <c r="B7" s="311" t="s">
        <v>88</v>
      </c>
      <c r="C7" s="311" t="s">
        <v>88</v>
      </c>
      <c r="D7" s="734" t="s">
        <v>84</v>
      </c>
      <c r="G7" s="297" t="s">
        <v>89</v>
      </c>
      <c r="H7" s="278">
        <v>18857197.489999998</v>
      </c>
      <c r="I7" s="281">
        <f t="shared" si="0"/>
        <v>9.1660727495307029E-2</v>
      </c>
      <c r="L7" s="282" t="s">
        <v>90</v>
      </c>
      <c r="M7" s="283">
        <v>0.85</v>
      </c>
      <c r="N7" s="283">
        <v>4.2</v>
      </c>
      <c r="O7" s="238">
        <f>SUM(M7:N7)</f>
        <v>5.05</v>
      </c>
    </row>
    <row r="8" spans="1:16" ht="15.95" customHeight="1" thickBot="1" x14ac:dyDescent="0.3">
      <c r="A8" s="285"/>
      <c r="B8" s="196" t="s">
        <v>9</v>
      </c>
      <c r="C8" s="196" t="s">
        <v>7</v>
      </c>
      <c r="D8" s="310"/>
      <c r="E8" s="2"/>
      <c r="G8" s="287" t="s">
        <v>91</v>
      </c>
      <c r="H8" s="278">
        <f>'Anexo 1A_CF_ Energia Elétrica'!F7</f>
        <v>18244560.203598082</v>
      </c>
      <c r="I8" s="281">
        <f t="shared" si="0"/>
        <v>8.8682831156674025E-2</v>
      </c>
      <c r="L8" s="282" t="s">
        <v>92</v>
      </c>
      <c r="M8" s="283">
        <v>0.59</v>
      </c>
      <c r="N8" s="283">
        <v>4.8</v>
      </c>
      <c r="O8" s="238">
        <f>SUM(M8:N8)</f>
        <v>5.39</v>
      </c>
    </row>
    <row r="9" spans="1:16" ht="15.95" customHeight="1" x14ac:dyDescent="0.25">
      <c r="A9" s="679" t="s">
        <v>87</v>
      </c>
      <c r="B9" s="455">
        <v>4.9999999999999989E-2</v>
      </c>
      <c r="C9" s="455">
        <v>0</v>
      </c>
      <c r="D9" s="456">
        <f>SUM(B9:C9)</f>
        <v>4.9999999999999989E-2</v>
      </c>
      <c r="E9" s="860"/>
      <c r="G9" s="287" t="s">
        <v>93</v>
      </c>
      <c r="H9" s="278">
        <f>'Anexo 6_Tx Adm'!C3*0</f>
        <v>0</v>
      </c>
      <c r="I9" s="281">
        <f t="shared" si="0"/>
        <v>0</v>
      </c>
      <c r="J9" s="891" t="s">
        <v>1546</v>
      </c>
      <c r="L9" s="282" t="s">
        <v>94</v>
      </c>
      <c r="M9" s="283">
        <v>1.97</v>
      </c>
      <c r="N9" s="283">
        <v>0</v>
      </c>
      <c r="O9" s="238">
        <f>SUM(M9:N9)</f>
        <v>1.97</v>
      </c>
    </row>
    <row r="10" spans="1:16" ht="15.95" customHeight="1" x14ac:dyDescent="0.25">
      <c r="A10" s="679" t="s">
        <v>90</v>
      </c>
      <c r="B10" s="455">
        <v>1.0999999999999999</v>
      </c>
      <c r="C10" s="455">
        <v>3.2405107526881718</v>
      </c>
      <c r="D10" s="456">
        <f>SUM(B10:C10)</f>
        <v>4.3405107526881714</v>
      </c>
      <c r="E10" s="860"/>
      <c r="G10" s="228" t="s">
        <v>95</v>
      </c>
      <c r="H10" s="299">
        <f>'Anexo 2_CF_O&amp;M'!C39</f>
        <v>208977.66384229349</v>
      </c>
      <c r="I10" s="281">
        <f t="shared" si="0"/>
        <v>1.0157948819389674E-3</v>
      </c>
      <c r="K10" s="12"/>
      <c r="L10" s="282" t="s">
        <v>96</v>
      </c>
      <c r="M10" s="238">
        <f>SUM(M6:M9)</f>
        <v>10.98</v>
      </c>
      <c r="N10" s="238">
        <f>SUM(N6:N9)</f>
        <v>9</v>
      </c>
      <c r="O10" s="238">
        <f>SUM(M10:N10)</f>
        <v>19.98</v>
      </c>
    </row>
    <row r="11" spans="1:16" ht="15.95" customHeight="1" x14ac:dyDescent="0.25">
      <c r="A11" s="679" t="s">
        <v>92</v>
      </c>
      <c r="B11" s="456">
        <v>1.2792389859838753</v>
      </c>
      <c r="C11" s="456">
        <v>2.5995177911979686</v>
      </c>
      <c r="D11" s="456">
        <f>SUM(B11:C11)</f>
        <v>3.8787567771818439</v>
      </c>
      <c r="E11" s="860"/>
      <c r="G11" s="279" t="s">
        <v>97</v>
      </c>
      <c r="H11" s="280">
        <f>SUM(H3:H10)</f>
        <v>205728211.03744212</v>
      </c>
      <c r="I11" s="281">
        <f t="shared" si="0"/>
        <v>1</v>
      </c>
      <c r="O11" s="3"/>
    </row>
    <row r="12" spans="1:16" ht="15.95" customHeight="1" thickBot="1" x14ac:dyDescent="0.35">
      <c r="A12" s="679" t="s">
        <v>94</v>
      </c>
      <c r="B12" s="455">
        <v>1.4676499999999999</v>
      </c>
      <c r="C12" s="455">
        <v>0</v>
      </c>
      <c r="D12" s="456">
        <f>SUM(B12:C12)</f>
        <v>1.4676499999999999</v>
      </c>
      <c r="E12" s="860"/>
      <c r="G12" s="279" t="s">
        <v>98</v>
      </c>
      <c r="H12" s="280">
        <f>Impostos!H7</f>
        <v>224758070.55840552</v>
      </c>
      <c r="J12" s="4"/>
      <c r="L12" s="396"/>
      <c r="M12" s="12"/>
      <c r="N12" s="12"/>
      <c r="O12" s="12"/>
      <c r="P12" s="12"/>
    </row>
    <row r="13" spans="1:16" ht="15.95" customHeight="1" x14ac:dyDescent="0.3">
      <c r="A13" s="282" t="s">
        <v>96</v>
      </c>
      <c r="B13" s="791">
        <f>SUM(B9:B12)</f>
        <v>3.8968889859838751</v>
      </c>
      <c r="C13" s="791">
        <f>SUM(C9:C12)</f>
        <v>5.8400285438861399</v>
      </c>
      <c r="D13" s="791">
        <f>SUM(B13:C13)</f>
        <v>9.7369175298700146</v>
      </c>
      <c r="E13" s="860"/>
      <c r="H13" s="4"/>
      <c r="I13" s="12"/>
      <c r="L13" s="396" t="s">
        <v>99</v>
      </c>
      <c r="P13" s="12"/>
    </row>
    <row r="14" spans="1:16" ht="15.95" customHeight="1" thickBot="1" x14ac:dyDescent="0.3">
      <c r="C14" s="294" t="s">
        <v>1515</v>
      </c>
      <c r="D14" s="295">
        <f>D13*86400*365</f>
        <v>307063431.22198081</v>
      </c>
      <c r="E14" s="860"/>
      <c r="G14" t="s">
        <v>100</v>
      </c>
      <c r="H14" s="4"/>
      <c r="L14" s="916" t="s">
        <v>82</v>
      </c>
      <c r="M14" s="916" t="s">
        <v>101</v>
      </c>
      <c r="N14" s="916" t="s">
        <v>102</v>
      </c>
      <c r="O14" s="916" t="s">
        <v>103</v>
      </c>
      <c r="P14" s="12"/>
    </row>
    <row r="15" spans="1:16" ht="15.95" customHeight="1" x14ac:dyDescent="0.25">
      <c r="C15" s="312"/>
      <c r="D15" s="873"/>
      <c r="E15" s="874"/>
      <c r="G15" s="786" t="s">
        <v>74</v>
      </c>
      <c r="H15" s="787" t="s">
        <v>75</v>
      </c>
      <c r="I15" s="787" t="s">
        <v>76</v>
      </c>
      <c r="L15" s="917"/>
      <c r="M15" s="917"/>
      <c r="N15" s="922" t="s">
        <v>102</v>
      </c>
      <c r="O15" s="922"/>
      <c r="P15" s="12"/>
    </row>
    <row r="16" spans="1:16" ht="15.95" customHeight="1" x14ac:dyDescent="0.3">
      <c r="A16" s="396" t="s">
        <v>1553</v>
      </c>
      <c r="B16" s="12"/>
      <c r="C16" s="12"/>
      <c r="D16" s="12"/>
      <c r="G16" s="287" t="s">
        <v>104</v>
      </c>
      <c r="H16" s="278">
        <f>'Anexo1B-CV Energia Elétrica'!K7</f>
        <v>76818968.590340748</v>
      </c>
      <c r="I16" s="281">
        <f>H16/H18</f>
        <v>1</v>
      </c>
      <c r="L16" s="282" t="s">
        <v>87</v>
      </c>
      <c r="M16" s="799">
        <f>D9/O6</f>
        <v>6.6050198150594437E-3</v>
      </c>
      <c r="N16" s="801" t="s">
        <v>105</v>
      </c>
      <c r="O16" s="800">
        <f>D9</f>
        <v>4.9999999999999989E-2</v>
      </c>
      <c r="P16" s="87"/>
    </row>
    <row r="17" spans="1:16" ht="15.95" customHeight="1" thickBot="1" x14ac:dyDescent="0.3">
      <c r="A17" s="394" t="s">
        <v>106</v>
      </c>
      <c r="B17" s="913" t="s">
        <v>107</v>
      </c>
      <c r="C17" s="914"/>
      <c r="D17" s="915"/>
      <c r="G17" s="287" t="s">
        <v>108</v>
      </c>
      <c r="H17" s="278">
        <f>'Anexo 6_Tx Adm'!C8</f>
        <v>0</v>
      </c>
      <c r="I17" s="610">
        <f>H17/H18</f>
        <v>0</v>
      </c>
      <c r="L17" s="282" t="s">
        <v>90</v>
      </c>
      <c r="M17" s="799">
        <v>1</v>
      </c>
      <c r="N17" s="801" t="s">
        <v>109</v>
      </c>
      <c r="O17" s="800">
        <f>O7</f>
        <v>5.05</v>
      </c>
      <c r="P17" s="87"/>
    </row>
    <row r="18" spans="1:16" ht="15.95" customHeight="1" thickBot="1" x14ac:dyDescent="0.3">
      <c r="A18" s="395"/>
      <c r="B18" s="313" t="s">
        <v>110</v>
      </c>
      <c r="C18" s="313" t="s">
        <v>111</v>
      </c>
      <c r="D18" s="314" t="s">
        <v>112</v>
      </c>
      <c r="G18" s="279" t="s">
        <v>96</v>
      </c>
      <c r="H18" s="609">
        <f>SUM(H16:H17)</f>
        <v>76818968.590340748</v>
      </c>
      <c r="I18" s="610">
        <f>SUM(I16:I17)</f>
        <v>1</v>
      </c>
      <c r="L18" s="282" t="s">
        <v>92</v>
      </c>
      <c r="M18" s="799">
        <f>D11/O8</f>
        <v>0.71962092341036066</v>
      </c>
      <c r="N18" s="801" t="s">
        <v>105</v>
      </c>
      <c r="O18" s="800">
        <f>D11</f>
        <v>3.8787567771818439</v>
      </c>
      <c r="P18" s="87"/>
    </row>
    <row r="19" spans="1:16" ht="15.95" customHeight="1" thickBot="1" x14ac:dyDescent="0.3">
      <c r="A19" s="315" t="s">
        <v>87</v>
      </c>
      <c r="B19" s="892">
        <f>$H$23*$I$35*(O6/$O$10)</f>
        <v>4257804.2896074317</v>
      </c>
      <c r="C19" s="892">
        <f>(D9/$D$13)*$H$24*$I$35</f>
        <v>21548.072818602694</v>
      </c>
      <c r="D19" s="900">
        <f>SUM(B19:C19)</f>
        <v>4279352.3624260342</v>
      </c>
      <c r="F19" s="12"/>
      <c r="G19" s="608" t="s">
        <v>98</v>
      </c>
      <c r="H19" s="609">
        <f>Impostos!H8</f>
        <v>83924723.184947267</v>
      </c>
      <c r="L19" s="282" t="s">
        <v>94</v>
      </c>
      <c r="M19" s="799">
        <f>D12/O9</f>
        <v>0.745</v>
      </c>
      <c r="N19" s="801" t="s">
        <v>105</v>
      </c>
      <c r="O19" s="800">
        <f>D12</f>
        <v>1.4676499999999999</v>
      </c>
      <c r="P19" s="87"/>
    </row>
    <row r="20" spans="1:16" ht="15.95" customHeight="1" x14ac:dyDescent="0.25">
      <c r="A20" s="315" t="s">
        <v>90</v>
      </c>
      <c r="B20" s="892">
        <f>$H$23*$I$35*(O7/$O$10)</f>
        <v>2840411.051851721</v>
      </c>
      <c r="C20" s="892">
        <f>(D10/$D$13)*$H$24*$I$35</f>
        <v>1870592.8353770543</v>
      </c>
      <c r="D20" s="900">
        <f>SUM(B20:C20)</f>
        <v>4711003.8872287758</v>
      </c>
      <c r="F20" s="788"/>
      <c r="H20" s="856"/>
      <c r="I20" s="607"/>
      <c r="O20" s="802"/>
      <c r="P20" s="87"/>
    </row>
    <row r="21" spans="1:16" ht="15.95" customHeight="1" thickBot="1" x14ac:dyDescent="0.3">
      <c r="A21" s="315" t="s">
        <v>92</v>
      </c>
      <c r="B21" s="892">
        <f>$H$23*$I$35*(O8/$O$10)</f>
        <v>3031646.647421936</v>
      </c>
      <c r="C21" s="892">
        <f>(D11/$D$13)*$H$24*$I$35</f>
        <v>1671594.6696072619</v>
      </c>
      <c r="D21" s="900">
        <f>SUM(B21:C21)</f>
        <v>4703241.3170291977</v>
      </c>
      <c r="F21" s="3"/>
      <c r="O21" s="802"/>
      <c r="P21" s="12"/>
    </row>
    <row r="22" spans="1:16" ht="15.95" customHeight="1" thickBot="1" x14ac:dyDescent="0.3">
      <c r="A22" s="315" t="s">
        <v>94</v>
      </c>
      <c r="B22" s="892">
        <f>$H$23*$I$35*(O9/$O$10)</f>
        <v>1108041.5390391864</v>
      </c>
      <c r="C22" s="892">
        <f>(D12/$D$13)*$H$24*$I$35</f>
        <v>632500.58144444495</v>
      </c>
      <c r="D22" s="900">
        <f>SUM(B22:C22)</f>
        <v>1740542.1204836313</v>
      </c>
      <c r="F22" s="3"/>
      <c r="G22" s="786" t="s">
        <v>3</v>
      </c>
      <c r="H22" s="787" t="s">
        <v>113</v>
      </c>
      <c r="I22" s="536"/>
      <c r="J22" s="536"/>
      <c r="L22" s="12"/>
      <c r="M22" s="12"/>
      <c r="N22" s="12"/>
      <c r="O22" s="12"/>
      <c r="P22" s="12"/>
    </row>
    <row r="23" spans="1:16" ht="15.95" customHeight="1" thickBot="1" x14ac:dyDescent="0.3">
      <c r="A23" s="315" t="s">
        <v>117</v>
      </c>
      <c r="B23" s="892">
        <f>H23-SUM(B19:B22)</f>
        <v>213520167.03048524</v>
      </c>
      <c r="C23" s="892">
        <f>H24-SUM(C19:C22)</f>
        <v>79728487.025699899</v>
      </c>
      <c r="D23" s="900">
        <f>SUM(B23:C23)</f>
        <v>293248654.05618513</v>
      </c>
      <c r="G23" s="290" t="s">
        <v>114</v>
      </c>
      <c r="H23" s="291">
        <f>H12</f>
        <v>224758070.55840552</v>
      </c>
      <c r="I23" s="537"/>
      <c r="J23" s="537"/>
      <c r="L23" s="12"/>
      <c r="M23" s="12"/>
      <c r="N23" s="12"/>
      <c r="O23" s="789"/>
      <c r="P23" s="12"/>
    </row>
    <row r="24" spans="1:16" ht="15.95" customHeight="1" thickBot="1" x14ac:dyDescent="0.3">
      <c r="A24" s="316" t="s">
        <v>96</v>
      </c>
      <c r="B24" s="901">
        <f>SUM(B19:B23)</f>
        <v>224758070.55840552</v>
      </c>
      <c r="C24" s="901">
        <f>SUM(C19:C23)</f>
        <v>83924723.184947267</v>
      </c>
      <c r="D24" s="902">
        <f>SUM(D19:D23)</f>
        <v>308682793.74335277</v>
      </c>
      <c r="G24" s="290" t="s">
        <v>115</v>
      </c>
      <c r="H24" s="291">
        <f>H19</f>
        <v>83924723.184947267</v>
      </c>
      <c r="I24" s="537"/>
      <c r="J24" s="537"/>
      <c r="L24" s="12"/>
      <c r="M24" s="12"/>
      <c r="N24" s="12"/>
      <c r="O24" s="12"/>
      <c r="P24" s="12"/>
    </row>
    <row r="25" spans="1:16" ht="15.95" customHeight="1" thickBot="1" x14ac:dyDescent="0.3">
      <c r="B25" s="5">
        <f>B24/D24</f>
        <v>0.72811985350008024</v>
      </c>
      <c r="C25" s="5">
        <f>C24/D24</f>
        <v>0.27188014649991976</v>
      </c>
      <c r="G25" s="290" t="s">
        <v>116</v>
      </c>
      <c r="H25" s="291">
        <f>SUM(H23:H24)</f>
        <v>308682793.74335277</v>
      </c>
      <c r="I25" s="537"/>
      <c r="J25" s="537"/>
    </row>
    <row r="26" spans="1:16" ht="15.95" customHeight="1" x14ac:dyDescent="0.25">
      <c r="G26" s="852" t="s">
        <v>1511</v>
      </c>
      <c r="H26" s="853">
        <f>H23/[1]Tarifa!$G$23-1</f>
        <v>0.18045841378928462</v>
      </c>
      <c r="I26" s="4"/>
    </row>
    <row r="27" spans="1:16" ht="15.95" customHeight="1" thickBot="1" x14ac:dyDescent="0.35">
      <c r="A27" s="396" t="s">
        <v>1551</v>
      </c>
      <c r="G27" s="852" t="s">
        <v>1512</v>
      </c>
      <c r="H27" s="853">
        <f>H24/[1]Tarifa!$G$24-1</f>
        <v>1.541279044020949E-2</v>
      </c>
      <c r="I27" s="4"/>
      <c r="L27" s="153"/>
    </row>
    <row r="28" spans="1:16" ht="15.95" customHeight="1" x14ac:dyDescent="0.25">
      <c r="A28" s="394" t="s">
        <v>106</v>
      </c>
      <c r="B28" s="919" t="s">
        <v>107</v>
      </c>
      <c r="C28" s="920"/>
      <c r="D28" s="921"/>
      <c r="G28" s="852" t="s">
        <v>1513</v>
      </c>
      <c r="H28" s="40">
        <f>H25/273049816-1</f>
        <v>0.1304999148703061</v>
      </c>
      <c r="N28" s="918"/>
      <c r="O28" s="918"/>
    </row>
    <row r="29" spans="1:16" ht="15.95" customHeight="1" x14ac:dyDescent="0.25">
      <c r="A29" s="854"/>
      <c r="B29" s="196" t="s">
        <v>110</v>
      </c>
      <c r="C29" s="196" t="s">
        <v>111</v>
      </c>
      <c r="D29" s="196" t="s">
        <v>112</v>
      </c>
      <c r="G29" s="149"/>
      <c r="O29" s="783"/>
    </row>
    <row r="30" spans="1:16" ht="15.95" customHeight="1" x14ac:dyDescent="0.25">
      <c r="A30" s="282" t="s">
        <v>87</v>
      </c>
      <c r="B30" s="892">
        <f>B19*M16</f>
        <v>28122.881701502185</v>
      </c>
      <c r="C30" s="892">
        <f>C19</f>
        <v>21548.072818602694</v>
      </c>
      <c r="D30" s="893">
        <f>SUM(B30:C30)</f>
        <v>49670.954520104875</v>
      </c>
      <c r="F30" s="3"/>
      <c r="G30" s="852"/>
      <c r="H30" s="790"/>
      <c r="I30" s="4"/>
      <c r="O30" s="783"/>
    </row>
    <row r="31" spans="1:16" ht="15.95" customHeight="1" x14ac:dyDescent="0.25">
      <c r="A31" s="282" t="s">
        <v>90</v>
      </c>
      <c r="B31" s="892">
        <f>B20*M17</f>
        <v>2840411.051851721</v>
      </c>
      <c r="C31" s="892">
        <f t="shared" ref="C31:C32" si="1">C20</f>
        <v>1870592.8353770543</v>
      </c>
      <c r="D31" s="893">
        <f>SUM(B31:C31)</f>
        <v>4711003.8872287758</v>
      </c>
      <c r="F31" s="3"/>
      <c r="G31" s="852"/>
      <c r="H31" s="790"/>
    </row>
    <row r="32" spans="1:16" ht="15.95" customHeight="1" x14ac:dyDescent="0.25">
      <c r="A32" s="282" t="s">
        <v>92</v>
      </c>
      <c r="B32" s="892">
        <f>B21*M18</f>
        <v>2181636.3598716976</v>
      </c>
      <c r="C32" s="892">
        <f t="shared" si="1"/>
        <v>1671594.6696072619</v>
      </c>
      <c r="D32" s="893">
        <f>SUM(B32:C32)</f>
        <v>3853231.0294789597</v>
      </c>
      <c r="F32" s="3"/>
      <c r="G32" s="3"/>
      <c r="O32" s="790"/>
    </row>
    <row r="33" spans="1:15" ht="15.95" customHeight="1" x14ac:dyDescent="0.25">
      <c r="A33" s="282" t="s">
        <v>1549</v>
      </c>
      <c r="B33" s="892">
        <f>B22*M19*0</f>
        <v>0</v>
      </c>
      <c r="C33" s="892">
        <f>C22*0</f>
        <v>0</v>
      </c>
      <c r="D33" s="893">
        <f>SUM(B33:C33)</f>
        <v>0</v>
      </c>
      <c r="F33" s="3"/>
      <c r="G33" s="923" t="s">
        <v>1561</v>
      </c>
      <c r="H33" s="923"/>
      <c r="I33" s="923"/>
      <c r="O33" s="790"/>
    </row>
    <row r="34" spans="1:15" ht="15.95" customHeight="1" x14ac:dyDescent="0.25">
      <c r="A34" s="282" t="s">
        <v>117</v>
      </c>
      <c r="B34" s="892">
        <f>B24-SUM(B30:B33)</f>
        <v>219707900.26498058</v>
      </c>
      <c r="C34" s="892">
        <f>C24-SUM(C30:C33)</f>
        <v>80360987.607144356</v>
      </c>
      <c r="D34" s="893">
        <f>SUM(B34:C34)</f>
        <v>300068887.87212491</v>
      </c>
      <c r="F34" s="3"/>
      <c r="G34" s="906" t="s">
        <v>1562</v>
      </c>
      <c r="H34" s="906" t="s">
        <v>1560</v>
      </c>
      <c r="I34" s="906" t="s">
        <v>1559</v>
      </c>
    </row>
    <row r="35" spans="1:15" ht="15.95" customHeight="1" x14ac:dyDescent="0.25">
      <c r="A35" s="855" t="s">
        <v>96</v>
      </c>
      <c r="B35" s="894">
        <f>SUM(B30:B34)</f>
        <v>224758070.55840552</v>
      </c>
      <c r="C35" s="894">
        <f>SUM(C30:C34)</f>
        <v>83924723.184947282</v>
      </c>
      <c r="D35" s="894">
        <f>SUM(D30:D34)</f>
        <v>308682793.74335277</v>
      </c>
      <c r="G35" s="6" t="s">
        <v>1554</v>
      </c>
      <c r="H35" s="904">
        <v>0.95</v>
      </c>
      <c r="I35" s="904">
        <v>0.05</v>
      </c>
    </row>
    <row r="36" spans="1:15" ht="15.95" customHeight="1" x14ac:dyDescent="0.25">
      <c r="A36" s="895" t="s">
        <v>1550</v>
      </c>
      <c r="D36" s="3"/>
      <c r="G36" s="6" t="s">
        <v>1555</v>
      </c>
      <c r="H36" s="904">
        <v>0.85</v>
      </c>
      <c r="I36" s="904">
        <v>0.15</v>
      </c>
    </row>
    <row r="37" spans="1:15" ht="15.95" customHeight="1" x14ac:dyDescent="0.25">
      <c r="A37" s="895"/>
      <c r="D37" s="3"/>
      <c r="G37" s="6" t="s">
        <v>1556</v>
      </c>
      <c r="H37" s="904">
        <v>0.65</v>
      </c>
      <c r="I37" s="904">
        <v>0.35</v>
      </c>
    </row>
    <row r="38" spans="1:15" ht="19.5" thickBot="1" x14ac:dyDescent="0.35">
      <c r="A38" s="396" t="s">
        <v>1552</v>
      </c>
      <c r="D38" s="39"/>
      <c r="G38" s="6" t="s">
        <v>1557</v>
      </c>
      <c r="H38" s="904">
        <v>0.35</v>
      </c>
      <c r="I38" s="904">
        <v>0.65</v>
      </c>
    </row>
    <row r="39" spans="1:15" ht="15.75" thickBot="1" x14ac:dyDescent="0.3">
      <c r="A39" s="394" t="s">
        <v>106</v>
      </c>
      <c r="B39" s="913" t="s">
        <v>107</v>
      </c>
      <c r="C39" s="914"/>
      <c r="D39" s="915"/>
      <c r="G39" s="904" t="s">
        <v>1558</v>
      </c>
      <c r="H39" s="905">
        <v>0</v>
      </c>
      <c r="I39" s="905">
        <v>1</v>
      </c>
    </row>
    <row r="40" spans="1:15" x14ac:dyDescent="0.25">
      <c r="A40" s="896"/>
      <c r="B40" s="897" t="s">
        <v>110</v>
      </c>
      <c r="C40" s="897" t="s">
        <v>111</v>
      </c>
      <c r="D40" s="898" t="s">
        <v>112</v>
      </c>
      <c r="F40" s="858"/>
      <c r="H40" s="858"/>
    </row>
    <row r="41" spans="1:15" x14ac:dyDescent="0.25">
      <c r="A41" s="282" t="s">
        <v>87</v>
      </c>
      <c r="B41" s="899">
        <f>$H$23*(O6/$O$10)</f>
        <v>85156085.792148635</v>
      </c>
      <c r="C41" s="899">
        <f>(D9/$D$13)*$H$24</f>
        <v>430961.45637205383</v>
      </c>
      <c r="D41" s="893">
        <f>SUM(B41:C41)</f>
        <v>85587047.248520687</v>
      </c>
      <c r="F41" s="858"/>
      <c r="G41" s="858"/>
      <c r="H41" s="858"/>
    </row>
    <row r="42" spans="1:15" x14ac:dyDescent="0.25">
      <c r="A42" s="282" t="s">
        <v>90</v>
      </c>
      <c r="B42" s="899">
        <f t="shared" ref="B42:B44" si="2">$H$23*(O7/$O$10)</f>
        <v>56808221.037034422</v>
      </c>
      <c r="C42" s="899">
        <f>(D10/$D$13)*$H$24</f>
        <v>37411856.707541086</v>
      </c>
      <c r="D42" s="893">
        <f>SUM(B42:C42)</f>
        <v>94220077.7445755</v>
      </c>
      <c r="F42" s="858"/>
      <c r="G42" s="858"/>
      <c r="H42" s="858"/>
    </row>
    <row r="43" spans="1:15" x14ac:dyDescent="0.25">
      <c r="A43" s="282" t="s">
        <v>92</v>
      </c>
      <c r="B43" s="899">
        <f t="shared" si="2"/>
        <v>60632932.948438719</v>
      </c>
      <c r="C43" s="899">
        <f>(D11/$D$13)*$H$24</f>
        <v>33431893.392145235</v>
      </c>
      <c r="D43" s="893">
        <f>SUM(B43:C43)</f>
        <v>94064826.34058395</v>
      </c>
      <c r="F43" s="858"/>
      <c r="G43" s="858"/>
      <c r="H43" s="858"/>
    </row>
    <row r="44" spans="1:15" x14ac:dyDescent="0.25">
      <c r="A44" s="282" t="s">
        <v>94</v>
      </c>
      <c r="B44" s="899">
        <f t="shared" si="2"/>
        <v>22160830.780783728</v>
      </c>
      <c r="C44" s="899">
        <f>(D12/$D$13)*$H$24</f>
        <v>12650011.628888898</v>
      </c>
      <c r="D44" s="893">
        <f>SUM(B44:C44)</f>
        <v>34810842.409672625</v>
      </c>
    </row>
    <row r="45" spans="1:15" x14ac:dyDescent="0.25">
      <c r="A45" s="855" t="s">
        <v>96</v>
      </c>
      <c r="B45" s="894">
        <f>SUM(B41:B44)</f>
        <v>224758070.55840546</v>
      </c>
      <c r="C45" s="894">
        <f>SUM(C41:C44)</f>
        <v>83924723.184947282</v>
      </c>
      <c r="D45" s="894">
        <f>C45+B45</f>
        <v>308682793.74335277</v>
      </c>
    </row>
    <row r="48" spans="1:15" x14ac:dyDescent="0.25">
      <c r="B48" s="40"/>
    </row>
    <row r="49" spans="1:7" x14ac:dyDescent="0.25">
      <c r="A49" t="s">
        <v>118</v>
      </c>
    </row>
    <row r="52" spans="1:7" x14ac:dyDescent="0.25">
      <c r="D52" s="711"/>
      <c r="G52" s="40"/>
    </row>
    <row r="53" spans="1:7" x14ac:dyDescent="0.25">
      <c r="D53" s="711"/>
      <c r="G53" s="40"/>
    </row>
    <row r="54" spans="1:7" x14ac:dyDescent="0.25">
      <c r="D54" s="711"/>
      <c r="G54" s="40"/>
    </row>
    <row r="55" spans="1:7" x14ac:dyDescent="0.25">
      <c r="D55" s="711"/>
      <c r="G55" s="40"/>
    </row>
  </sheetData>
  <sheetProtection algorithmName="SHA-512" hashValue="QiYwqCcRcSYGL704FghQDdkDjuaqe/j+izog6YX3fb0iElCYdAPWKRz0KUlS5CBSLskOTvopveWyWFKxuL1klg==" saltValue="wBhqXwwfqtklEJNSOH5ZoA==" spinCount="100000" sheet="1" objects="1" scenarios="1"/>
  <mergeCells count="10">
    <mergeCell ref="B39:D39"/>
    <mergeCell ref="L4:L5"/>
    <mergeCell ref="B17:D17"/>
    <mergeCell ref="L14:L15"/>
    <mergeCell ref="N28:O28"/>
    <mergeCell ref="B28:D28"/>
    <mergeCell ref="M14:M15"/>
    <mergeCell ref="N14:N15"/>
    <mergeCell ref="O14:O15"/>
    <mergeCell ref="G33:I33"/>
  </mergeCells>
  <hyperlinks>
    <hyperlink ref="G3" location="'Anexo 2_CF_O&amp;M'!A1" display="Operação e Manutenção" xr:uid="{00000000-0004-0000-0100-000000000000}"/>
    <hyperlink ref="G5" location="'Anexo 4_CF_FRA'!A1" display="Fundo de Reposição de Ativos" xr:uid="{00000000-0004-0000-0100-000001000000}"/>
    <hyperlink ref="G6" location="'Anexo 5_Desp Adm'!A1" display="Despesas Administrativas" xr:uid="{00000000-0004-0000-0100-000002000000}"/>
    <hyperlink ref="G9" location="'Anexo 6_Tx Adm'!A1" display="Taxa de Administração - Parcela Fixa" xr:uid="{00000000-0004-0000-0100-000003000000}"/>
    <hyperlink ref="G8" location="'Anexo 1A_CF_ Energia Elétrica'!A1" display="Energia Elétrica - Parcela Fixa" xr:uid="{00000000-0004-0000-0100-000004000000}"/>
    <hyperlink ref="G16" location="'Anexo1B-CV Energia Elétrica'!A1" display="Energia Elétrica - Parcela Variável" xr:uid="{00000000-0004-0000-0100-000005000000}"/>
    <hyperlink ref="G17" location="'Anexo 6_Tx Adm'!A1" display="Taxa de Administração - Parcela Variável" xr:uid="{00000000-0004-0000-0100-000006000000}"/>
    <hyperlink ref="G4" location="'Anexo 3_Custos Ambientais'!A1" display="Custos Ambientais" xr:uid="{00000000-0004-0000-0100-000007000000}"/>
  </hyperlinks>
  <pageMargins left="0.511811024" right="0.511811024" top="0.78740157499999996" bottom="0.78740157499999996" header="0.31496062000000002" footer="0.31496062000000002"/>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26"/>
  <sheetViews>
    <sheetView showGridLines="0" workbookViewId="0"/>
  </sheetViews>
  <sheetFormatPr defaultColWidth="12.42578125" defaultRowHeight="15" x14ac:dyDescent="0.25"/>
  <cols>
    <col min="1" max="1" width="9.28515625" customWidth="1"/>
    <col min="2" max="2" width="57.7109375" customWidth="1"/>
    <col min="3" max="3" width="23.28515625" bestFit="1" customWidth="1"/>
    <col min="6" max="6" width="14" customWidth="1"/>
    <col min="7" max="7" width="14.42578125" bestFit="1" customWidth="1"/>
    <col min="8" max="8" width="14.140625" customWidth="1"/>
  </cols>
  <sheetData>
    <row r="2" spans="2:9" x14ac:dyDescent="0.25">
      <c r="B2" s="1084" t="s">
        <v>970</v>
      </c>
      <c r="C2" s="1084"/>
      <c r="D2" s="1084"/>
      <c r="E2" s="1084"/>
      <c r="F2" s="259" t="s">
        <v>205</v>
      </c>
      <c r="G2" s="259" t="s">
        <v>205</v>
      </c>
      <c r="H2" s="259" t="s">
        <v>205</v>
      </c>
      <c r="I2" s="12"/>
    </row>
    <row r="3" spans="2:9" x14ac:dyDescent="0.25">
      <c r="B3" s="260"/>
      <c r="C3" s="260"/>
      <c r="D3" s="260"/>
      <c r="E3" s="260"/>
      <c r="F3" s="253">
        <f>C15</f>
        <v>2919156.9191963011</v>
      </c>
      <c r="G3" s="253">
        <f>C16</f>
        <v>3497607.3686222965</v>
      </c>
      <c r="H3" s="253">
        <f>F3+G3</f>
        <v>6416764.2878185976</v>
      </c>
      <c r="I3" s="12"/>
    </row>
    <row r="4" spans="2:9" x14ac:dyDescent="0.25">
      <c r="B4" s="260"/>
      <c r="C4" s="260"/>
      <c r="D4" s="260"/>
      <c r="E4" s="260"/>
      <c r="F4" s="260"/>
      <c r="G4" s="260"/>
      <c r="H4" s="260"/>
      <c r="I4" s="12"/>
    </row>
    <row r="5" spans="2:9" x14ac:dyDescent="0.25">
      <c r="B5" s="261" t="s">
        <v>971</v>
      </c>
      <c r="C5" s="260"/>
      <c r="D5" s="260"/>
      <c r="E5" s="260"/>
      <c r="F5" s="260"/>
      <c r="G5" s="260"/>
      <c r="H5" s="260">
        <f>((2295-126)*20-18)/1000</f>
        <v>43.362000000000002</v>
      </c>
      <c r="I5" s="155" t="s">
        <v>656</v>
      </c>
    </row>
    <row r="6" spans="2:9" x14ac:dyDescent="0.25">
      <c r="B6" s="262" t="s">
        <v>67</v>
      </c>
      <c r="C6" s="332">
        <f>'custos unitários para atualizar'!B28</f>
        <v>57.34</v>
      </c>
      <c r="D6" s="262" t="s">
        <v>972</v>
      </c>
      <c r="E6" s="260"/>
      <c r="F6" s="260"/>
      <c r="G6" s="260"/>
      <c r="H6" s="260"/>
      <c r="I6" s="12"/>
    </row>
    <row r="7" spans="2:9" x14ac:dyDescent="0.25">
      <c r="B7" s="262" t="s">
        <v>973</v>
      </c>
      <c r="C7" s="332">
        <f>'custos unitários para atualizar'!B29</f>
        <v>107.68</v>
      </c>
      <c r="D7" s="262" t="s">
        <v>972</v>
      </c>
      <c r="E7" s="260"/>
      <c r="F7" s="260"/>
      <c r="G7" s="260"/>
      <c r="H7" s="260"/>
      <c r="I7" s="12"/>
    </row>
    <row r="8" spans="2:9" x14ac:dyDescent="0.25">
      <c r="B8" s="260" t="s">
        <v>974</v>
      </c>
      <c r="C8" s="263">
        <v>0.01</v>
      </c>
      <c r="D8" s="6"/>
      <c r="E8" s="6"/>
      <c r="F8" s="6"/>
      <c r="G8" s="6"/>
      <c r="H8" s="6"/>
      <c r="I8" s="12"/>
    </row>
    <row r="9" spans="2:9" x14ac:dyDescent="0.25">
      <c r="B9" s="260" t="s">
        <v>975</v>
      </c>
      <c r="C9" s="253">
        <f>(1006826.53/H$5)</f>
        <v>23219.098058207648</v>
      </c>
      <c r="D9" s="262" t="s">
        <v>976</v>
      </c>
      <c r="E9" s="260" t="s">
        <v>977</v>
      </c>
      <c r="F9" s="260"/>
      <c r="G9" s="260"/>
      <c r="H9" s="260"/>
      <c r="I9" s="12"/>
    </row>
    <row r="10" spans="2:9" x14ac:dyDescent="0.25">
      <c r="B10" s="260" t="s">
        <v>978</v>
      </c>
      <c r="C10" s="253">
        <f>(5577.51/H$5)</f>
        <v>128.62667773626677</v>
      </c>
      <c r="D10" s="262" t="s">
        <v>976</v>
      </c>
      <c r="E10" s="6" t="s">
        <v>979</v>
      </c>
      <c r="F10" s="6"/>
      <c r="G10" s="6"/>
      <c r="H10" s="260"/>
      <c r="I10" s="12"/>
    </row>
    <row r="11" spans="2:9" x14ac:dyDescent="0.25">
      <c r="B11" s="260" t="s">
        <v>980</v>
      </c>
      <c r="C11" s="253">
        <f>C8*C9</f>
        <v>232.19098058207649</v>
      </c>
      <c r="D11" s="262" t="s">
        <v>976</v>
      </c>
      <c r="E11" s="260"/>
      <c r="F11" s="260"/>
      <c r="G11" s="260"/>
      <c r="H11" s="260"/>
      <c r="I11" s="12"/>
    </row>
    <row r="12" spans="2:9" x14ac:dyDescent="0.25">
      <c r="B12" s="260" t="s">
        <v>981</v>
      </c>
      <c r="C12" s="11">
        <f>C8*C10</f>
        <v>1.2862667773626677</v>
      </c>
      <c r="D12" s="262" t="s">
        <v>976</v>
      </c>
      <c r="E12" s="6"/>
      <c r="F12" s="6"/>
      <c r="G12" s="260"/>
      <c r="H12" s="260"/>
      <c r="I12" s="12"/>
    </row>
    <row r="13" spans="2:9" x14ac:dyDescent="0.25">
      <c r="B13" s="262" t="s">
        <v>982</v>
      </c>
      <c r="C13" s="264">
        <v>217</v>
      </c>
      <c r="D13" s="260" t="s">
        <v>656</v>
      </c>
      <c r="E13" s="262" t="s">
        <v>983</v>
      </c>
      <c r="F13" s="260"/>
      <c r="G13" s="260"/>
      <c r="H13" s="260"/>
      <c r="I13" s="12"/>
    </row>
    <row r="14" spans="2:9" x14ac:dyDescent="0.25">
      <c r="B14" s="262" t="s">
        <v>984</v>
      </c>
      <c r="C14" s="264">
        <v>260</v>
      </c>
      <c r="D14" s="260" t="s">
        <v>656</v>
      </c>
      <c r="E14" s="262" t="s">
        <v>983</v>
      </c>
      <c r="F14" s="260"/>
      <c r="G14" s="260"/>
      <c r="H14" s="260"/>
    </row>
    <row r="15" spans="2:9" x14ac:dyDescent="0.25">
      <c r="B15" s="262" t="s">
        <v>985</v>
      </c>
      <c r="C15" s="253">
        <f>(($C$6*$C$11)+($C$7*$C$12))*C13</f>
        <v>2919156.9191963011</v>
      </c>
      <c r="D15" s="262" t="s">
        <v>986</v>
      </c>
      <c r="E15" s="260"/>
      <c r="F15" s="260"/>
      <c r="G15" s="260"/>
      <c r="H15" s="6"/>
    </row>
    <row r="16" spans="2:9" x14ac:dyDescent="0.25">
      <c r="B16" s="262" t="s">
        <v>987</v>
      </c>
      <c r="C16" s="253">
        <f>(($C$6*$C$11)+($C$7*$C$12))*C14</f>
        <v>3497607.3686222965</v>
      </c>
      <c r="D16" s="262" t="s">
        <v>986</v>
      </c>
      <c r="E16" s="260"/>
      <c r="F16" s="260"/>
      <c r="G16" s="6"/>
      <c r="H16" s="6"/>
      <c r="I16" s="19"/>
    </row>
    <row r="18" spans="2:6" x14ac:dyDescent="0.25">
      <c r="B18" s="1081"/>
      <c r="C18" s="1081"/>
      <c r="D18" s="1081"/>
      <c r="E18" s="1081"/>
      <c r="F18" s="152"/>
    </row>
    <row r="19" spans="2:6" x14ac:dyDescent="0.25">
      <c r="F19" s="4"/>
    </row>
    <row r="20" spans="2:6" x14ac:dyDescent="0.25">
      <c r="B20" s="18"/>
      <c r="C20" s="4"/>
      <c r="D20" s="18"/>
    </row>
    <row r="21" spans="2:6" x14ac:dyDescent="0.25">
      <c r="B21" s="18"/>
      <c r="C21" s="4"/>
      <c r="D21" s="18"/>
    </row>
    <row r="22" spans="2:6" x14ac:dyDescent="0.25">
      <c r="C22" s="4"/>
      <c r="D22" s="18"/>
    </row>
    <row r="23" spans="2:6" x14ac:dyDescent="0.25">
      <c r="E23" s="18"/>
    </row>
    <row r="24" spans="2:6" x14ac:dyDescent="0.25">
      <c r="E24" s="151"/>
    </row>
    <row r="25" spans="2:6" x14ac:dyDescent="0.25">
      <c r="E25" s="151"/>
    </row>
    <row r="26" spans="2:6" x14ac:dyDescent="0.25">
      <c r="E26" s="150"/>
      <c r="F26" s="149"/>
    </row>
  </sheetData>
  <mergeCells count="2">
    <mergeCell ref="B18:E18"/>
    <mergeCell ref="B2:E2"/>
  </mergeCells>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F13"/>
  <sheetViews>
    <sheetView showGridLines="0" workbookViewId="0"/>
  </sheetViews>
  <sheetFormatPr defaultColWidth="12.42578125" defaultRowHeight="12.75" x14ac:dyDescent="0.2"/>
  <cols>
    <col min="1" max="1" width="12.42578125" style="158"/>
    <col min="2" max="2" width="49" style="158" bestFit="1" customWidth="1"/>
    <col min="3" max="3" width="16.7109375" style="158" customWidth="1"/>
    <col min="4" max="4" width="19.85546875" style="158" customWidth="1"/>
    <col min="5" max="5" width="41.28515625" style="158" bestFit="1" customWidth="1"/>
    <col min="6" max="6" width="20.7109375" style="158" bestFit="1" customWidth="1"/>
    <col min="7" max="7" width="15" style="158" bestFit="1" customWidth="1"/>
    <col min="8" max="8" width="43.85546875" style="158" customWidth="1"/>
    <col min="9" max="9" width="49" style="158" bestFit="1" customWidth="1"/>
    <col min="10" max="10" width="12.42578125" style="158"/>
    <col min="11" max="11" width="14.28515625" style="158" bestFit="1" customWidth="1"/>
    <col min="12" max="12" width="21.140625" style="158" customWidth="1"/>
    <col min="13" max="13" width="19.140625" style="158" customWidth="1"/>
    <col min="14" max="16384" width="12.42578125" style="158"/>
  </cols>
  <sheetData>
    <row r="2" spans="1:6" x14ac:dyDescent="0.2">
      <c r="A2" s="160" t="s">
        <v>354</v>
      </c>
      <c r="B2" s="160" t="s">
        <v>988</v>
      </c>
      <c r="C2" s="160" t="s">
        <v>989</v>
      </c>
      <c r="D2" s="160" t="s">
        <v>990</v>
      </c>
      <c r="E2" s="160" t="s">
        <v>991</v>
      </c>
      <c r="F2" s="160" t="s">
        <v>96</v>
      </c>
    </row>
    <row r="3" spans="1:6" ht="15" x14ac:dyDescent="0.25">
      <c r="A3" s="162" t="s">
        <v>427</v>
      </c>
      <c r="B3" s="162" t="s">
        <v>429</v>
      </c>
      <c r="C3" s="161">
        <v>40017</v>
      </c>
      <c r="D3" s="10">
        <v>35309770.784000002</v>
      </c>
      <c r="E3" s="160">
        <v>1.6080000000000001</v>
      </c>
      <c r="F3" s="159">
        <f>E3*D3</f>
        <v>56778111.420672007</v>
      </c>
    </row>
    <row r="4" spans="1:6" ht="15" x14ac:dyDescent="0.25">
      <c r="A4" s="162" t="s">
        <v>430</v>
      </c>
      <c r="B4" s="162" t="s">
        <v>431</v>
      </c>
      <c r="C4" s="161">
        <v>40017</v>
      </c>
      <c r="D4" s="10">
        <v>40251043.048999995</v>
      </c>
      <c r="E4" s="160">
        <v>1.6080000000000001</v>
      </c>
      <c r="F4" s="159">
        <f>E4*D4</f>
        <v>64723677.222791992</v>
      </c>
    </row>
    <row r="5" spans="1:6" ht="14.25" customHeight="1" x14ac:dyDescent="0.25">
      <c r="A5" s="162" t="s">
        <v>432</v>
      </c>
      <c r="B5" s="162" t="s">
        <v>434</v>
      </c>
      <c r="C5" s="161">
        <v>41500</v>
      </c>
      <c r="D5" s="10">
        <v>20161090.785599999</v>
      </c>
      <c r="E5" s="160">
        <v>1.2549999999999999</v>
      </c>
      <c r="F5" s="159">
        <f>E5*D5</f>
        <v>25302168.935927998</v>
      </c>
    </row>
    <row r="6" spans="1:6" ht="15" x14ac:dyDescent="0.25">
      <c r="A6" s="162" t="s">
        <v>468</v>
      </c>
      <c r="B6" s="209" t="s">
        <v>469</v>
      </c>
      <c r="C6" s="161">
        <v>41879</v>
      </c>
      <c r="D6" s="10">
        <v>10507343.437200001</v>
      </c>
      <c r="E6" s="160">
        <v>1.1919999999999999</v>
      </c>
      <c r="F6" s="159">
        <f>E6*D6</f>
        <v>12524753.3771424</v>
      </c>
    </row>
    <row r="7" spans="1:6" x14ac:dyDescent="0.2">
      <c r="A7" s="160"/>
      <c r="B7" s="160"/>
      <c r="C7" s="160"/>
      <c r="D7" s="160"/>
      <c r="E7" s="160"/>
      <c r="F7" s="159">
        <f>SUM(F3:F6)</f>
        <v>159328710.95653439</v>
      </c>
    </row>
    <row r="8" spans="1:6" x14ac:dyDescent="0.2">
      <c r="A8" s="160" t="s">
        <v>909</v>
      </c>
      <c r="B8" s="265" t="s">
        <v>992</v>
      </c>
      <c r="C8" s="265">
        <v>1.7999999999999999E-2</v>
      </c>
      <c r="D8" s="160"/>
      <c r="E8" s="160"/>
      <c r="F8" s="159">
        <f>F7*C8</f>
        <v>2867916.7972176187</v>
      </c>
    </row>
    <row r="9" spans="1:6" ht="15" x14ac:dyDescent="0.25">
      <c r="E9" s="82" t="s">
        <v>340</v>
      </c>
      <c r="F9" s="309">
        <f>'custos unitários para atualizar'!$B$4</f>
        <v>0.79693099999999994</v>
      </c>
    </row>
    <row r="10" spans="1:6" x14ac:dyDescent="0.2">
      <c r="E10" s="82" t="s">
        <v>342</v>
      </c>
      <c r="F10" s="663">
        <f>F8*(1+F9)</f>
        <v>5153448.5983410524</v>
      </c>
    </row>
    <row r="12" spans="1:6" x14ac:dyDescent="0.2">
      <c r="E12" s="887" t="s">
        <v>1528</v>
      </c>
      <c r="F12" s="888">
        <v>9640879.6400000006</v>
      </c>
    </row>
    <row r="13" spans="1:6" x14ac:dyDescent="0.2">
      <c r="F13" s="884"/>
    </row>
  </sheetData>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G16"/>
  <sheetViews>
    <sheetView showGridLines="0" workbookViewId="0"/>
  </sheetViews>
  <sheetFormatPr defaultColWidth="12.42578125" defaultRowHeight="12.75" x14ac:dyDescent="0.2"/>
  <cols>
    <col min="1" max="2" width="12.42578125" style="158"/>
    <col min="3" max="3" width="61.42578125" style="158" customWidth="1"/>
    <col min="4" max="4" width="12.42578125" style="158"/>
    <col min="5" max="5" width="15" style="158" bestFit="1" customWidth="1"/>
    <col min="6" max="6" width="41.28515625" style="158" bestFit="1" customWidth="1"/>
    <col min="7" max="7" width="17.140625" style="158" bestFit="1" customWidth="1"/>
    <col min="8" max="16384" width="12.42578125" style="158"/>
  </cols>
  <sheetData>
    <row r="2" spans="2:7" x14ac:dyDescent="0.2">
      <c r="B2" s="160" t="s">
        <v>993</v>
      </c>
      <c r="C2" s="160"/>
      <c r="D2" s="160"/>
      <c r="E2" s="160"/>
      <c r="F2" s="160"/>
      <c r="G2" s="160"/>
    </row>
    <row r="3" spans="2:7" x14ac:dyDescent="0.2">
      <c r="B3" s="160" t="s">
        <v>354</v>
      </c>
      <c r="C3" s="160" t="s">
        <v>988</v>
      </c>
      <c r="D3" s="160" t="s">
        <v>989</v>
      </c>
      <c r="E3" s="160" t="s">
        <v>990</v>
      </c>
      <c r="F3" s="160" t="s">
        <v>991</v>
      </c>
      <c r="G3" s="160" t="s">
        <v>96</v>
      </c>
    </row>
    <row r="4" spans="2:7" ht="15" x14ac:dyDescent="0.25">
      <c r="B4" s="162" t="s">
        <v>436</v>
      </c>
      <c r="C4" s="162" t="s">
        <v>438</v>
      </c>
      <c r="D4" s="161">
        <v>40017</v>
      </c>
      <c r="E4" s="10">
        <v>30616347.631999988</v>
      </c>
      <c r="F4" s="160">
        <v>1.6080000000000001</v>
      </c>
      <c r="G4" s="159">
        <f>F4*E4</f>
        <v>49231086.992255986</v>
      </c>
    </row>
    <row r="5" spans="2:7" ht="15" x14ac:dyDescent="0.25">
      <c r="B5" s="162" t="s">
        <v>439</v>
      </c>
      <c r="C5" s="162" t="s">
        <v>441</v>
      </c>
      <c r="D5" s="161">
        <v>41410</v>
      </c>
      <c r="E5" s="10">
        <v>21119291.794</v>
      </c>
      <c r="F5" s="160">
        <v>1.268</v>
      </c>
      <c r="G5" s="159">
        <f>F5*E5</f>
        <v>26779261.994791999</v>
      </c>
    </row>
    <row r="6" spans="2:7" ht="15" x14ac:dyDescent="0.25">
      <c r="B6" s="162" t="s">
        <v>439</v>
      </c>
      <c r="C6" s="162" t="s">
        <v>443</v>
      </c>
      <c r="D6" s="161">
        <v>41410</v>
      </c>
      <c r="E6" s="10">
        <v>33980015.173999995</v>
      </c>
      <c r="F6" s="160">
        <v>1.268</v>
      </c>
      <c r="G6" s="159">
        <f>F6*E6</f>
        <v>43086659.240631998</v>
      </c>
    </row>
    <row r="7" spans="2:7" ht="15" x14ac:dyDescent="0.25">
      <c r="B7" s="162" t="s">
        <v>470</v>
      </c>
      <c r="C7" s="209" t="s">
        <v>472</v>
      </c>
      <c r="D7" s="161">
        <v>42148</v>
      </c>
      <c r="E7" s="10">
        <v>39703524.853199996</v>
      </c>
      <c r="F7" s="160">
        <v>1.1339999999999999</v>
      </c>
      <c r="G7" s="159">
        <f>F7*E7</f>
        <v>45023797.183528788</v>
      </c>
    </row>
    <row r="8" spans="2:7" ht="15" x14ac:dyDescent="0.25">
      <c r="B8" s="163" t="s">
        <v>473</v>
      </c>
      <c r="C8" s="209" t="s">
        <v>474</v>
      </c>
      <c r="D8" s="161">
        <v>42148</v>
      </c>
      <c r="E8" s="10">
        <v>6969138.4484999999</v>
      </c>
      <c r="F8" s="160">
        <v>1.1339999999999999</v>
      </c>
      <c r="G8" s="159">
        <f>F8*E8</f>
        <v>7903003.0005989997</v>
      </c>
    </row>
    <row r="9" spans="2:7" x14ac:dyDescent="0.2">
      <c r="B9" s="160"/>
      <c r="C9" s="160"/>
      <c r="D9" s="160"/>
      <c r="E9" s="159">
        <f>SUM(E4:E8)</f>
        <v>132388317.90169999</v>
      </c>
      <c r="F9" s="160"/>
      <c r="G9" s="159">
        <f>SUM(G4:G8)</f>
        <v>172023808.41180778</v>
      </c>
    </row>
    <row r="10" spans="2:7" x14ac:dyDescent="0.2">
      <c r="B10" s="160" t="s">
        <v>909</v>
      </c>
      <c r="C10" s="265" t="s">
        <v>992</v>
      </c>
      <c r="D10" s="265">
        <v>0.02</v>
      </c>
      <c r="E10" s="160"/>
      <c r="F10" s="160"/>
      <c r="G10" s="159">
        <f>G9*D10</f>
        <v>3440476.1682361555</v>
      </c>
    </row>
    <row r="11" spans="2:7" ht="15" x14ac:dyDescent="0.25">
      <c r="F11" s="82" t="s">
        <v>340</v>
      </c>
      <c r="G11" s="309">
        <f>'custos unitários para atualizar'!$B$4</f>
        <v>0.79693099999999994</v>
      </c>
    </row>
    <row r="12" spans="2:7" x14ac:dyDescent="0.2">
      <c r="F12" s="82" t="s">
        <v>603</v>
      </c>
      <c r="G12" s="663">
        <f>G10*(1+G11)</f>
        <v>6182298.281464763</v>
      </c>
    </row>
    <row r="15" spans="2:7" x14ac:dyDescent="0.2">
      <c r="F15" s="887" t="s">
        <v>1528</v>
      </c>
      <c r="G15" s="888">
        <v>9181790.1400000006</v>
      </c>
    </row>
    <row r="16" spans="2:7" ht="15" x14ac:dyDescent="0.25">
      <c r="G16" s="3"/>
    </row>
  </sheetData>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F11"/>
  <sheetViews>
    <sheetView showGridLines="0" workbookViewId="0"/>
  </sheetViews>
  <sheetFormatPr defaultColWidth="8.85546875" defaultRowHeight="15" x14ac:dyDescent="0.25"/>
  <cols>
    <col min="2" max="2" width="35.140625" customWidth="1"/>
    <col min="3" max="3" width="19.28515625" customWidth="1"/>
    <col min="4" max="4" width="14.28515625" bestFit="1" customWidth="1"/>
    <col min="5" max="5" width="41.28515625" bestFit="1" customWidth="1"/>
    <col min="6" max="6" width="20.42578125" customWidth="1"/>
  </cols>
  <sheetData>
    <row r="2" spans="1:6" x14ac:dyDescent="0.25">
      <c r="A2" s="160" t="s">
        <v>354</v>
      </c>
      <c r="B2" s="160" t="s">
        <v>988</v>
      </c>
      <c r="C2" s="160" t="s">
        <v>989</v>
      </c>
      <c r="D2" s="160" t="s">
        <v>990</v>
      </c>
      <c r="E2" s="160" t="s">
        <v>991</v>
      </c>
      <c r="F2" s="160" t="s">
        <v>96</v>
      </c>
    </row>
    <row r="3" spans="1:6" x14ac:dyDescent="0.25">
      <c r="A3" s="164" t="s">
        <v>421</v>
      </c>
      <c r="B3" s="162" t="s">
        <v>423</v>
      </c>
      <c r="C3" s="161">
        <v>41573</v>
      </c>
      <c r="D3" s="10">
        <v>13977401.869999999</v>
      </c>
      <c r="E3" s="6">
        <v>1.2350000000000001</v>
      </c>
      <c r="F3" s="10">
        <f>D3*E3</f>
        <v>17262091.309450001</v>
      </c>
    </row>
    <row r="4" spans="1:6" x14ac:dyDescent="0.25">
      <c r="A4" s="164" t="s">
        <v>424</v>
      </c>
      <c r="B4" s="162" t="s">
        <v>425</v>
      </c>
      <c r="C4" s="161">
        <v>41573</v>
      </c>
      <c r="D4" s="10">
        <v>16480155.34</v>
      </c>
      <c r="E4" s="6">
        <v>1.2350000000000001</v>
      </c>
      <c r="F4" s="10">
        <f>D4*E4</f>
        <v>20352991.844900001</v>
      </c>
    </row>
    <row r="5" spans="1:6" x14ac:dyDescent="0.25">
      <c r="A5" s="6"/>
      <c r="B5" s="6"/>
      <c r="C5" s="6"/>
      <c r="D5" s="10">
        <f>SUM(D3:D4)</f>
        <v>30457557.210000001</v>
      </c>
      <c r="E5" s="6"/>
      <c r="F5" s="10">
        <f>SUM(F3:F4)</f>
        <v>37615083.154349998</v>
      </c>
    </row>
    <row r="6" spans="1:6" x14ac:dyDescent="0.25">
      <c r="A6" s="160" t="s">
        <v>909</v>
      </c>
      <c r="B6" s="265" t="s">
        <v>992</v>
      </c>
      <c r="C6" s="265">
        <v>0.05</v>
      </c>
      <c r="D6" s="160"/>
      <c r="E6" s="160"/>
      <c r="F6" s="159">
        <f>F5*C6</f>
        <v>1880754.1577174999</v>
      </c>
    </row>
    <row r="7" spans="1:6" x14ac:dyDescent="0.25">
      <c r="E7" s="82" t="s">
        <v>340</v>
      </c>
      <c r="F7" s="309">
        <f>'custos unitários para atualizar'!$B$4</f>
        <v>0.79693099999999994</v>
      </c>
    </row>
    <row r="8" spans="1:6" x14ac:dyDescent="0.25">
      <c r="E8" s="82" t="s">
        <v>342</v>
      </c>
      <c r="F8" s="663">
        <f>F6*(1+F7)</f>
        <v>3379585.4493814646</v>
      </c>
    </row>
    <row r="10" spans="1:6" x14ac:dyDescent="0.25">
      <c r="E10" s="887" t="s">
        <v>1528</v>
      </c>
      <c r="F10" s="889">
        <v>4131805.56</v>
      </c>
    </row>
    <row r="11" spans="1:6" x14ac:dyDescent="0.25">
      <c r="F11" s="3"/>
    </row>
  </sheetData>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H40"/>
  <sheetViews>
    <sheetView showGridLines="0" workbookViewId="0"/>
  </sheetViews>
  <sheetFormatPr defaultColWidth="12.42578125" defaultRowHeight="15" x14ac:dyDescent="0.25"/>
  <cols>
    <col min="1" max="1" width="9.28515625" customWidth="1"/>
    <col min="2" max="2" width="49.28515625" customWidth="1"/>
    <col min="3" max="3" width="23.28515625" bestFit="1" customWidth="1"/>
    <col min="6" max="6" width="14" customWidth="1"/>
    <col min="7" max="7" width="14.42578125" bestFit="1" customWidth="1"/>
    <col min="8" max="8" width="14.140625" customWidth="1"/>
  </cols>
  <sheetData>
    <row r="1" spans="2:8" x14ac:dyDescent="0.25">
      <c r="B1" s="6"/>
      <c r="C1" s="6"/>
      <c r="D1" s="6"/>
      <c r="E1" s="6"/>
      <c r="F1" s="266" t="s">
        <v>7</v>
      </c>
      <c r="G1" s="266" t="s">
        <v>9</v>
      </c>
      <c r="H1" s="266" t="s">
        <v>172</v>
      </c>
    </row>
    <row r="2" spans="2:8" x14ac:dyDescent="0.25">
      <c r="B2" s="6"/>
      <c r="C2" s="6"/>
      <c r="D2" s="6"/>
      <c r="E2" s="6"/>
      <c r="F2" s="13" t="s">
        <v>205</v>
      </c>
      <c r="G2" s="13" t="s">
        <v>205</v>
      </c>
      <c r="H2" s="13" t="s">
        <v>205</v>
      </c>
    </row>
    <row r="3" spans="2:8" x14ac:dyDescent="0.25">
      <c r="B3" s="1083" t="s">
        <v>994</v>
      </c>
      <c r="C3" s="1083"/>
      <c r="D3" s="1083"/>
      <c r="E3" s="1083"/>
      <c r="F3" s="256">
        <f>C15*(6/9)+C22+C33+'aferição medidores de vazão'!C6</f>
        <v>1275000</v>
      </c>
      <c r="G3" s="256">
        <f>C15*(3/9)+C21+C32+'aferição medidores de vazão'!C5</f>
        <v>1005000</v>
      </c>
      <c r="H3" s="256">
        <f>F3+G3</f>
        <v>2280000</v>
      </c>
    </row>
    <row r="4" spans="2:8" x14ac:dyDescent="0.25">
      <c r="B4" s="6"/>
      <c r="C4" s="6"/>
      <c r="D4" s="6"/>
      <c r="E4" s="6"/>
      <c r="F4" s="6"/>
      <c r="G4" s="6"/>
      <c r="H4" s="6"/>
    </row>
    <row r="5" spans="2:8" x14ac:dyDescent="0.25">
      <c r="B5" s="6" t="s">
        <v>995</v>
      </c>
      <c r="C5" s="6"/>
      <c r="D5" s="6"/>
      <c r="E5" s="6"/>
      <c r="F5" s="6"/>
      <c r="G5" s="6"/>
      <c r="H5" s="6"/>
    </row>
    <row r="6" spans="2:8" x14ac:dyDescent="0.25">
      <c r="B6" s="8" t="s">
        <v>996</v>
      </c>
      <c r="C6" s="6">
        <v>9</v>
      </c>
      <c r="D6" s="6"/>
      <c r="E6" s="6"/>
      <c r="F6" s="6"/>
      <c r="G6" s="6"/>
      <c r="H6" s="6"/>
    </row>
    <row r="7" spans="2:8" x14ac:dyDescent="0.25">
      <c r="B7" s="6" t="s">
        <v>997</v>
      </c>
      <c r="C7" s="6">
        <v>2</v>
      </c>
      <c r="D7" s="6"/>
      <c r="E7" s="6"/>
      <c r="F7" s="6"/>
      <c r="G7" s="6"/>
      <c r="H7" s="6"/>
    </row>
    <row r="8" spans="2:8" x14ac:dyDescent="0.25">
      <c r="B8" s="6" t="s">
        <v>998</v>
      </c>
      <c r="C8" s="6">
        <f>C7*C6</f>
        <v>18</v>
      </c>
      <c r="D8" s="6"/>
      <c r="E8" s="6"/>
      <c r="F8" s="6"/>
      <c r="G8" s="6"/>
      <c r="H8" s="6"/>
    </row>
    <row r="9" spans="2:8" x14ac:dyDescent="0.25">
      <c r="B9" s="6" t="s">
        <v>999</v>
      </c>
      <c r="C9" s="10">
        <v>50000</v>
      </c>
      <c r="D9" s="6" t="s">
        <v>205</v>
      </c>
      <c r="E9" s="6"/>
      <c r="F9" s="6"/>
      <c r="G9" s="6"/>
      <c r="H9" s="6"/>
    </row>
    <row r="10" spans="2:8" x14ac:dyDescent="0.25">
      <c r="B10" s="6" t="s">
        <v>96</v>
      </c>
      <c r="C10" s="10">
        <f>C9*C8</f>
        <v>900000</v>
      </c>
      <c r="D10" s="6" t="s">
        <v>205</v>
      </c>
      <c r="E10" s="6"/>
      <c r="F10" s="6"/>
      <c r="G10" s="6"/>
      <c r="H10" s="6"/>
    </row>
    <row r="11" spans="2:8" x14ac:dyDescent="0.25">
      <c r="B11" s="6"/>
      <c r="C11" s="6"/>
      <c r="D11" s="6"/>
      <c r="E11" s="6"/>
      <c r="F11" s="6"/>
      <c r="G11" s="6"/>
      <c r="H11" s="6"/>
    </row>
    <row r="12" spans="2:8" x14ac:dyDescent="0.25">
      <c r="B12" s="6" t="s">
        <v>1000</v>
      </c>
      <c r="C12" s="10">
        <v>30000</v>
      </c>
      <c r="D12" s="6" t="s">
        <v>205</v>
      </c>
      <c r="E12" s="6"/>
      <c r="F12" s="6"/>
      <c r="G12" s="6"/>
      <c r="H12" s="6"/>
    </row>
    <row r="13" spans="2:8" x14ac:dyDescent="0.25">
      <c r="B13" s="6" t="s">
        <v>96</v>
      </c>
      <c r="C13" s="10">
        <f>C12*C6</f>
        <v>270000</v>
      </c>
      <c r="D13" s="6" t="s">
        <v>205</v>
      </c>
      <c r="E13" s="6"/>
      <c r="F13" s="6"/>
      <c r="G13" s="6"/>
      <c r="H13" s="6"/>
    </row>
    <row r="14" spans="2:8" x14ac:dyDescent="0.25">
      <c r="B14" s="6"/>
      <c r="C14" s="6"/>
      <c r="D14" s="6"/>
      <c r="E14" s="6"/>
      <c r="F14" s="6"/>
      <c r="G14" s="6"/>
      <c r="H14" s="6"/>
    </row>
    <row r="15" spans="2:8" x14ac:dyDescent="0.25">
      <c r="B15" s="6" t="s">
        <v>1001</v>
      </c>
      <c r="C15" s="267">
        <f>C13+C10</f>
        <v>1170000</v>
      </c>
      <c r="D15" s="6"/>
      <c r="E15" s="6"/>
      <c r="F15" s="6"/>
      <c r="G15" s="6"/>
      <c r="H15" s="6"/>
    </row>
    <row r="16" spans="2:8" x14ac:dyDescent="0.25">
      <c r="B16" s="80" t="s">
        <v>1002</v>
      </c>
      <c r="C16" s="10"/>
      <c r="D16" s="6"/>
      <c r="E16" s="6"/>
      <c r="F16" s="6"/>
      <c r="G16" s="6"/>
      <c r="H16" s="6"/>
    </row>
    <row r="17" spans="2:8" x14ac:dyDescent="0.25">
      <c r="B17" s="6" t="s">
        <v>1003</v>
      </c>
      <c r="C17" s="268">
        <v>17</v>
      </c>
      <c r="D17" s="6"/>
      <c r="E17" s="6"/>
      <c r="F17" s="6"/>
      <c r="G17" s="6"/>
      <c r="H17" s="6"/>
    </row>
    <row r="18" spans="2:8" x14ac:dyDescent="0.25">
      <c r="B18" s="6" t="s">
        <v>1004</v>
      </c>
      <c r="C18" s="268">
        <v>11</v>
      </c>
      <c r="D18" s="6"/>
      <c r="E18" s="6"/>
      <c r="F18" s="6"/>
      <c r="G18" s="6"/>
      <c r="H18" s="6"/>
    </row>
    <row r="19" spans="2:8" x14ac:dyDescent="0.25">
      <c r="B19" s="6"/>
      <c r="C19" s="10"/>
      <c r="D19" s="6"/>
      <c r="E19" s="6"/>
      <c r="F19" s="6"/>
      <c r="G19" s="6"/>
      <c r="H19" s="6"/>
    </row>
    <row r="20" spans="2:8" x14ac:dyDescent="0.25">
      <c r="B20" s="6" t="s">
        <v>1005</v>
      </c>
      <c r="C20" s="269">
        <v>20000</v>
      </c>
      <c r="D20" s="194" t="s">
        <v>1006</v>
      </c>
      <c r="E20" s="194"/>
      <c r="F20" s="194" t="s">
        <v>1007</v>
      </c>
      <c r="G20" s="6"/>
      <c r="H20" s="6"/>
    </row>
    <row r="21" spans="2:8" x14ac:dyDescent="0.25">
      <c r="B21" s="6" t="s">
        <v>1008</v>
      </c>
      <c r="C21" s="10">
        <f>C20*C17</f>
        <v>340000</v>
      </c>
      <c r="D21" s="6" t="s">
        <v>205</v>
      </c>
      <c r="E21" s="6"/>
      <c r="F21" s="6"/>
      <c r="G21" s="6"/>
      <c r="H21" s="6"/>
    </row>
    <row r="22" spans="2:8" x14ac:dyDescent="0.25">
      <c r="B22" s="6" t="s">
        <v>1009</v>
      </c>
      <c r="C22" s="10">
        <f>C20*C18</f>
        <v>220000</v>
      </c>
      <c r="D22" s="6" t="s">
        <v>205</v>
      </c>
      <c r="E22" s="6"/>
      <c r="F22" s="266"/>
      <c r="G22" s="266"/>
      <c r="H22" s="266"/>
    </row>
    <row r="23" spans="2:8" x14ac:dyDescent="0.25">
      <c r="B23" s="270" t="s">
        <v>1010</v>
      </c>
      <c r="C23" s="271">
        <f>C21+C22</f>
        <v>560000</v>
      </c>
      <c r="D23" s="270" t="s">
        <v>205</v>
      </c>
      <c r="E23" s="6"/>
      <c r="F23" s="6"/>
      <c r="G23" s="6"/>
      <c r="H23" s="6"/>
    </row>
    <row r="24" spans="2:8" x14ac:dyDescent="0.25">
      <c r="B24" s="6"/>
      <c r="C24" s="6"/>
      <c r="D24" s="6"/>
      <c r="E24" s="6"/>
      <c r="F24" s="6"/>
      <c r="G24" s="6"/>
      <c r="H24" s="6"/>
    </row>
    <row r="25" spans="2:8" x14ac:dyDescent="0.25">
      <c r="B25" s="80" t="s">
        <v>1011</v>
      </c>
      <c r="C25" s="10"/>
      <c r="D25" s="6"/>
      <c r="E25" s="6"/>
      <c r="F25" s="6"/>
      <c r="G25" s="6"/>
      <c r="H25" s="6"/>
    </row>
    <row r="26" spans="2:8" x14ac:dyDescent="0.25">
      <c r="B26" s="6" t="s">
        <v>1012</v>
      </c>
      <c r="C26" s="10">
        <v>35000</v>
      </c>
      <c r="D26" s="6" t="s">
        <v>1013</v>
      </c>
      <c r="E26" s="6"/>
      <c r="F26" s="6"/>
      <c r="G26" s="6"/>
      <c r="H26" s="6"/>
    </row>
    <row r="27" spans="2:8" x14ac:dyDescent="0.25">
      <c r="B27" s="6" t="s">
        <v>1014</v>
      </c>
      <c r="C27" s="10">
        <v>35000</v>
      </c>
      <c r="D27" s="6" t="s">
        <v>1013</v>
      </c>
      <c r="E27" s="6"/>
      <c r="F27" s="6"/>
      <c r="G27" s="6"/>
      <c r="H27" s="6"/>
    </row>
    <row r="28" spans="2:8" x14ac:dyDescent="0.25">
      <c r="B28" s="6" t="s">
        <v>1015</v>
      </c>
      <c r="C28" s="10">
        <v>2</v>
      </c>
      <c r="D28" s="6" t="s">
        <v>1016</v>
      </c>
      <c r="E28" s="6"/>
      <c r="F28" s="6"/>
      <c r="G28" s="6"/>
      <c r="H28" s="6"/>
    </row>
    <row r="29" spans="2:8" x14ac:dyDescent="0.25">
      <c r="B29" s="6" t="s">
        <v>1017</v>
      </c>
      <c r="C29" s="10">
        <v>2</v>
      </c>
      <c r="D29" s="6" t="s">
        <v>1016</v>
      </c>
      <c r="E29" s="6"/>
      <c r="F29" s="6"/>
      <c r="G29" s="6"/>
      <c r="H29" s="6"/>
    </row>
    <row r="30" spans="2:8" x14ac:dyDescent="0.25">
      <c r="B30" s="6" t="s">
        <v>1018</v>
      </c>
      <c r="C30" s="10">
        <v>2</v>
      </c>
      <c r="D30" s="6" t="s">
        <v>1016</v>
      </c>
      <c r="E30" s="6"/>
      <c r="F30" s="6"/>
      <c r="G30" s="6"/>
      <c r="H30" s="6"/>
    </row>
    <row r="31" spans="2:8" x14ac:dyDescent="0.25">
      <c r="B31" s="6" t="s">
        <v>1019</v>
      </c>
      <c r="C31" s="10">
        <v>2</v>
      </c>
      <c r="D31" s="6" t="s">
        <v>1016</v>
      </c>
      <c r="E31" s="6"/>
      <c r="F31" s="6"/>
      <c r="G31" s="6"/>
      <c r="H31" s="6"/>
    </row>
    <row r="32" spans="2:8" x14ac:dyDescent="0.25">
      <c r="B32" s="6" t="s">
        <v>1020</v>
      </c>
      <c r="C32" s="10">
        <f>(C26*C28)+(C27*C30)</f>
        <v>140000</v>
      </c>
      <c r="D32" s="6" t="s">
        <v>205</v>
      </c>
      <c r="E32" s="6"/>
      <c r="F32" s="6"/>
      <c r="G32" s="6"/>
      <c r="H32" s="6"/>
    </row>
    <row r="33" spans="2:8" x14ac:dyDescent="0.25">
      <c r="B33" s="6" t="s">
        <v>1021</v>
      </c>
      <c r="C33" s="10">
        <f>(C26*C29)+(C27*C31)</f>
        <v>140000</v>
      </c>
      <c r="D33" s="6" t="s">
        <v>205</v>
      </c>
      <c r="E33" s="6"/>
      <c r="F33" s="6"/>
      <c r="G33" s="6"/>
      <c r="H33" s="6"/>
    </row>
    <row r="34" spans="2:8" x14ac:dyDescent="0.25">
      <c r="B34" s="270" t="s">
        <v>1022</v>
      </c>
      <c r="C34" s="271">
        <f>C33+C32</f>
        <v>280000</v>
      </c>
      <c r="D34" s="270" t="s">
        <v>205</v>
      </c>
      <c r="E34" s="6"/>
      <c r="F34" s="6"/>
      <c r="G34" s="6"/>
      <c r="H34" s="6"/>
    </row>
    <row r="35" spans="2:8" x14ac:dyDescent="0.25">
      <c r="B35" s="6"/>
      <c r="C35" s="10"/>
      <c r="D35" s="6"/>
      <c r="E35" s="6"/>
      <c r="F35" s="6"/>
      <c r="G35" s="6"/>
      <c r="H35" s="6"/>
    </row>
    <row r="36" spans="2:8" x14ac:dyDescent="0.25">
      <c r="B36" s="6"/>
      <c r="C36" s="6"/>
      <c r="D36" s="6"/>
      <c r="E36" s="6"/>
      <c r="F36" s="6"/>
      <c r="G36" s="6"/>
      <c r="H36" s="6"/>
    </row>
    <row r="37" spans="2:8" x14ac:dyDescent="0.25">
      <c r="B37" s="6"/>
      <c r="C37" s="10"/>
      <c r="D37" s="6"/>
      <c r="E37" s="6"/>
      <c r="F37" s="6"/>
      <c r="G37" s="6"/>
      <c r="H37" s="6"/>
    </row>
    <row r="38" spans="2:8" x14ac:dyDescent="0.25">
      <c r="B38" s="270" t="s">
        <v>1023</v>
      </c>
      <c r="C38" s="271">
        <f>C34+C23+C15</f>
        <v>2010000</v>
      </c>
      <c r="D38" s="270" t="s">
        <v>205</v>
      </c>
      <c r="E38" s="6"/>
      <c r="F38" s="6"/>
      <c r="G38" s="6"/>
      <c r="H38" s="6"/>
    </row>
    <row r="39" spans="2:8" x14ac:dyDescent="0.25">
      <c r="B39" s="270"/>
      <c r="C39" s="271"/>
      <c r="D39" s="6"/>
      <c r="E39" s="6"/>
      <c r="F39" s="6"/>
      <c r="G39" s="6"/>
      <c r="H39" s="6"/>
    </row>
    <row r="40" spans="2:8" x14ac:dyDescent="0.25">
      <c r="D40" s="17"/>
    </row>
  </sheetData>
  <mergeCells count="1">
    <mergeCell ref="B3:E3"/>
  </mergeCells>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D9"/>
  <sheetViews>
    <sheetView showGridLines="0" workbookViewId="0">
      <selection activeCell="B9" sqref="B9"/>
    </sheetView>
  </sheetViews>
  <sheetFormatPr defaultColWidth="8.85546875" defaultRowHeight="15" x14ac:dyDescent="0.25"/>
  <cols>
    <col min="2" max="2" width="67.42578125" bestFit="1" customWidth="1"/>
    <col min="3" max="3" width="15.140625" bestFit="1" customWidth="1"/>
    <col min="4" max="4" width="11.42578125" bestFit="1" customWidth="1"/>
  </cols>
  <sheetData>
    <row r="2" spans="2:4" x14ac:dyDescent="0.25">
      <c r="B2" s="80" t="s">
        <v>1024</v>
      </c>
      <c r="C2" s="272"/>
      <c r="D2" s="6"/>
    </row>
    <row r="3" spans="2:4" x14ac:dyDescent="0.25">
      <c r="B3" s="6" t="s">
        <v>1025</v>
      </c>
      <c r="C3" s="10">
        <v>45000</v>
      </c>
      <c r="D3" s="6" t="s">
        <v>1026</v>
      </c>
    </row>
    <row r="4" spans="2:4" x14ac:dyDescent="0.25">
      <c r="B4" s="6" t="s">
        <v>1027</v>
      </c>
      <c r="C4" s="10">
        <v>3</v>
      </c>
      <c r="D4" s="6" t="s">
        <v>1028</v>
      </c>
    </row>
    <row r="5" spans="2:4" x14ac:dyDescent="0.25">
      <c r="B5" s="6" t="s">
        <v>1029</v>
      </c>
      <c r="C5" s="10">
        <f>C3*C4</f>
        <v>135000</v>
      </c>
      <c r="D5" s="6" t="s">
        <v>205</v>
      </c>
    </row>
    <row r="6" spans="2:4" x14ac:dyDescent="0.25">
      <c r="B6" s="6" t="s">
        <v>1030</v>
      </c>
      <c r="C6" s="10">
        <f>C3*C4</f>
        <v>135000</v>
      </c>
      <c r="D6" s="6" t="s">
        <v>205</v>
      </c>
    </row>
    <row r="7" spans="2:4" x14ac:dyDescent="0.25">
      <c r="B7" s="270" t="s">
        <v>1031</v>
      </c>
      <c r="C7" s="271">
        <f>C5+C6</f>
        <v>270000</v>
      </c>
      <c r="D7" s="270" t="s">
        <v>205</v>
      </c>
    </row>
    <row r="8" spans="2:4" x14ac:dyDescent="0.25">
      <c r="B8" s="82" t="s">
        <v>340</v>
      </c>
      <c r="C8" s="309">
        <f>'custos unitários para atualizar'!$B$4</f>
        <v>0.79693099999999994</v>
      </c>
    </row>
    <row r="9" spans="2:4" x14ac:dyDescent="0.25">
      <c r="B9" s="82" t="s">
        <v>342</v>
      </c>
      <c r="C9" s="663">
        <f>C7*(1+C8)</f>
        <v>485171.36999999994</v>
      </c>
    </row>
  </sheetData>
  <pageMargins left="0.511811024" right="0.511811024" top="0.78740157499999996" bottom="0.78740157499999996" header="0.31496062000000002" footer="0.3149606200000000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V34"/>
  <sheetViews>
    <sheetView showGridLines="0" workbookViewId="0">
      <selection activeCell="B9" sqref="B9"/>
    </sheetView>
  </sheetViews>
  <sheetFormatPr defaultColWidth="8.85546875" defaultRowHeight="15" x14ac:dyDescent="0.25"/>
  <cols>
    <col min="2" max="2" width="32.42578125" customWidth="1"/>
    <col min="3" max="3" width="19.42578125" customWidth="1"/>
    <col min="4" max="4" width="10.42578125" customWidth="1"/>
    <col min="5" max="5" width="11.85546875" customWidth="1"/>
    <col min="6" max="6" width="13.7109375" customWidth="1"/>
    <col min="7" max="7" width="30.42578125" bestFit="1" customWidth="1"/>
    <col min="8" max="8" width="13" customWidth="1"/>
    <col min="9" max="9" width="13.42578125" customWidth="1"/>
    <col min="12" max="12" width="17.28515625" customWidth="1"/>
    <col min="13" max="13" width="18" customWidth="1"/>
  </cols>
  <sheetData>
    <row r="2" spans="2:13" x14ac:dyDescent="0.25">
      <c r="B2" s="188" t="s">
        <v>1032</v>
      </c>
    </row>
    <row r="3" spans="2:13" ht="49.5" customHeight="1" x14ac:dyDescent="0.25">
      <c r="B3" s="996" t="s">
        <v>3</v>
      </c>
      <c r="C3" s="996" t="s">
        <v>534</v>
      </c>
      <c r="D3" s="996" t="s">
        <v>1033</v>
      </c>
      <c r="E3" s="29" t="s">
        <v>1034</v>
      </c>
      <c r="F3" s="29" t="s">
        <v>1035</v>
      </c>
      <c r="G3" s="29" t="s">
        <v>1036</v>
      </c>
      <c r="H3" s="996" t="s">
        <v>1037</v>
      </c>
      <c r="I3" s="996" t="s">
        <v>1038</v>
      </c>
      <c r="L3" s="82" t="s">
        <v>1039</v>
      </c>
      <c r="M3" s="663">
        <f>I5+G14+G26</f>
        <v>1545357.934730988</v>
      </c>
    </row>
    <row r="4" spans="2:13" ht="12" customHeight="1" x14ac:dyDescent="0.25">
      <c r="B4" s="996"/>
      <c r="C4" s="996"/>
      <c r="D4" s="996"/>
      <c r="E4" s="28">
        <v>0.73570000000000002</v>
      </c>
      <c r="F4" s="28">
        <v>0.2177</v>
      </c>
      <c r="G4" s="28">
        <v>0.3</v>
      </c>
      <c r="H4" s="996"/>
      <c r="I4" s="996"/>
      <c r="L4" s="82" t="s">
        <v>1040</v>
      </c>
      <c r="M4" s="663">
        <f>E31</f>
        <v>110487.08384399998</v>
      </c>
    </row>
    <row r="5" spans="2:13" x14ac:dyDescent="0.25">
      <c r="B5" s="26" t="s">
        <v>1041</v>
      </c>
      <c r="C5" s="26">
        <v>3</v>
      </c>
      <c r="D5" s="24">
        <f>'mão de obra'!D13</f>
        <v>4601.83</v>
      </c>
      <c r="E5" s="24">
        <f>$D$5*E4</f>
        <v>3385.566331</v>
      </c>
      <c r="F5" s="24">
        <f>$D$5*F4</f>
        <v>1001.818391</v>
      </c>
      <c r="G5" s="24">
        <f>$D$5*G4</f>
        <v>1380.549</v>
      </c>
      <c r="H5" s="24">
        <f>(SUM(D5:G5)*C5*12)</f>
        <v>373311.493992</v>
      </c>
      <c r="I5" s="24">
        <f>H5*1.2515</f>
        <v>467199.33473098802</v>
      </c>
    </row>
    <row r="7" spans="2:13" ht="15.75" thickBot="1" x14ac:dyDescent="0.3">
      <c r="B7" s="188" t="s">
        <v>208</v>
      </c>
    </row>
    <row r="8" spans="2:13" x14ac:dyDescent="0.25">
      <c r="B8" s="1085" t="s">
        <v>3</v>
      </c>
      <c r="C8" s="1003" t="s">
        <v>534</v>
      </c>
      <c r="D8" s="21" t="s">
        <v>588</v>
      </c>
      <c r="E8" s="21" t="s">
        <v>588</v>
      </c>
      <c r="F8" s="21" t="s">
        <v>588</v>
      </c>
      <c r="G8" s="996" t="s">
        <v>1038</v>
      </c>
    </row>
    <row r="9" spans="2:13" ht="36" x14ac:dyDescent="0.25">
      <c r="B9" s="1085"/>
      <c r="C9" s="1085"/>
      <c r="D9" s="20" t="s">
        <v>589</v>
      </c>
      <c r="E9" s="20" t="s">
        <v>590</v>
      </c>
      <c r="F9" s="20" t="s">
        <v>591</v>
      </c>
      <c r="G9" s="996"/>
    </row>
    <row r="10" spans="2:13" x14ac:dyDescent="0.25">
      <c r="B10" s="27" t="s">
        <v>592</v>
      </c>
      <c r="C10" s="26">
        <v>0</v>
      </c>
      <c r="D10" s="25">
        <v>7000</v>
      </c>
      <c r="E10" s="25">
        <f>D10*C10</f>
        <v>0</v>
      </c>
      <c r="F10" s="25">
        <f>E10*12</f>
        <v>0</v>
      </c>
      <c r="G10" s="24">
        <f>F10*1.2515</f>
        <v>0</v>
      </c>
    </row>
    <row r="11" spans="2:13" x14ac:dyDescent="0.25">
      <c r="B11" s="6" t="s">
        <v>600</v>
      </c>
      <c r="C11" s="6"/>
      <c r="D11" s="6"/>
      <c r="E11" s="6"/>
      <c r="F11" s="25">
        <f>IFERROR(3*Veículos!F15/SUM(Veículos!C9:C12),0)</f>
        <v>0</v>
      </c>
      <c r="G11" s="24">
        <f>F11*1.2515</f>
        <v>0</v>
      </c>
    </row>
    <row r="12" spans="2:13" x14ac:dyDescent="0.25">
      <c r="B12" s="6" t="s">
        <v>1042</v>
      </c>
      <c r="C12" s="6"/>
      <c r="D12" s="6"/>
      <c r="E12" s="6"/>
      <c r="F12" s="6"/>
      <c r="G12" s="24">
        <f>SUM(G10:G11)</f>
        <v>0</v>
      </c>
    </row>
    <row r="13" spans="2:13" x14ac:dyDescent="0.25">
      <c r="F13" s="82" t="s">
        <v>340</v>
      </c>
      <c r="G13" s="309">
        <f>'custos unitários para atualizar'!$B$4</f>
        <v>0.79693099999999994</v>
      </c>
    </row>
    <row r="14" spans="2:13" x14ac:dyDescent="0.25">
      <c r="F14" s="82" t="s">
        <v>342</v>
      </c>
      <c r="G14" s="663">
        <f>G12*(1+G13)</f>
        <v>0</v>
      </c>
    </row>
    <row r="16" spans="2:13" x14ac:dyDescent="0.25">
      <c r="B16" s="188" t="s">
        <v>1043</v>
      </c>
    </row>
    <row r="17" spans="2:22" x14ac:dyDescent="0.25">
      <c r="B17" s="6" t="s">
        <v>939</v>
      </c>
      <c r="C17" s="120">
        <f>20000/3</f>
        <v>6666.666666666667</v>
      </c>
      <c r="D17" s="6" t="s">
        <v>547</v>
      </c>
      <c r="E17" s="6"/>
    </row>
    <row r="18" spans="2:22" x14ac:dyDescent="0.25">
      <c r="B18" s="6" t="s">
        <v>940</v>
      </c>
      <c r="C18" s="6">
        <v>80</v>
      </c>
      <c r="D18" s="6" t="s">
        <v>941</v>
      </c>
      <c r="E18" s="6"/>
      <c r="F18" s="18" t="s">
        <v>942</v>
      </c>
    </row>
    <row r="19" spans="2:22" x14ac:dyDescent="0.25">
      <c r="B19" s="6" t="s">
        <v>1044</v>
      </c>
      <c r="C19" s="235">
        <f>(100+200)*2</f>
        <v>600</v>
      </c>
      <c r="D19" s="6" t="s">
        <v>656</v>
      </c>
      <c r="E19" s="6" t="s">
        <v>944</v>
      </c>
      <c r="F19" t="s">
        <v>1045</v>
      </c>
    </row>
    <row r="20" spans="2:22" x14ac:dyDescent="0.25">
      <c r="B20" s="6" t="s">
        <v>1046</v>
      </c>
      <c r="C20" s="11">
        <f>C19/C18</f>
        <v>7.5</v>
      </c>
      <c r="D20" s="6" t="s">
        <v>948</v>
      </c>
      <c r="E20" s="6"/>
    </row>
    <row r="21" spans="2:22" x14ac:dyDescent="0.25">
      <c r="B21" s="6" t="s">
        <v>1047</v>
      </c>
      <c r="C21" s="6">
        <v>1</v>
      </c>
      <c r="D21" s="6" t="s">
        <v>953</v>
      </c>
      <c r="E21" s="6"/>
    </row>
    <row r="22" spans="2:22" x14ac:dyDescent="0.25">
      <c r="B22" s="6" t="s">
        <v>955</v>
      </c>
      <c r="C22" s="258">
        <v>12</v>
      </c>
      <c r="D22" s="6" t="s">
        <v>956</v>
      </c>
      <c r="E22" s="6"/>
    </row>
    <row r="23" spans="2:22" x14ac:dyDescent="0.25">
      <c r="B23" s="6" t="s">
        <v>1048</v>
      </c>
      <c r="C23" s="258">
        <f>C21*C22</f>
        <v>12</v>
      </c>
      <c r="D23" s="6" t="s">
        <v>958</v>
      </c>
      <c r="E23" s="6"/>
    </row>
    <row r="24" spans="2:22" x14ac:dyDescent="0.25">
      <c r="B24" s="6" t="s">
        <v>1049</v>
      </c>
      <c r="C24" s="120">
        <f>C20*C17</f>
        <v>50000</v>
      </c>
      <c r="D24" s="6" t="s">
        <v>961</v>
      </c>
      <c r="E24" s="6"/>
    </row>
    <row r="25" spans="2:22" x14ac:dyDescent="0.25">
      <c r="B25" s="6" t="s">
        <v>1050</v>
      </c>
      <c r="C25" s="120">
        <f>C24*C23</f>
        <v>600000</v>
      </c>
      <c r="D25" s="6" t="s">
        <v>205</v>
      </c>
      <c r="E25" s="6"/>
      <c r="F25" s="82" t="s">
        <v>340</v>
      </c>
      <c r="G25" s="309">
        <f>'custos unitários para atualizar'!$B$4</f>
        <v>0.79693099999999994</v>
      </c>
    </row>
    <row r="26" spans="2:22" x14ac:dyDescent="0.25">
      <c r="F26" s="82" t="s">
        <v>342</v>
      </c>
      <c r="G26" s="663">
        <f>C25*(1+G25)</f>
        <v>1078158.5999999999</v>
      </c>
    </row>
    <row r="27" spans="2:22" x14ac:dyDescent="0.25">
      <c r="U27" s="23"/>
      <c r="V27" s="22"/>
    </row>
    <row r="28" spans="2:22" x14ac:dyDescent="0.25">
      <c r="B28" s="188" t="s">
        <v>209</v>
      </c>
    </row>
    <row r="29" spans="2:22" x14ac:dyDescent="0.25">
      <c r="B29" s="1086" t="s">
        <v>3</v>
      </c>
      <c r="C29" s="1086" t="s">
        <v>534</v>
      </c>
      <c r="D29" s="273" t="s">
        <v>588</v>
      </c>
      <c r="E29" s="273" t="s">
        <v>588</v>
      </c>
    </row>
    <row r="30" spans="2:22" ht="24" x14ac:dyDescent="0.25">
      <c r="B30" s="1086"/>
      <c r="C30" s="1086"/>
      <c r="D30" s="273" t="s">
        <v>688</v>
      </c>
      <c r="E30" s="273" t="s">
        <v>590</v>
      </c>
    </row>
    <row r="31" spans="2:22" x14ac:dyDescent="0.25">
      <c r="B31" s="6" t="s">
        <v>1014</v>
      </c>
      <c r="C31" s="6">
        <v>3</v>
      </c>
      <c r="D31" s="10">
        <f>C33*C34</f>
        <v>36829.027947999995</v>
      </c>
      <c r="E31" s="10">
        <f>C31*D31</f>
        <v>110487.08384399998</v>
      </c>
    </row>
    <row r="32" spans="2:22" x14ac:dyDescent="0.25">
      <c r="B32" s="6"/>
      <c r="C32" s="6"/>
      <c r="D32" s="6"/>
      <c r="E32" s="6"/>
    </row>
    <row r="33" spans="2:5" x14ac:dyDescent="0.25">
      <c r="B33" s="6" t="s">
        <v>1051</v>
      </c>
      <c r="C33" s="6">
        <v>6374.12</v>
      </c>
      <c r="D33" s="6"/>
      <c r="E33" s="6"/>
    </row>
    <row r="34" spans="2:5" x14ac:dyDescent="0.25">
      <c r="B34" s="6" t="s">
        <v>1052</v>
      </c>
      <c r="C34" s="11">
        <f>'custos unitários para atualizar'!B5</f>
        <v>5.7778999999999998</v>
      </c>
      <c r="D34" s="6"/>
      <c r="E34" s="6"/>
    </row>
  </sheetData>
  <mergeCells count="10">
    <mergeCell ref="B29:B30"/>
    <mergeCell ref="C29:C30"/>
    <mergeCell ref="B3:B4"/>
    <mergeCell ref="C3:C4"/>
    <mergeCell ref="D3:D4"/>
    <mergeCell ref="H3:H4"/>
    <mergeCell ref="B8:B9"/>
    <mergeCell ref="C8:C9"/>
    <mergeCell ref="I3:I4"/>
    <mergeCell ref="G8:G9"/>
  </mergeCells>
  <pageMargins left="0.511811024" right="0.511811024" top="0.78740157499999996" bottom="0.78740157499999996" header="0.31496062000000002" footer="0.31496062000000002"/>
  <pageSetup orientation="portrait" verticalDpi="1200"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M74"/>
  <sheetViews>
    <sheetView topLeftCell="A51" workbookViewId="0">
      <selection activeCell="B9" sqref="B9"/>
    </sheetView>
  </sheetViews>
  <sheetFormatPr defaultColWidth="8.85546875" defaultRowHeight="15" x14ac:dyDescent="0.25"/>
  <cols>
    <col min="3" max="3" width="36.85546875" customWidth="1"/>
    <col min="5" max="5" width="9.42578125" bestFit="1" customWidth="1"/>
    <col min="6" max="6" width="11.28515625" customWidth="1"/>
    <col min="7" max="7" width="14.140625" customWidth="1"/>
    <col min="8" max="8" width="12.85546875" customWidth="1"/>
    <col min="9" max="9" width="15" customWidth="1"/>
    <col min="10" max="10" width="10.85546875" customWidth="1"/>
  </cols>
  <sheetData>
    <row r="1" spans="2:13" x14ac:dyDescent="0.25">
      <c r="C1" s="42"/>
    </row>
    <row r="2" spans="2:13" ht="12.75" customHeight="1" x14ac:dyDescent="0.25">
      <c r="C2" s="42"/>
      <c r="M2" s="309"/>
    </row>
    <row r="3" spans="2:13" ht="27" customHeight="1" thickBot="1" x14ac:dyDescent="0.3">
      <c r="B3" s="1087" t="s">
        <v>1053</v>
      </c>
      <c r="C3" s="1088"/>
      <c r="D3" s="1088"/>
      <c r="E3" s="1088"/>
      <c r="F3" s="1088"/>
      <c r="G3" s="1088"/>
      <c r="H3" s="1088"/>
      <c r="I3" s="1089"/>
    </row>
    <row r="4" spans="2:13" ht="22.5" customHeight="1" x14ac:dyDescent="0.25">
      <c r="B4" s="1038" t="s">
        <v>686</v>
      </c>
      <c r="C4" s="1040" t="s">
        <v>687</v>
      </c>
      <c r="D4" s="1040" t="s">
        <v>623</v>
      </c>
      <c r="E4" s="59" t="s">
        <v>588</v>
      </c>
      <c r="F4" s="59" t="s">
        <v>588</v>
      </c>
      <c r="G4" s="1024" t="s">
        <v>781</v>
      </c>
      <c r="H4" s="1024" t="s">
        <v>754</v>
      </c>
      <c r="I4" s="1024" t="s">
        <v>755</v>
      </c>
      <c r="J4" s="1024"/>
    </row>
    <row r="5" spans="2:13" ht="23.25" thickBot="1" x14ac:dyDescent="0.3">
      <c r="B5" s="1039"/>
      <c r="C5" s="1041"/>
      <c r="D5" s="1041"/>
      <c r="E5" s="53" t="s">
        <v>688</v>
      </c>
      <c r="F5" s="53" t="s">
        <v>689</v>
      </c>
      <c r="G5" s="1026"/>
      <c r="H5" s="1026"/>
      <c r="I5" s="1026"/>
      <c r="J5" s="1026"/>
    </row>
    <row r="6" spans="2:13" ht="23.25" thickBot="1" x14ac:dyDescent="0.3">
      <c r="B6" s="55">
        <v>1</v>
      </c>
      <c r="C6" s="54" t="s">
        <v>759</v>
      </c>
      <c r="D6" s="53">
        <v>8</v>
      </c>
      <c r="E6" s="52">
        <v>3000</v>
      </c>
      <c r="F6" s="51">
        <f>D6*E6</f>
        <v>24000</v>
      </c>
      <c r="G6" s="56" t="s">
        <v>760</v>
      </c>
      <c r="H6" s="50">
        <v>5</v>
      </c>
      <c r="I6" s="49">
        <f>F6/H6</f>
        <v>4800</v>
      </c>
      <c r="J6" s="49"/>
    </row>
    <row r="7" spans="2:13" ht="23.25" thickBot="1" x14ac:dyDescent="0.3">
      <c r="B7" s="55">
        <v>2</v>
      </c>
      <c r="C7" s="54" t="s">
        <v>761</v>
      </c>
      <c r="D7" s="53">
        <v>15</v>
      </c>
      <c r="E7" s="52">
        <v>2700</v>
      </c>
      <c r="F7" s="51">
        <f t="shared" ref="F7:F22" si="0">D7*E7</f>
        <v>40500</v>
      </c>
      <c r="G7" s="56" t="s">
        <v>760</v>
      </c>
      <c r="H7" s="50">
        <v>5</v>
      </c>
      <c r="I7" s="49">
        <f t="shared" ref="I7:I22" si="1">F7/H7</f>
        <v>8100</v>
      </c>
      <c r="J7" s="49"/>
    </row>
    <row r="8" spans="2:13" ht="15.75" thickBot="1" x14ac:dyDescent="0.3">
      <c r="B8" s="55">
        <v>3</v>
      </c>
      <c r="C8" s="54" t="s">
        <v>762</v>
      </c>
      <c r="D8" s="53">
        <v>2</v>
      </c>
      <c r="E8" s="52">
        <v>900</v>
      </c>
      <c r="F8" s="51">
        <f t="shared" si="0"/>
        <v>1800</v>
      </c>
      <c r="G8" s="56">
        <v>8443</v>
      </c>
      <c r="H8" s="50">
        <v>10</v>
      </c>
      <c r="I8" s="49">
        <f t="shared" si="1"/>
        <v>180</v>
      </c>
      <c r="J8" s="49"/>
    </row>
    <row r="9" spans="2:13" ht="15.75" thickBot="1" x14ac:dyDescent="0.3">
      <c r="B9" s="55">
        <v>4</v>
      </c>
      <c r="C9" s="54" t="s">
        <v>763</v>
      </c>
      <c r="D9" s="53">
        <v>4</v>
      </c>
      <c r="E9" s="52">
        <v>850</v>
      </c>
      <c r="F9" s="51">
        <f t="shared" si="0"/>
        <v>3400</v>
      </c>
      <c r="G9" s="56">
        <v>9007</v>
      </c>
      <c r="H9" s="50">
        <v>10</v>
      </c>
      <c r="I9" s="49">
        <f t="shared" si="1"/>
        <v>340</v>
      </c>
      <c r="J9" s="49"/>
    </row>
    <row r="10" spans="2:13" ht="15.75" thickBot="1" x14ac:dyDescent="0.3">
      <c r="B10" s="55">
        <v>5</v>
      </c>
      <c r="C10" s="54" t="s">
        <v>783</v>
      </c>
      <c r="D10" s="53">
        <v>84</v>
      </c>
      <c r="E10" s="52">
        <v>287</v>
      </c>
      <c r="F10" s="51">
        <f t="shared" si="0"/>
        <v>24108</v>
      </c>
      <c r="G10" s="56">
        <v>8517</v>
      </c>
      <c r="H10" s="50">
        <v>5</v>
      </c>
      <c r="I10" s="49">
        <f t="shared" si="1"/>
        <v>4821.6000000000004</v>
      </c>
      <c r="J10" s="49"/>
    </row>
    <row r="11" spans="2:13" ht="15.75" thickBot="1" x14ac:dyDescent="0.3">
      <c r="B11" s="55">
        <v>6</v>
      </c>
      <c r="C11" s="54" t="s">
        <v>765</v>
      </c>
      <c r="D11" s="53">
        <v>4</v>
      </c>
      <c r="E11" s="52">
        <v>1500</v>
      </c>
      <c r="F11" s="51">
        <f t="shared" si="0"/>
        <v>6000</v>
      </c>
      <c r="G11" s="56">
        <v>9014</v>
      </c>
      <c r="H11" s="50">
        <v>10</v>
      </c>
      <c r="I11" s="49">
        <f t="shared" si="1"/>
        <v>600</v>
      </c>
      <c r="J11" s="49"/>
    </row>
    <row r="12" spans="2:13" ht="15.75" thickBot="1" x14ac:dyDescent="0.3">
      <c r="B12" s="55">
        <v>7</v>
      </c>
      <c r="C12" s="54" t="s">
        <v>766</v>
      </c>
      <c r="D12" s="53">
        <v>2</v>
      </c>
      <c r="E12" s="52">
        <v>1900</v>
      </c>
      <c r="F12" s="51">
        <f t="shared" si="0"/>
        <v>3800</v>
      </c>
      <c r="G12" s="56">
        <v>8418</v>
      </c>
      <c r="H12" s="50">
        <v>10</v>
      </c>
      <c r="I12" s="49">
        <f t="shared" si="1"/>
        <v>380</v>
      </c>
      <c r="J12" s="49"/>
    </row>
    <row r="13" spans="2:13" ht="15.75" thickBot="1" x14ac:dyDescent="0.3">
      <c r="B13" s="55">
        <v>8</v>
      </c>
      <c r="C13" s="54" t="s">
        <v>767</v>
      </c>
      <c r="D13" s="53">
        <v>2</v>
      </c>
      <c r="E13" s="52">
        <v>1000</v>
      </c>
      <c r="F13" s="51">
        <f t="shared" si="0"/>
        <v>2000</v>
      </c>
      <c r="G13" s="56">
        <v>7321</v>
      </c>
      <c r="H13" s="50">
        <v>10</v>
      </c>
      <c r="I13" s="49">
        <f t="shared" si="1"/>
        <v>200</v>
      </c>
      <c r="J13" s="49"/>
    </row>
    <row r="14" spans="2:13" ht="15.75" thickBot="1" x14ac:dyDescent="0.3">
      <c r="B14" s="55">
        <v>9</v>
      </c>
      <c r="C14" s="54" t="s">
        <v>768</v>
      </c>
      <c r="D14" s="53">
        <v>2</v>
      </c>
      <c r="E14" s="52">
        <v>500</v>
      </c>
      <c r="F14" s="51">
        <f t="shared" si="0"/>
        <v>1000</v>
      </c>
      <c r="G14" s="56">
        <v>8514</v>
      </c>
      <c r="H14" s="50">
        <v>10</v>
      </c>
      <c r="I14" s="49">
        <f t="shared" si="1"/>
        <v>100</v>
      </c>
      <c r="J14" s="49"/>
    </row>
    <row r="15" spans="2:13" ht="15.75" thickBot="1" x14ac:dyDescent="0.3">
      <c r="B15" s="55">
        <v>10</v>
      </c>
      <c r="C15" s="54" t="s">
        <v>784</v>
      </c>
      <c r="D15" s="53">
        <v>5</v>
      </c>
      <c r="E15" s="52">
        <v>1300</v>
      </c>
      <c r="F15" s="51">
        <f t="shared" si="0"/>
        <v>6500</v>
      </c>
      <c r="G15" s="56">
        <v>9403</v>
      </c>
      <c r="H15" s="50">
        <v>10</v>
      </c>
      <c r="I15" s="49">
        <f t="shared" si="1"/>
        <v>650</v>
      </c>
      <c r="J15" s="49"/>
    </row>
    <row r="16" spans="2:13" ht="15.75" thickBot="1" x14ac:dyDescent="0.3">
      <c r="B16" s="55">
        <v>11</v>
      </c>
      <c r="C16" s="54" t="s">
        <v>785</v>
      </c>
      <c r="D16" s="53">
        <v>6</v>
      </c>
      <c r="E16" s="52">
        <v>2100</v>
      </c>
      <c r="F16" s="51">
        <f t="shared" si="0"/>
        <v>12600</v>
      </c>
      <c r="G16" s="56">
        <v>8415</v>
      </c>
      <c r="H16" s="50">
        <v>10</v>
      </c>
      <c r="I16" s="49">
        <f t="shared" si="1"/>
        <v>1260</v>
      </c>
      <c r="J16" s="49"/>
    </row>
    <row r="17" spans="2:10" ht="15.75" thickBot="1" x14ac:dyDescent="0.3">
      <c r="B17" s="55">
        <v>12</v>
      </c>
      <c r="C17" s="54" t="s">
        <v>770</v>
      </c>
      <c r="D17" s="53">
        <v>2</v>
      </c>
      <c r="E17" s="52">
        <v>650</v>
      </c>
      <c r="F17" s="51">
        <f t="shared" si="0"/>
        <v>1300</v>
      </c>
      <c r="G17" s="56">
        <v>9403</v>
      </c>
      <c r="H17" s="50">
        <v>10</v>
      </c>
      <c r="I17" s="49">
        <f t="shared" si="1"/>
        <v>130</v>
      </c>
      <c r="J17" s="49"/>
    </row>
    <row r="18" spans="2:10" ht="15.75" thickBot="1" x14ac:dyDescent="0.3">
      <c r="B18" s="55">
        <v>13</v>
      </c>
      <c r="C18" s="54" t="s">
        <v>771</v>
      </c>
      <c r="D18" s="53">
        <v>20</v>
      </c>
      <c r="E18" s="52">
        <v>250</v>
      </c>
      <c r="F18" s="51">
        <f t="shared" si="0"/>
        <v>5000</v>
      </c>
      <c r="G18" s="56">
        <v>9403</v>
      </c>
      <c r="H18" s="50">
        <v>10</v>
      </c>
      <c r="I18" s="49">
        <f t="shared" si="1"/>
        <v>500</v>
      </c>
      <c r="J18" s="49"/>
    </row>
    <row r="19" spans="2:10" ht="15.75" thickBot="1" x14ac:dyDescent="0.3">
      <c r="B19" s="55">
        <v>14</v>
      </c>
      <c r="C19" s="54" t="s">
        <v>772</v>
      </c>
      <c r="D19" s="53">
        <v>8</v>
      </c>
      <c r="E19" s="52">
        <v>400</v>
      </c>
      <c r="F19" s="51">
        <f t="shared" si="0"/>
        <v>3200</v>
      </c>
      <c r="G19" s="56">
        <v>9403</v>
      </c>
      <c r="H19" s="50">
        <v>10</v>
      </c>
      <c r="I19" s="49">
        <f t="shared" si="1"/>
        <v>320</v>
      </c>
      <c r="J19" s="49"/>
    </row>
    <row r="20" spans="2:10" ht="15.75" thickBot="1" x14ac:dyDescent="0.3">
      <c r="B20" s="55">
        <v>15</v>
      </c>
      <c r="C20" s="54" t="s">
        <v>773</v>
      </c>
      <c r="D20" s="53">
        <v>10</v>
      </c>
      <c r="E20" s="52">
        <v>670</v>
      </c>
      <c r="F20" s="51">
        <f t="shared" si="0"/>
        <v>6700</v>
      </c>
      <c r="G20" s="56">
        <v>9403</v>
      </c>
      <c r="H20" s="50">
        <v>10</v>
      </c>
      <c r="I20" s="49">
        <f t="shared" si="1"/>
        <v>670</v>
      </c>
      <c r="J20" s="49"/>
    </row>
    <row r="21" spans="2:10" ht="15.75" thickBot="1" x14ac:dyDescent="0.3">
      <c r="B21" s="55">
        <v>16</v>
      </c>
      <c r="C21" s="54" t="s">
        <v>786</v>
      </c>
      <c r="D21" s="53">
        <v>8</v>
      </c>
      <c r="E21" s="52">
        <v>750</v>
      </c>
      <c r="F21" s="51">
        <f t="shared" si="0"/>
        <v>6000</v>
      </c>
      <c r="G21" s="56">
        <v>9403</v>
      </c>
      <c r="H21" s="50">
        <v>10</v>
      </c>
      <c r="I21" s="49">
        <f t="shared" si="1"/>
        <v>600</v>
      </c>
      <c r="J21" s="49"/>
    </row>
    <row r="22" spans="2:10" ht="15.75" thickBot="1" x14ac:dyDescent="0.3">
      <c r="B22" s="55">
        <v>17</v>
      </c>
      <c r="C22" s="54" t="s">
        <v>775</v>
      </c>
      <c r="D22" s="53">
        <v>3</v>
      </c>
      <c r="E22" s="52">
        <v>3000</v>
      </c>
      <c r="F22" s="51">
        <f t="shared" si="0"/>
        <v>9000</v>
      </c>
      <c r="G22" s="45"/>
      <c r="H22" s="50">
        <v>10</v>
      </c>
      <c r="I22" s="49">
        <f t="shared" si="1"/>
        <v>900</v>
      </c>
      <c r="J22" s="49"/>
    </row>
    <row r="23" spans="2:10" ht="15.75" thickBot="1" x14ac:dyDescent="0.3">
      <c r="B23" s="1032" t="s">
        <v>776</v>
      </c>
      <c r="C23" s="1033"/>
      <c r="D23" s="1033"/>
      <c r="E23" s="1034"/>
      <c r="F23" s="48">
        <f>SUM(F6:F22)</f>
        <v>156908</v>
      </c>
      <c r="G23" s="1027" t="s">
        <v>1054</v>
      </c>
      <c r="H23" s="1028"/>
      <c r="I23" s="47">
        <f>SUM(I6:I22)</f>
        <v>24551.599999999999</v>
      </c>
      <c r="J23" s="47"/>
    </row>
    <row r="24" spans="2:10" x14ac:dyDescent="0.25">
      <c r="B24" s="320"/>
      <c r="C24" s="320"/>
      <c r="D24" s="320"/>
      <c r="E24" s="320"/>
      <c r="F24" s="321"/>
      <c r="G24" s="322"/>
      <c r="H24" s="82" t="s">
        <v>602</v>
      </c>
      <c r="I24" s="309">
        <f>'custos unitários para atualizar'!$B$4</f>
        <v>0.79693099999999994</v>
      </c>
      <c r="J24" s="323"/>
    </row>
    <row r="25" spans="2:10" x14ac:dyDescent="0.25">
      <c r="B25" s="320"/>
      <c r="C25" s="320"/>
      <c r="D25" s="320"/>
      <c r="E25" s="320"/>
      <c r="F25" s="321"/>
      <c r="G25" s="322"/>
      <c r="H25" s="82" t="s">
        <v>342</v>
      </c>
      <c r="I25" s="663">
        <f>I23*(1+I24)</f>
        <v>44117.531139599996</v>
      </c>
      <c r="J25" s="323"/>
    </row>
    <row r="26" spans="2:10" x14ac:dyDescent="0.25">
      <c r="B26" s="320"/>
      <c r="C26" s="320"/>
      <c r="D26" s="320"/>
      <c r="E26" s="320"/>
      <c r="F26" s="321"/>
      <c r="G26" s="322"/>
      <c r="H26" s="322"/>
      <c r="I26" s="323"/>
      <c r="J26" s="323"/>
    </row>
    <row r="28" spans="2:10" ht="15.75" thickBot="1" x14ac:dyDescent="0.3">
      <c r="B28" s="1087" t="s">
        <v>1055</v>
      </c>
      <c r="C28" s="1088"/>
      <c r="D28" s="1088"/>
      <c r="E28" s="1088"/>
      <c r="F28" s="1088"/>
      <c r="G28" s="1088"/>
      <c r="H28" s="1088"/>
      <c r="I28" s="1089"/>
    </row>
    <row r="29" spans="2:10" ht="15.75" thickBot="1" x14ac:dyDescent="0.3">
      <c r="B29" s="101">
        <v>1</v>
      </c>
      <c r="C29" s="100" t="s">
        <v>810</v>
      </c>
      <c r="D29" s="99">
        <v>6</v>
      </c>
      <c r="E29" s="98">
        <v>600</v>
      </c>
      <c r="F29" s="97">
        <f>E29*D29</f>
        <v>3600</v>
      </c>
      <c r="G29" s="92">
        <v>82</v>
      </c>
      <c r="H29" s="91">
        <v>5</v>
      </c>
      <c r="I29" s="96">
        <f>F29/H29</f>
        <v>720</v>
      </c>
      <c r="J29" s="49"/>
    </row>
    <row r="30" spans="2:10" ht="15.75" thickBot="1" x14ac:dyDescent="0.3">
      <c r="B30" s="101">
        <v>2</v>
      </c>
      <c r="C30" s="100" t="s">
        <v>809</v>
      </c>
      <c r="D30" s="99">
        <v>6</v>
      </c>
      <c r="E30" s="98">
        <v>575</v>
      </c>
      <c r="F30" s="97">
        <f>E30*D30</f>
        <v>3450</v>
      </c>
      <c r="G30" s="92">
        <v>82</v>
      </c>
      <c r="H30" s="91">
        <v>5</v>
      </c>
      <c r="I30" s="96">
        <f t="shared" ref="I30:I63" si="2">F30/H30</f>
        <v>690</v>
      </c>
      <c r="J30" s="49"/>
    </row>
    <row r="31" spans="2:10" ht="15.75" thickBot="1" x14ac:dyDescent="0.3">
      <c r="B31" s="101">
        <v>3</v>
      </c>
      <c r="C31" s="100" t="s">
        <v>811</v>
      </c>
      <c r="D31" s="99">
        <v>6</v>
      </c>
      <c r="E31" s="98">
        <v>332.25</v>
      </c>
      <c r="F31" s="97">
        <f t="shared" ref="F31:F63" si="3">E31*D31</f>
        <v>1993.5</v>
      </c>
      <c r="G31" s="92"/>
      <c r="H31" s="91">
        <v>5</v>
      </c>
      <c r="I31" s="96">
        <f t="shared" si="2"/>
        <v>398.7</v>
      </c>
      <c r="J31" s="49"/>
    </row>
    <row r="32" spans="2:10" ht="15.75" thickBot="1" x14ac:dyDescent="0.3">
      <c r="B32" s="101">
        <v>4</v>
      </c>
      <c r="C32" s="100" t="s">
        <v>812</v>
      </c>
      <c r="D32" s="99">
        <v>6</v>
      </c>
      <c r="E32" s="98">
        <v>3927</v>
      </c>
      <c r="F32" s="97">
        <f t="shared" si="3"/>
        <v>23562</v>
      </c>
      <c r="G32" s="92"/>
      <c r="H32" s="91">
        <v>5</v>
      </c>
      <c r="I32" s="96">
        <f t="shared" si="2"/>
        <v>4712.3999999999996</v>
      </c>
      <c r="J32" s="49"/>
    </row>
    <row r="33" spans="2:10" ht="15.75" customHeight="1" thickBot="1" x14ac:dyDescent="0.3">
      <c r="B33" s="101">
        <v>5</v>
      </c>
      <c r="C33" s="100" t="s">
        <v>852</v>
      </c>
      <c r="D33" s="99">
        <v>5</v>
      </c>
      <c r="E33" s="98">
        <v>1053.1500000000001</v>
      </c>
      <c r="F33" s="97">
        <f t="shared" si="3"/>
        <v>5265.75</v>
      </c>
      <c r="G33" s="92"/>
      <c r="H33" s="91">
        <v>20</v>
      </c>
      <c r="I33" s="96">
        <f t="shared" si="2"/>
        <v>263.28750000000002</v>
      </c>
      <c r="J33" s="49"/>
    </row>
    <row r="34" spans="2:10" ht="23.25" thickBot="1" x14ac:dyDescent="0.3">
      <c r="B34" s="101">
        <v>6</v>
      </c>
      <c r="C34" s="104" t="s">
        <v>853</v>
      </c>
      <c r="D34" s="103">
        <v>28</v>
      </c>
      <c r="E34" s="97">
        <v>6500</v>
      </c>
      <c r="F34" s="97">
        <f t="shared" si="3"/>
        <v>182000</v>
      </c>
      <c r="G34" s="92">
        <v>89</v>
      </c>
      <c r="H34" s="91">
        <v>20</v>
      </c>
      <c r="I34" s="96">
        <f t="shared" si="2"/>
        <v>9100</v>
      </c>
      <c r="J34" s="49"/>
    </row>
    <row r="35" spans="2:10" ht="15.75" thickBot="1" x14ac:dyDescent="0.3">
      <c r="B35" s="101">
        <v>7</v>
      </c>
      <c r="C35" s="100" t="s">
        <v>813</v>
      </c>
      <c r="D35" s="99">
        <v>6</v>
      </c>
      <c r="E35" s="98">
        <v>332.25</v>
      </c>
      <c r="F35" s="97">
        <f t="shared" si="3"/>
        <v>1993.5</v>
      </c>
      <c r="G35" s="92"/>
      <c r="H35" s="91">
        <v>5</v>
      </c>
      <c r="I35" s="96">
        <f t="shared" si="2"/>
        <v>398.7</v>
      </c>
      <c r="J35" s="49"/>
    </row>
    <row r="36" spans="2:10" ht="15.75" thickBot="1" x14ac:dyDescent="0.3">
      <c r="B36" s="101">
        <v>8</v>
      </c>
      <c r="C36" s="100" t="s">
        <v>854</v>
      </c>
      <c r="D36" s="99">
        <v>6</v>
      </c>
      <c r="E36" s="98">
        <v>3927</v>
      </c>
      <c r="F36" s="97">
        <f t="shared" si="3"/>
        <v>23562</v>
      </c>
      <c r="G36" s="92">
        <v>84</v>
      </c>
      <c r="H36" s="91">
        <v>10</v>
      </c>
      <c r="I36" s="96">
        <f t="shared" si="2"/>
        <v>2356.1999999999998</v>
      </c>
      <c r="J36" s="49"/>
    </row>
    <row r="37" spans="2:10" ht="15.75" thickBot="1" x14ac:dyDescent="0.3">
      <c r="B37" s="101">
        <v>9</v>
      </c>
      <c r="C37" s="100" t="s">
        <v>800</v>
      </c>
      <c r="D37" s="99">
        <v>5</v>
      </c>
      <c r="E37" s="98">
        <v>332.25</v>
      </c>
      <c r="F37" s="97">
        <f t="shared" si="3"/>
        <v>1661.25</v>
      </c>
      <c r="G37" s="92"/>
      <c r="H37" s="91">
        <v>10</v>
      </c>
      <c r="I37" s="96">
        <f t="shared" si="2"/>
        <v>166.125</v>
      </c>
      <c r="J37" s="49"/>
    </row>
    <row r="38" spans="2:10" ht="15.75" thickBot="1" x14ac:dyDescent="0.3">
      <c r="B38" s="101">
        <v>10</v>
      </c>
      <c r="C38" s="100" t="s">
        <v>815</v>
      </c>
      <c r="D38" s="99">
        <v>6</v>
      </c>
      <c r="E38" s="98">
        <v>1315</v>
      </c>
      <c r="F38" s="97">
        <f t="shared" si="3"/>
        <v>7890</v>
      </c>
      <c r="G38" s="92">
        <v>84</v>
      </c>
      <c r="H38" s="91">
        <v>10</v>
      </c>
      <c r="I38" s="96">
        <f t="shared" si="2"/>
        <v>789</v>
      </c>
      <c r="J38" s="49"/>
    </row>
    <row r="39" spans="2:10" ht="15.75" thickBot="1" x14ac:dyDescent="0.3">
      <c r="B39" s="101">
        <v>11</v>
      </c>
      <c r="C39" s="100" t="s">
        <v>816</v>
      </c>
      <c r="D39" s="99">
        <v>6</v>
      </c>
      <c r="E39" s="98">
        <v>307.99</v>
      </c>
      <c r="F39" s="97">
        <f t="shared" si="3"/>
        <v>1847.94</v>
      </c>
      <c r="G39" s="92"/>
      <c r="H39" s="91">
        <v>10</v>
      </c>
      <c r="I39" s="96">
        <f t="shared" si="2"/>
        <v>184.79400000000001</v>
      </c>
      <c r="J39" s="49"/>
    </row>
    <row r="40" spans="2:10" ht="15.75" thickBot="1" x14ac:dyDescent="0.3">
      <c r="B40" s="101">
        <v>12</v>
      </c>
      <c r="C40" s="100" t="s">
        <v>817</v>
      </c>
      <c r="D40" s="99">
        <v>6</v>
      </c>
      <c r="E40" s="98">
        <v>288.8</v>
      </c>
      <c r="F40" s="97">
        <f t="shared" si="3"/>
        <v>1732.8000000000002</v>
      </c>
      <c r="G40" s="92"/>
      <c r="H40" s="91">
        <v>10</v>
      </c>
      <c r="I40" s="96">
        <f t="shared" si="2"/>
        <v>173.28000000000003</v>
      </c>
      <c r="J40" s="49"/>
    </row>
    <row r="41" spans="2:10" ht="23.25" thickBot="1" x14ac:dyDescent="0.3">
      <c r="B41" s="101">
        <v>13</v>
      </c>
      <c r="C41" s="100" t="s">
        <v>855</v>
      </c>
      <c r="D41" s="99">
        <v>5</v>
      </c>
      <c r="E41" s="98">
        <v>1016.41</v>
      </c>
      <c r="F41" s="97">
        <f t="shared" si="3"/>
        <v>5082.05</v>
      </c>
      <c r="G41" s="92">
        <v>84</v>
      </c>
      <c r="H41" s="91">
        <v>10</v>
      </c>
      <c r="I41" s="96">
        <f t="shared" si="2"/>
        <v>508.20500000000004</v>
      </c>
      <c r="J41" s="49"/>
    </row>
    <row r="42" spans="2:10" ht="23.25" thickBot="1" x14ac:dyDescent="0.3">
      <c r="B42" s="101">
        <v>14</v>
      </c>
      <c r="C42" s="100" t="s">
        <v>818</v>
      </c>
      <c r="D42" s="99">
        <v>6</v>
      </c>
      <c r="E42" s="98">
        <v>387.19</v>
      </c>
      <c r="F42" s="97">
        <f t="shared" si="3"/>
        <v>2323.14</v>
      </c>
      <c r="G42" s="92"/>
      <c r="H42" s="91">
        <v>10</v>
      </c>
      <c r="I42" s="96">
        <f t="shared" si="2"/>
        <v>232.31399999999999</v>
      </c>
      <c r="J42" s="49"/>
    </row>
    <row r="43" spans="2:10" ht="15.75" thickBot="1" x14ac:dyDescent="0.3">
      <c r="B43" s="101">
        <v>15</v>
      </c>
      <c r="C43" s="100" t="s">
        <v>856</v>
      </c>
      <c r="D43" s="99">
        <v>5</v>
      </c>
      <c r="E43" s="98">
        <v>1311.15</v>
      </c>
      <c r="F43" s="97">
        <f t="shared" si="3"/>
        <v>6555.75</v>
      </c>
      <c r="G43" s="92">
        <v>84</v>
      </c>
      <c r="H43" s="91">
        <v>10</v>
      </c>
      <c r="I43" s="96">
        <f>F43/H43</f>
        <v>655.57500000000005</v>
      </c>
      <c r="J43" s="49"/>
    </row>
    <row r="44" spans="2:10" ht="23.25" thickBot="1" x14ac:dyDescent="0.3">
      <c r="B44" s="101">
        <v>16</v>
      </c>
      <c r="C44" s="100" t="s">
        <v>819</v>
      </c>
      <c r="D44" s="99">
        <v>6</v>
      </c>
      <c r="E44" s="98">
        <v>3499</v>
      </c>
      <c r="F44" s="97">
        <f t="shared" si="3"/>
        <v>20994</v>
      </c>
      <c r="G44" s="92"/>
      <c r="H44" s="91">
        <v>5</v>
      </c>
      <c r="I44" s="96">
        <f t="shared" si="2"/>
        <v>4198.8</v>
      </c>
      <c r="J44" s="49"/>
    </row>
    <row r="45" spans="2:10" ht="15.75" thickBot="1" x14ac:dyDescent="0.3">
      <c r="B45" s="101">
        <v>17</v>
      </c>
      <c r="C45" s="100" t="s">
        <v>820</v>
      </c>
      <c r="D45" s="99">
        <v>6</v>
      </c>
      <c r="E45" s="98">
        <v>241.2</v>
      </c>
      <c r="F45" s="97">
        <f t="shared" si="3"/>
        <v>1447.1999999999998</v>
      </c>
      <c r="G45" s="92"/>
      <c r="H45" s="91">
        <v>5</v>
      </c>
      <c r="I45" s="96">
        <f t="shared" si="2"/>
        <v>289.43999999999994</v>
      </c>
      <c r="J45" s="49"/>
    </row>
    <row r="46" spans="2:10" ht="15.75" thickBot="1" x14ac:dyDescent="0.3">
      <c r="B46" s="101">
        <v>18</v>
      </c>
      <c r="C46" s="100" t="s">
        <v>821</v>
      </c>
      <c r="D46" s="99">
        <v>6</v>
      </c>
      <c r="E46" s="98">
        <v>566.32000000000005</v>
      </c>
      <c r="F46" s="97">
        <f t="shared" si="3"/>
        <v>3397.92</v>
      </c>
      <c r="G46" s="92">
        <v>82</v>
      </c>
      <c r="H46" s="91">
        <v>5</v>
      </c>
      <c r="I46" s="96">
        <f t="shared" si="2"/>
        <v>679.58400000000006</v>
      </c>
      <c r="J46" s="49"/>
    </row>
    <row r="47" spans="2:10" ht="15.75" thickBot="1" x14ac:dyDescent="0.3">
      <c r="B47" s="101">
        <v>19</v>
      </c>
      <c r="C47" s="100" t="s">
        <v>822</v>
      </c>
      <c r="D47" s="99">
        <v>6</v>
      </c>
      <c r="E47" s="98">
        <v>79</v>
      </c>
      <c r="F47" s="97">
        <f t="shared" si="3"/>
        <v>474</v>
      </c>
      <c r="G47" s="92">
        <v>84</v>
      </c>
      <c r="H47" s="91">
        <v>10</v>
      </c>
      <c r="I47" s="96">
        <f t="shared" si="2"/>
        <v>47.4</v>
      </c>
      <c r="J47" s="49"/>
    </row>
    <row r="48" spans="2:10" ht="15.75" thickBot="1" x14ac:dyDescent="0.3">
      <c r="B48" s="101">
        <v>20</v>
      </c>
      <c r="C48" s="100" t="s">
        <v>857</v>
      </c>
      <c r="D48" s="99">
        <v>5</v>
      </c>
      <c r="E48" s="98">
        <v>384.8</v>
      </c>
      <c r="F48" s="97">
        <f t="shared" si="3"/>
        <v>1924</v>
      </c>
      <c r="G48" s="92">
        <v>84</v>
      </c>
      <c r="H48" s="91">
        <v>10</v>
      </c>
      <c r="I48" s="96">
        <f t="shared" si="2"/>
        <v>192.4</v>
      </c>
      <c r="J48" s="49"/>
    </row>
    <row r="49" spans="2:10" ht="15.75" thickBot="1" x14ac:dyDescent="0.3">
      <c r="B49" s="101">
        <v>21</v>
      </c>
      <c r="C49" s="100" t="s">
        <v>823</v>
      </c>
      <c r="D49" s="99">
        <v>6</v>
      </c>
      <c r="E49" s="98">
        <v>8325</v>
      </c>
      <c r="F49" s="97">
        <f t="shared" si="3"/>
        <v>49950</v>
      </c>
      <c r="G49" s="92"/>
      <c r="H49" s="91">
        <v>5</v>
      </c>
      <c r="I49" s="96">
        <f t="shared" si="2"/>
        <v>9990</v>
      </c>
      <c r="J49" s="49"/>
    </row>
    <row r="50" spans="2:10" ht="15.75" thickBot="1" x14ac:dyDescent="0.3">
      <c r="B50" s="101">
        <v>22</v>
      </c>
      <c r="C50" s="100" t="s">
        <v>824</v>
      </c>
      <c r="D50" s="99">
        <v>6</v>
      </c>
      <c r="E50" s="98">
        <v>2953</v>
      </c>
      <c r="F50" s="97">
        <f t="shared" si="3"/>
        <v>17718</v>
      </c>
      <c r="G50" s="92"/>
      <c r="H50" s="91">
        <v>5</v>
      </c>
      <c r="I50" s="96">
        <f t="shared" si="2"/>
        <v>3543.6</v>
      </c>
      <c r="J50" s="49"/>
    </row>
    <row r="51" spans="2:10" ht="15.75" thickBot="1" x14ac:dyDescent="0.3">
      <c r="B51" s="101">
        <v>23</v>
      </c>
      <c r="C51" s="100" t="s">
        <v>825</v>
      </c>
      <c r="D51" s="99">
        <v>6</v>
      </c>
      <c r="E51" s="98">
        <v>18466.29</v>
      </c>
      <c r="F51" s="97">
        <f t="shared" si="3"/>
        <v>110797.74</v>
      </c>
      <c r="G51" s="92"/>
      <c r="H51" s="91">
        <v>5</v>
      </c>
      <c r="I51" s="96">
        <f t="shared" si="2"/>
        <v>22159.548000000003</v>
      </c>
      <c r="J51" s="49"/>
    </row>
    <row r="52" spans="2:10" ht="15.75" thickBot="1" x14ac:dyDescent="0.3">
      <c r="B52" s="101">
        <v>24</v>
      </c>
      <c r="C52" s="100" t="s">
        <v>826</v>
      </c>
      <c r="D52" s="99">
        <v>6</v>
      </c>
      <c r="E52" s="98">
        <v>972.91</v>
      </c>
      <c r="F52" s="97">
        <f t="shared" si="3"/>
        <v>5837.46</v>
      </c>
      <c r="G52" s="92">
        <v>82</v>
      </c>
      <c r="H52" s="91">
        <v>5</v>
      </c>
      <c r="I52" s="96">
        <f t="shared" si="2"/>
        <v>1167.492</v>
      </c>
      <c r="J52" s="49"/>
    </row>
    <row r="53" spans="2:10" ht="15.75" thickBot="1" x14ac:dyDescent="0.3">
      <c r="B53" s="101">
        <v>25</v>
      </c>
      <c r="C53" s="100" t="s">
        <v>858</v>
      </c>
      <c r="D53" s="99">
        <v>5</v>
      </c>
      <c r="E53" s="98">
        <v>317.14</v>
      </c>
      <c r="F53" s="97">
        <f t="shared" si="3"/>
        <v>1585.6999999999998</v>
      </c>
      <c r="G53" s="92"/>
      <c r="H53" s="91">
        <v>5</v>
      </c>
      <c r="I53" s="96">
        <f t="shared" si="2"/>
        <v>317.14</v>
      </c>
      <c r="J53" s="49"/>
    </row>
    <row r="54" spans="2:10" ht="15.75" thickBot="1" x14ac:dyDescent="0.3">
      <c r="B54" s="101">
        <v>26</v>
      </c>
      <c r="C54" s="100" t="s">
        <v>859</v>
      </c>
      <c r="D54" s="99">
        <v>28</v>
      </c>
      <c r="E54" s="98">
        <v>8000</v>
      </c>
      <c r="F54" s="97">
        <f t="shared" si="3"/>
        <v>224000</v>
      </c>
      <c r="G54" s="92">
        <v>84</v>
      </c>
      <c r="H54" s="91">
        <v>10</v>
      </c>
      <c r="I54" s="96">
        <f t="shared" si="2"/>
        <v>22400</v>
      </c>
      <c r="J54" s="49"/>
    </row>
    <row r="55" spans="2:10" ht="15.75" thickBot="1" x14ac:dyDescent="0.3">
      <c r="B55" s="101">
        <v>27</v>
      </c>
      <c r="C55" s="100" t="s">
        <v>827</v>
      </c>
      <c r="D55" s="99">
        <v>6</v>
      </c>
      <c r="E55" s="98">
        <v>979.99</v>
      </c>
      <c r="F55" s="97">
        <f t="shared" si="3"/>
        <v>5879.9400000000005</v>
      </c>
      <c r="G55" s="92"/>
      <c r="H55" s="91">
        <v>5</v>
      </c>
      <c r="I55" s="96">
        <f t="shared" si="2"/>
        <v>1175.9880000000001</v>
      </c>
      <c r="J55" s="49"/>
    </row>
    <row r="56" spans="2:10" ht="15.75" thickBot="1" x14ac:dyDescent="0.3">
      <c r="B56" s="101">
        <v>28</v>
      </c>
      <c r="C56" s="100" t="s">
        <v>828</v>
      </c>
      <c r="D56" s="99">
        <v>6</v>
      </c>
      <c r="E56" s="98">
        <v>603.99</v>
      </c>
      <c r="F56" s="97">
        <f t="shared" si="3"/>
        <v>3623.94</v>
      </c>
      <c r="G56" s="92"/>
      <c r="H56" s="91">
        <v>5</v>
      </c>
      <c r="I56" s="96">
        <f t="shared" si="2"/>
        <v>724.78800000000001</v>
      </c>
      <c r="J56" s="49"/>
    </row>
    <row r="57" spans="2:10" ht="15.75" thickBot="1" x14ac:dyDescent="0.3">
      <c r="B57" s="101">
        <v>29</v>
      </c>
      <c r="C57" s="100" t="s">
        <v>829</v>
      </c>
      <c r="D57" s="99">
        <v>6</v>
      </c>
      <c r="E57" s="98">
        <v>1100</v>
      </c>
      <c r="F57" s="97">
        <f t="shared" si="3"/>
        <v>6600</v>
      </c>
      <c r="G57" s="92">
        <v>90</v>
      </c>
      <c r="H57" s="91">
        <v>10</v>
      </c>
      <c r="I57" s="96">
        <f>F57/H57</f>
        <v>660</v>
      </c>
      <c r="J57" s="49"/>
    </row>
    <row r="58" spans="2:10" ht="15.75" thickBot="1" x14ac:dyDescent="0.3">
      <c r="B58" s="101">
        <v>30</v>
      </c>
      <c r="C58" s="100" t="s">
        <v>830</v>
      </c>
      <c r="D58" s="99">
        <v>6</v>
      </c>
      <c r="E58" s="98">
        <v>209.9</v>
      </c>
      <c r="F58" s="97">
        <f t="shared" si="3"/>
        <v>1259.4000000000001</v>
      </c>
      <c r="G58" s="92">
        <v>90</v>
      </c>
      <c r="H58" s="91">
        <v>10</v>
      </c>
      <c r="I58" s="96">
        <f t="shared" si="2"/>
        <v>125.94000000000001</v>
      </c>
      <c r="J58" s="49"/>
    </row>
    <row r="59" spans="2:10" ht="15.75" thickBot="1" x14ac:dyDescent="0.3">
      <c r="B59" s="101">
        <v>31</v>
      </c>
      <c r="C59" s="100" t="s">
        <v>831</v>
      </c>
      <c r="D59" s="99">
        <v>6</v>
      </c>
      <c r="E59" s="98">
        <v>420</v>
      </c>
      <c r="F59" s="97">
        <f t="shared" si="3"/>
        <v>2520</v>
      </c>
      <c r="G59" s="92">
        <v>90</v>
      </c>
      <c r="H59" s="91">
        <v>10</v>
      </c>
      <c r="I59" s="96">
        <f t="shared" si="2"/>
        <v>252</v>
      </c>
      <c r="J59" s="49"/>
    </row>
    <row r="60" spans="2:10" ht="15.75" thickBot="1" x14ac:dyDescent="0.3">
      <c r="B60" s="101">
        <v>32</v>
      </c>
      <c r="C60" s="100" t="s">
        <v>860</v>
      </c>
      <c r="D60" s="99">
        <v>5</v>
      </c>
      <c r="E60" s="98">
        <v>1214.72</v>
      </c>
      <c r="F60" s="97">
        <f t="shared" si="3"/>
        <v>6073.6</v>
      </c>
      <c r="G60" s="92">
        <v>84</v>
      </c>
      <c r="H60" s="91">
        <v>10</v>
      </c>
      <c r="I60" s="96">
        <f t="shared" si="2"/>
        <v>607.36</v>
      </c>
      <c r="J60" s="49"/>
    </row>
    <row r="61" spans="2:10" ht="15.75" thickBot="1" x14ac:dyDescent="0.3">
      <c r="B61" s="101">
        <v>33</v>
      </c>
      <c r="C61" s="100" t="s">
        <v>832</v>
      </c>
      <c r="D61" s="99">
        <v>6</v>
      </c>
      <c r="E61" s="98">
        <v>169.1</v>
      </c>
      <c r="F61" s="97">
        <f t="shared" si="3"/>
        <v>1014.5999999999999</v>
      </c>
      <c r="G61" s="92">
        <v>90</v>
      </c>
      <c r="H61" s="91">
        <v>10</v>
      </c>
      <c r="I61" s="96">
        <f t="shared" si="2"/>
        <v>101.46</v>
      </c>
      <c r="J61" s="49"/>
    </row>
    <row r="62" spans="2:10" ht="23.25" thickBot="1" x14ac:dyDescent="0.3">
      <c r="B62" s="101">
        <v>34</v>
      </c>
      <c r="C62" s="100" t="s">
        <v>833</v>
      </c>
      <c r="D62" s="99">
        <v>6</v>
      </c>
      <c r="E62" s="98">
        <v>1857.99</v>
      </c>
      <c r="F62" s="97">
        <f t="shared" si="3"/>
        <v>11147.94</v>
      </c>
      <c r="G62" s="92">
        <v>84</v>
      </c>
      <c r="H62" s="91">
        <v>10</v>
      </c>
      <c r="I62" s="96">
        <f t="shared" si="2"/>
        <v>1114.7940000000001</v>
      </c>
      <c r="J62" s="49"/>
    </row>
    <row r="63" spans="2:10" ht="15.75" thickBot="1" x14ac:dyDescent="0.3">
      <c r="B63" s="101">
        <v>35</v>
      </c>
      <c r="C63" s="100" t="s">
        <v>834</v>
      </c>
      <c r="D63" s="99">
        <v>6</v>
      </c>
      <c r="E63" s="98">
        <v>1081.79</v>
      </c>
      <c r="F63" s="97">
        <f t="shared" si="3"/>
        <v>6490.74</v>
      </c>
      <c r="G63" s="92">
        <v>84</v>
      </c>
      <c r="H63" s="91">
        <v>10</v>
      </c>
      <c r="I63" s="96">
        <f t="shared" si="2"/>
        <v>649.07399999999996</v>
      </c>
      <c r="J63" s="49"/>
    </row>
    <row r="64" spans="2:10" ht="15.75" thickBot="1" x14ac:dyDescent="0.3">
      <c r="B64" s="1056" t="s">
        <v>835</v>
      </c>
      <c r="C64" s="1057"/>
      <c r="D64" s="1057"/>
      <c r="E64" s="1058"/>
      <c r="F64" s="95">
        <f>SUM(F29:F63)</f>
        <v>755255.85999999975</v>
      </c>
      <c r="G64" s="1027" t="s">
        <v>1054</v>
      </c>
      <c r="H64" s="1028"/>
      <c r="I64" s="94">
        <f>SUM(I29:I63)</f>
        <v>91745.388500000001</v>
      </c>
      <c r="J64" s="94"/>
    </row>
    <row r="65" spans="2:10" x14ac:dyDescent="0.25">
      <c r="B65" s="324"/>
      <c r="C65" s="324"/>
      <c r="D65" s="324"/>
      <c r="E65" s="324"/>
      <c r="F65" s="325"/>
      <c r="G65" s="322"/>
      <c r="H65" s="82" t="s">
        <v>340</v>
      </c>
      <c r="I65" s="309">
        <f>'custos unitários para atualizar'!$B$4</f>
        <v>0.79693099999999994</v>
      </c>
      <c r="J65" s="326"/>
    </row>
    <row r="66" spans="2:10" x14ac:dyDescent="0.25">
      <c r="B66" s="324"/>
      <c r="C66" s="324"/>
      <c r="D66" s="324"/>
      <c r="E66" s="324"/>
      <c r="F66" s="325"/>
      <c r="G66" s="322"/>
      <c r="H66" s="82" t="s">
        <v>342</v>
      </c>
      <c r="I66" s="663">
        <f>I64*(1+I65)</f>
        <v>164860.13270269349</v>
      </c>
      <c r="J66" s="326"/>
    </row>
    <row r="67" spans="2:10" x14ac:dyDescent="0.25">
      <c r="B67" s="324"/>
      <c r="C67" s="324"/>
      <c r="D67" s="324"/>
      <c r="E67" s="324"/>
      <c r="F67" s="325"/>
      <c r="G67" s="322"/>
      <c r="H67" s="322"/>
      <c r="I67" s="326"/>
      <c r="J67" s="326"/>
    </row>
    <row r="68" spans="2:10" x14ac:dyDescent="0.25">
      <c r="B68" s="18" t="s">
        <v>778</v>
      </c>
      <c r="C68" s="89" t="s">
        <v>837</v>
      </c>
      <c r="D68" s="12"/>
      <c r="E68" s="87"/>
      <c r="F68" s="86"/>
      <c r="G68" s="12"/>
      <c r="H68" s="85"/>
      <c r="I68" s="84"/>
    </row>
    <row r="70" spans="2:10" ht="15.75" thickBot="1" x14ac:dyDescent="0.3">
      <c r="B70" s="1087" t="s">
        <v>1056</v>
      </c>
      <c r="C70" s="1088"/>
      <c r="D70" s="1088"/>
      <c r="E70" s="1088"/>
      <c r="F70" s="1088"/>
      <c r="G70" s="1088"/>
      <c r="H70" s="1088"/>
      <c r="I70" s="1089"/>
    </row>
    <row r="71" spans="2:10" ht="23.25" thickBot="1" x14ac:dyDescent="0.3">
      <c r="B71" s="101">
        <v>1</v>
      </c>
      <c r="C71" s="100" t="s">
        <v>1057</v>
      </c>
      <c r="D71" s="99">
        <v>9</v>
      </c>
      <c r="E71" s="98">
        <v>500000</v>
      </c>
      <c r="F71" s="97">
        <f>E71*D71</f>
        <v>4500000</v>
      </c>
      <c r="G71" s="92" t="s">
        <v>621</v>
      </c>
      <c r="H71" s="91">
        <v>20</v>
      </c>
      <c r="I71" s="96">
        <v>0</v>
      </c>
    </row>
    <row r="72" spans="2:10" ht="15.75" thickBot="1" x14ac:dyDescent="0.3">
      <c r="G72" s="1027" t="s">
        <v>1054</v>
      </c>
      <c r="H72" s="1028"/>
      <c r="I72" s="94">
        <f>I71</f>
        <v>0</v>
      </c>
    </row>
    <row r="73" spans="2:10" ht="15.75" thickBot="1" x14ac:dyDescent="0.3"/>
    <row r="74" spans="2:10" ht="15.75" thickBot="1" x14ac:dyDescent="0.3">
      <c r="C74" t="s">
        <v>1058</v>
      </c>
      <c r="I74" s="94">
        <f>I72+I64+I23</f>
        <v>116296.98850000001</v>
      </c>
      <c r="J74" s="94"/>
    </row>
  </sheetData>
  <mergeCells count="15">
    <mergeCell ref="G72:H72"/>
    <mergeCell ref="B23:E23"/>
    <mergeCell ref="G23:H23"/>
    <mergeCell ref="B28:I28"/>
    <mergeCell ref="B64:E64"/>
    <mergeCell ref="G64:H64"/>
    <mergeCell ref="B70:I70"/>
    <mergeCell ref="J4:J5"/>
    <mergeCell ref="B3:I3"/>
    <mergeCell ref="B4:B5"/>
    <mergeCell ref="C4:C5"/>
    <mergeCell ref="D4:D5"/>
    <mergeCell ref="G4:G5"/>
    <mergeCell ref="H4:H5"/>
    <mergeCell ref="I4:I5"/>
  </mergeCells>
  <pageMargins left="0.511811024" right="0.511811024" top="0.78740157499999996" bottom="0.78740157499999996" header="0.31496062000000002" footer="0.3149606200000000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showGridLines="0" workbookViewId="0">
      <selection activeCell="B9" sqref="B9"/>
    </sheetView>
  </sheetViews>
  <sheetFormatPr defaultColWidth="8.85546875" defaultRowHeight="15" x14ac:dyDescent="0.25"/>
  <cols>
    <col min="5" max="5" width="51.28515625" customWidth="1"/>
    <col min="8" max="8" width="11" customWidth="1"/>
    <col min="9" max="9" width="12.85546875" customWidth="1"/>
    <col min="10" max="10" width="16" customWidth="1"/>
    <col min="11" max="11" width="16.42578125" customWidth="1"/>
  </cols>
  <sheetData/>
  <pageMargins left="0.511811024" right="0.511811024" top="0.78740157499999996" bottom="0.78740157499999996" header="0.31496062000000002" footer="0.31496062000000002"/>
  <pageSetup paperSize="9" orientation="portrait"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W80"/>
  <sheetViews>
    <sheetView showGridLines="0" workbookViewId="0">
      <selection activeCell="B9" sqref="B9"/>
    </sheetView>
  </sheetViews>
  <sheetFormatPr defaultColWidth="8.85546875" defaultRowHeight="15" x14ac:dyDescent="0.25"/>
  <cols>
    <col min="4" max="4" width="12.7109375" bestFit="1" customWidth="1"/>
    <col min="5" max="5" width="22.42578125" customWidth="1"/>
    <col min="6" max="6" width="18.85546875" customWidth="1"/>
    <col min="7" max="7" width="17.140625" customWidth="1"/>
    <col min="8" max="8" width="15.7109375" customWidth="1"/>
    <col min="10" max="10" width="16.42578125" customWidth="1"/>
    <col min="11" max="11" width="17.7109375" customWidth="1"/>
    <col min="23" max="23" width="40.42578125" customWidth="1"/>
  </cols>
  <sheetData>
    <row r="1" spans="1:23" ht="15.75" thickBot="1" x14ac:dyDescent="0.3"/>
    <row r="2" spans="1:23" ht="15.75" thickBot="1" x14ac:dyDescent="0.3">
      <c r="A2" s="493" t="s">
        <v>1059</v>
      </c>
      <c r="B2" s="494"/>
      <c r="C2" s="494"/>
      <c r="D2" s="494"/>
      <c r="E2" s="494"/>
      <c r="F2" s="481"/>
    </row>
    <row r="3" spans="1:23" ht="15.75" thickBot="1" x14ac:dyDescent="0.3"/>
    <row r="4" spans="1:23" ht="15.75" x14ac:dyDescent="0.25">
      <c r="A4" s="371" t="s">
        <v>1060</v>
      </c>
      <c r="B4" s="372"/>
      <c r="C4" s="372"/>
      <c r="D4" s="372"/>
      <c r="E4" s="372"/>
      <c r="F4" s="692">
        <f>('Execução  Orçamentário '!P13/4640)*917.3</f>
        <v>684622.08859849139</v>
      </c>
      <c r="G4" s="342"/>
      <c r="H4" s="342"/>
      <c r="I4" s="342"/>
      <c r="J4" s="342"/>
      <c r="K4" s="342"/>
      <c r="L4" s="342"/>
      <c r="M4" s="342"/>
      <c r="N4" s="342"/>
      <c r="O4" s="342"/>
      <c r="P4" s="342"/>
      <c r="Q4" s="342"/>
      <c r="R4" s="342"/>
      <c r="S4" s="342"/>
      <c r="T4" s="342"/>
      <c r="U4" s="342"/>
      <c r="V4" s="342"/>
      <c r="W4" s="342"/>
    </row>
    <row r="5" spans="1:23" ht="15.75" x14ac:dyDescent="0.25">
      <c r="A5" s="373" t="s">
        <v>1061</v>
      </c>
      <c r="B5" s="669"/>
      <c r="C5" s="669"/>
      <c r="D5" s="669"/>
      <c r="E5" s="669"/>
      <c r="F5" s="693">
        <f>'SALÁRIOS E ENCARGOS AJUSTADOS'!I84*0.025</f>
        <v>405418.66938649089</v>
      </c>
      <c r="G5" s="342"/>
      <c r="H5" s="342"/>
      <c r="I5" s="342"/>
      <c r="J5" s="342"/>
      <c r="K5" s="342"/>
      <c r="L5" s="342"/>
      <c r="M5" s="342"/>
      <c r="N5" s="342"/>
      <c r="O5" s="342"/>
      <c r="P5" s="342"/>
      <c r="Q5" s="342"/>
      <c r="R5" s="342"/>
      <c r="S5" s="342"/>
      <c r="T5" s="342"/>
      <c r="U5" s="342"/>
      <c r="V5" s="342"/>
      <c r="W5" s="342"/>
    </row>
    <row r="6" spans="1:23" ht="15.75" x14ac:dyDescent="0.25">
      <c r="A6" s="373" t="s">
        <v>1062</v>
      </c>
      <c r="B6" s="669"/>
      <c r="C6" s="669"/>
      <c r="D6" s="669"/>
      <c r="E6" s="669"/>
      <c r="F6" s="694">
        <v>25864.73</v>
      </c>
      <c r="G6" s="342"/>
      <c r="H6" s="342"/>
      <c r="I6" s="342"/>
      <c r="J6" s="342"/>
      <c r="K6" s="342"/>
      <c r="L6" s="342"/>
      <c r="M6" s="342"/>
      <c r="N6" s="342"/>
      <c r="O6" s="342"/>
      <c r="P6" s="342"/>
      <c r="Q6" s="342"/>
      <c r="R6" s="342"/>
      <c r="S6" s="342"/>
      <c r="T6" s="342"/>
      <c r="U6" s="342"/>
      <c r="V6" s="342"/>
      <c r="W6" s="342"/>
    </row>
    <row r="7" spans="1:23" ht="15.75" x14ac:dyDescent="0.25">
      <c r="A7" s="373" t="s">
        <v>1063</v>
      </c>
      <c r="B7" s="669"/>
      <c r="C7" s="669"/>
      <c r="D7" s="669"/>
      <c r="E7" s="669"/>
      <c r="F7" s="693">
        <v>3335.28</v>
      </c>
      <c r="G7" s="342"/>
      <c r="H7" s="342"/>
      <c r="I7" s="342"/>
      <c r="J7" s="342"/>
      <c r="K7" s="342"/>
      <c r="L7" s="342"/>
      <c r="M7" s="342"/>
      <c r="N7" s="342"/>
      <c r="O7" s="342"/>
      <c r="P7" s="342"/>
      <c r="Q7" s="342"/>
      <c r="R7" s="342"/>
      <c r="S7" s="342"/>
      <c r="T7" s="342"/>
      <c r="U7" s="342"/>
      <c r="V7" s="342"/>
      <c r="W7" s="342"/>
    </row>
    <row r="8" spans="1:23" ht="16.5" thickBot="1" x14ac:dyDescent="0.3">
      <c r="A8" s="373" t="s">
        <v>1064</v>
      </c>
      <c r="B8" s="669"/>
      <c r="C8" s="669"/>
      <c r="D8" s="669"/>
      <c r="E8" s="669"/>
      <c r="F8" s="497">
        <f>('Execução  Orçamentário '!P33/464)*91.73</f>
        <v>24354.235922413798</v>
      </c>
      <c r="G8" s="342"/>
      <c r="H8" s="342"/>
      <c r="I8" s="342"/>
      <c r="J8" s="342"/>
      <c r="K8" s="342"/>
      <c r="L8" s="342"/>
      <c r="M8" s="342"/>
      <c r="N8" s="342"/>
      <c r="O8" s="342"/>
      <c r="P8" s="342"/>
      <c r="Q8" s="342"/>
      <c r="R8" s="342"/>
      <c r="S8" s="342"/>
      <c r="T8" s="342"/>
      <c r="U8" s="342"/>
      <c r="V8" s="342"/>
      <c r="W8" s="342"/>
    </row>
    <row r="9" spans="1:23" ht="15.75" x14ac:dyDescent="0.25">
      <c r="A9" s="373" t="s">
        <v>1065</v>
      </c>
      <c r="B9" s="669"/>
      <c r="C9" s="669"/>
      <c r="D9" s="669"/>
      <c r="E9" s="669"/>
      <c r="F9" s="498">
        <f>('Execução  Orçamentário '!P24/464)*91.73</f>
        <v>226602.37452241377</v>
      </c>
      <c r="G9" s="342"/>
      <c r="H9" s="342"/>
      <c r="I9" s="342"/>
      <c r="J9" s="342"/>
      <c r="K9" s="500" t="s">
        <v>1066</v>
      </c>
      <c r="L9" s="501"/>
      <c r="M9" s="501" t="s">
        <v>1067</v>
      </c>
      <c r="N9" s="501"/>
      <c r="O9" s="502"/>
      <c r="P9" s="683">
        <v>99.8</v>
      </c>
      <c r="Q9" s="37" t="s">
        <v>1068</v>
      </c>
      <c r="R9" s="148"/>
      <c r="S9" s="393">
        <v>91.73</v>
      </c>
      <c r="T9" s="393"/>
      <c r="U9" s="393"/>
      <c r="V9" s="506">
        <f>P9*S9</f>
        <v>9154.6540000000005</v>
      </c>
      <c r="W9" s="342"/>
    </row>
    <row r="10" spans="1:23" ht="16.5" thickBot="1" x14ac:dyDescent="0.3">
      <c r="A10" s="373" t="s">
        <v>1069</v>
      </c>
      <c r="B10" s="669"/>
      <c r="C10" s="669"/>
      <c r="D10" s="669"/>
      <c r="E10" s="669"/>
      <c r="F10" s="498">
        <f>('Execução  Orçamentário '!P17/464)*91.73</f>
        <v>7022.941716163793</v>
      </c>
      <c r="G10" s="342"/>
      <c r="H10" s="342"/>
      <c r="I10" s="342"/>
      <c r="J10" s="342"/>
      <c r="K10" s="503"/>
      <c r="L10" s="504"/>
      <c r="M10" s="504"/>
      <c r="N10" s="504"/>
      <c r="O10" s="505"/>
      <c r="P10" s="229"/>
      <c r="Q10" s="32"/>
      <c r="R10" s="143"/>
      <c r="S10" s="229"/>
      <c r="T10" s="229"/>
      <c r="U10" s="229"/>
      <c r="V10" s="386"/>
      <c r="W10" s="342"/>
    </row>
    <row r="11" spans="1:23" ht="15.75" x14ac:dyDescent="0.25">
      <c r="A11" s="373" t="s">
        <v>1070</v>
      </c>
      <c r="B11" s="669"/>
      <c r="C11" s="669"/>
      <c r="D11" s="669"/>
      <c r="E11" s="669"/>
      <c r="F11" s="498">
        <f>('Execução  Orçamentário '!P42/464)*91.73</f>
        <v>1093874.7462000002</v>
      </c>
      <c r="G11" s="342"/>
      <c r="H11" s="342"/>
      <c r="I11" s="342"/>
      <c r="J11" s="342"/>
      <c r="K11" s="342"/>
      <c r="L11" s="342"/>
      <c r="M11" s="342"/>
      <c r="N11" s="342"/>
      <c r="O11" s="342"/>
      <c r="P11" s="342"/>
      <c r="Q11" s="342"/>
      <c r="R11" s="342"/>
      <c r="S11" s="342"/>
      <c r="T11" s="342"/>
      <c r="U11" s="342"/>
      <c r="V11" s="342"/>
      <c r="W11" s="342"/>
    </row>
    <row r="12" spans="1:23" ht="15.75" x14ac:dyDescent="0.25">
      <c r="A12" s="670" t="s">
        <v>1071</v>
      </c>
      <c r="B12" s="851"/>
      <c r="C12" s="851"/>
      <c r="D12" s="851"/>
      <c r="E12" s="851"/>
      <c r="F12" s="671">
        <f>P9*S9</f>
        <v>9154.6540000000005</v>
      </c>
      <c r="G12" s="342"/>
      <c r="H12" s="342"/>
      <c r="I12" s="342"/>
      <c r="J12" s="342"/>
      <c r="K12" s="342"/>
      <c r="L12" s="342"/>
      <c r="M12" s="342"/>
      <c r="N12" s="342"/>
      <c r="O12" s="342"/>
      <c r="P12" s="342"/>
      <c r="Q12" s="342"/>
      <c r="R12" s="342"/>
      <c r="S12" s="342"/>
      <c r="T12" s="342"/>
      <c r="U12" s="342"/>
      <c r="V12" s="342"/>
      <c r="W12" s="342"/>
    </row>
    <row r="13" spans="1:23" ht="15.75" x14ac:dyDescent="0.25">
      <c r="A13" s="670" t="s">
        <v>1072</v>
      </c>
      <c r="B13" s="851"/>
      <c r="C13" s="851"/>
      <c r="D13" s="851"/>
      <c r="E13" s="851"/>
      <c r="F13" s="704">
        <f>'Execução  Orçamentário '!P52</f>
        <v>382245.49000000005</v>
      </c>
      <c r="G13" s="342"/>
      <c r="H13" s="342"/>
      <c r="I13" s="342"/>
      <c r="J13" s="342"/>
      <c r="K13" s="342"/>
      <c r="L13" s="342"/>
      <c r="M13" s="342"/>
      <c r="N13" s="342"/>
      <c r="O13" s="342"/>
      <c r="P13" s="342"/>
      <c r="Q13" s="342"/>
      <c r="R13" s="342"/>
      <c r="S13" s="342"/>
      <c r="T13" s="342"/>
      <c r="U13" s="342"/>
      <c r="V13" s="342"/>
      <c r="W13" s="342"/>
    </row>
    <row r="14" spans="1:23" ht="16.5" thickBot="1" x14ac:dyDescent="0.3">
      <c r="A14" s="495" t="s">
        <v>96</v>
      </c>
      <c r="B14" s="496"/>
      <c r="C14" s="496"/>
      <c r="D14" s="496"/>
      <c r="E14" s="496"/>
      <c r="F14" s="499">
        <f>SUM(F4:F13)</f>
        <v>2862495.2103459742</v>
      </c>
      <c r="G14" s="342"/>
      <c r="H14" s="342"/>
      <c r="I14" s="342"/>
      <c r="J14" s="342"/>
      <c r="K14" s="342"/>
      <c r="L14" s="342"/>
      <c r="M14" s="342"/>
      <c r="N14" s="342"/>
      <c r="O14" s="342"/>
      <c r="P14" s="342"/>
      <c r="Q14" s="342"/>
      <c r="R14" s="342"/>
      <c r="S14" s="342"/>
      <c r="T14" s="342"/>
      <c r="U14" s="342"/>
      <c r="V14" s="342"/>
      <c r="W14" s="342"/>
    </row>
    <row r="15" spans="1:23" ht="15.75" x14ac:dyDescent="0.25">
      <c r="A15" s="356"/>
      <c r="B15" s="342"/>
      <c r="C15" s="342"/>
      <c r="D15" s="342"/>
      <c r="E15" s="342"/>
      <c r="F15" s="342"/>
      <c r="G15" s="342"/>
      <c r="H15" s="342"/>
      <c r="I15" s="342"/>
      <c r="J15" s="342"/>
      <c r="K15" s="342"/>
      <c r="L15" s="342"/>
      <c r="M15" s="342"/>
      <c r="N15" s="342"/>
      <c r="O15" s="342"/>
      <c r="P15" s="342"/>
      <c r="Q15" s="342"/>
      <c r="R15" s="342"/>
      <c r="S15" s="342"/>
      <c r="T15" s="342"/>
      <c r="U15" s="342"/>
      <c r="V15" s="342"/>
      <c r="W15" s="342"/>
    </row>
    <row r="16" spans="1:23" ht="16.5" thickBot="1" x14ac:dyDescent="0.3">
      <c r="A16" s="356"/>
      <c r="B16" s="342"/>
      <c r="C16" s="342"/>
      <c r="D16" s="342"/>
      <c r="E16" s="342"/>
      <c r="F16" s="342"/>
      <c r="G16" s="342"/>
      <c r="H16" s="342"/>
      <c r="I16" s="342"/>
      <c r="J16" s="342"/>
      <c r="K16" s="342"/>
      <c r="L16" s="342"/>
      <c r="M16" s="342"/>
      <c r="N16" s="342"/>
      <c r="O16" s="342"/>
      <c r="P16" s="342"/>
      <c r="Q16" s="342"/>
      <c r="R16" s="342"/>
      <c r="S16" s="342"/>
      <c r="T16" s="342"/>
      <c r="U16" s="342"/>
      <c r="V16" s="342"/>
      <c r="W16" s="342"/>
    </row>
    <row r="17" spans="1:23" ht="15.75" x14ac:dyDescent="0.25">
      <c r="A17" s="374" t="s">
        <v>1073</v>
      </c>
      <c r="B17" s="375"/>
      <c r="C17" s="376"/>
      <c r="D17" s="376" t="s">
        <v>1074</v>
      </c>
      <c r="E17" s="376"/>
      <c r="F17" s="376"/>
      <c r="G17" s="376"/>
      <c r="H17" s="376" t="s">
        <v>1075</v>
      </c>
      <c r="I17" s="376"/>
      <c r="J17" s="376" t="s">
        <v>1076</v>
      </c>
      <c r="K17" s="376"/>
      <c r="L17" s="376"/>
      <c r="M17" s="623" t="s">
        <v>1077</v>
      </c>
      <c r="N17" s="376"/>
      <c r="O17" s="376"/>
      <c r="P17" s="376"/>
      <c r="Q17" s="376"/>
      <c r="R17" s="376"/>
      <c r="S17" s="376"/>
      <c r="T17" s="376"/>
      <c r="U17" s="376"/>
      <c r="V17" s="376"/>
      <c r="W17" s="377"/>
    </row>
    <row r="18" spans="1:23" ht="15.75" x14ac:dyDescent="0.25">
      <c r="A18" s="378" t="s">
        <v>1078</v>
      </c>
      <c r="B18" s="343"/>
      <c r="C18" s="342"/>
      <c r="D18" s="342" t="s">
        <v>1079</v>
      </c>
      <c r="E18" s="342"/>
      <c r="F18" s="342"/>
      <c r="G18" s="342"/>
      <c r="H18" s="342">
        <v>91.73</v>
      </c>
      <c r="I18" s="342"/>
      <c r="J18" s="342"/>
      <c r="K18" s="342"/>
      <c r="L18" s="342"/>
      <c r="M18" s="342" t="s">
        <v>1080</v>
      </c>
      <c r="N18" s="342"/>
      <c r="O18" s="342"/>
      <c r="P18" s="342"/>
      <c r="Q18" s="342"/>
      <c r="R18" s="342"/>
      <c r="S18" s="342"/>
      <c r="T18" s="342"/>
      <c r="U18" s="342"/>
      <c r="V18" s="342"/>
      <c r="W18" s="352"/>
    </row>
    <row r="19" spans="1:23" ht="15.75" x14ac:dyDescent="0.25">
      <c r="A19" s="378" t="s">
        <v>1081</v>
      </c>
      <c r="B19" s="343"/>
      <c r="C19" s="342"/>
      <c r="D19" s="342" t="s">
        <v>1082</v>
      </c>
      <c r="E19" s="342"/>
      <c r="F19" s="342"/>
      <c r="G19" s="342"/>
      <c r="H19" s="342">
        <v>917.3</v>
      </c>
      <c r="I19" s="342"/>
      <c r="J19" s="342"/>
      <c r="K19" s="342"/>
      <c r="L19" s="342"/>
      <c r="M19" s="342"/>
      <c r="N19" s="342"/>
      <c r="O19" s="342"/>
      <c r="P19" s="342"/>
      <c r="Q19" s="342"/>
      <c r="R19" s="342"/>
      <c r="S19" s="342"/>
      <c r="T19" s="342"/>
      <c r="U19" s="342"/>
      <c r="V19" s="342"/>
      <c r="W19" s="352"/>
    </row>
    <row r="20" spans="1:23" ht="15.75" x14ac:dyDescent="0.25">
      <c r="A20" s="356"/>
      <c r="B20" s="342"/>
      <c r="C20" s="342"/>
      <c r="D20" s="342" t="s">
        <v>1083</v>
      </c>
      <c r="E20" s="342"/>
      <c r="F20" s="342"/>
      <c r="G20" s="342"/>
      <c r="H20" s="379"/>
      <c r="I20" s="342"/>
      <c r="J20" s="342"/>
      <c r="K20" s="342"/>
      <c r="L20" s="342" t="s">
        <v>1084</v>
      </c>
      <c r="M20" s="342"/>
      <c r="N20" s="342"/>
      <c r="O20" s="342"/>
      <c r="P20" s="342"/>
      <c r="Q20" s="342"/>
      <c r="R20" s="342"/>
      <c r="S20" s="342"/>
      <c r="T20" s="342"/>
      <c r="U20" s="342"/>
      <c r="V20" s="342"/>
      <c r="W20" s="352"/>
    </row>
    <row r="21" spans="1:23" ht="15.75" x14ac:dyDescent="0.25">
      <c r="A21" s="378" t="s">
        <v>1085</v>
      </c>
      <c r="B21" s="342"/>
      <c r="C21" s="342"/>
      <c r="D21" s="342"/>
      <c r="E21" s="342"/>
      <c r="F21" s="471" t="s">
        <v>1086</v>
      </c>
      <c r="G21" s="471"/>
      <c r="H21" s="471"/>
      <c r="I21" s="471"/>
      <c r="J21" s="471"/>
      <c r="K21" s="471"/>
      <c r="L21" s="487"/>
      <c r="M21" s="342"/>
      <c r="N21" s="342"/>
      <c r="O21" s="342"/>
      <c r="P21" s="342"/>
      <c r="Q21" s="342"/>
      <c r="R21" s="342"/>
      <c r="S21" s="342"/>
      <c r="T21" s="342"/>
      <c r="U21" s="342"/>
      <c r="V21" s="342"/>
      <c r="W21" s="352"/>
    </row>
    <row r="22" spans="1:23" ht="16.5" thickBot="1" x14ac:dyDescent="0.3">
      <c r="A22" s="380"/>
      <c r="B22" s="381"/>
      <c r="C22" s="381"/>
      <c r="D22" s="381"/>
      <c r="E22" s="381"/>
      <c r="F22" s="381"/>
      <c r="G22" s="381"/>
      <c r="H22" s="381"/>
      <c r="I22" s="381"/>
      <c r="J22" s="381"/>
      <c r="K22" s="381"/>
      <c r="L22" s="381"/>
      <c r="M22" s="381"/>
      <c r="N22" s="381"/>
      <c r="O22" s="381"/>
      <c r="P22" s="381"/>
      <c r="Q22" s="381"/>
      <c r="R22" s="381"/>
      <c r="S22" s="381"/>
      <c r="T22" s="381"/>
      <c r="U22" s="381"/>
      <c r="V22" s="381"/>
      <c r="W22" s="361"/>
    </row>
    <row r="23" spans="1:23" ht="15.75" x14ac:dyDescent="0.25">
      <c r="A23" s="374" t="s">
        <v>1087</v>
      </c>
      <c r="B23" s="375"/>
      <c r="C23" s="375"/>
      <c r="D23" s="375"/>
      <c r="E23" s="375"/>
      <c r="F23" s="376"/>
      <c r="G23" s="376"/>
      <c r="H23" s="376"/>
      <c r="I23" s="376"/>
      <c r="J23" s="376"/>
      <c r="K23" s="376"/>
      <c r="L23" s="376"/>
      <c r="M23" s="376"/>
      <c r="N23" s="376"/>
      <c r="O23" s="376"/>
      <c r="P23" s="376"/>
      <c r="Q23" s="376"/>
      <c r="R23" s="376"/>
      <c r="S23" s="376"/>
      <c r="T23" s="376"/>
      <c r="U23" s="376"/>
      <c r="V23" s="376"/>
      <c r="W23" s="377"/>
    </row>
    <row r="24" spans="1:23" ht="15.75" x14ac:dyDescent="0.25">
      <c r="A24" s="356"/>
      <c r="B24" s="342"/>
      <c r="C24" s="342"/>
      <c r="D24" s="342"/>
      <c r="E24" s="342"/>
      <c r="F24" s="342"/>
      <c r="G24" s="342"/>
      <c r="H24" s="342"/>
      <c r="I24" s="342"/>
      <c r="J24" s="342"/>
      <c r="K24" s="342"/>
      <c r="L24" s="342"/>
      <c r="M24" s="342"/>
      <c r="N24" s="342"/>
      <c r="O24" s="342"/>
      <c r="P24" s="342"/>
      <c r="Q24" s="342"/>
      <c r="R24" s="342"/>
      <c r="S24" s="342"/>
      <c r="T24" s="342"/>
      <c r="U24" s="342"/>
      <c r="V24" s="342"/>
      <c r="W24" s="352"/>
    </row>
    <row r="25" spans="1:23" ht="15.75" x14ac:dyDescent="0.25">
      <c r="A25" s="356" t="s">
        <v>1088</v>
      </c>
      <c r="B25" s="342"/>
      <c r="C25" s="342"/>
      <c r="D25" s="342" t="s">
        <v>1089</v>
      </c>
      <c r="E25" s="342"/>
      <c r="F25" s="342"/>
      <c r="G25" s="342"/>
      <c r="H25" s="342"/>
      <c r="I25" s="342"/>
      <c r="J25" s="342"/>
      <c r="K25" s="342"/>
      <c r="L25" s="342"/>
      <c r="M25" s="342"/>
      <c r="N25" s="342"/>
      <c r="O25" s="342"/>
      <c r="P25" s="342"/>
      <c r="Q25" s="342"/>
      <c r="R25" s="342"/>
      <c r="S25" s="342"/>
      <c r="T25" s="342"/>
      <c r="U25" s="342"/>
      <c r="V25" s="342"/>
      <c r="W25" s="352"/>
    </row>
    <row r="26" spans="1:23" ht="15.75" x14ac:dyDescent="0.25">
      <c r="A26" s="356" t="s">
        <v>1090</v>
      </c>
      <c r="B26" s="342"/>
      <c r="C26" s="342"/>
      <c r="D26" s="471" t="s">
        <v>1091</v>
      </c>
      <c r="E26" s="471"/>
      <c r="F26" s="471"/>
      <c r="G26" s="342"/>
      <c r="H26" s="342"/>
      <c r="I26" s="342"/>
      <c r="J26" s="342"/>
      <c r="K26" s="342"/>
      <c r="L26" s="342"/>
      <c r="M26" s="342"/>
      <c r="N26" s="342"/>
      <c r="O26" s="342"/>
      <c r="P26" s="342"/>
      <c r="Q26" s="342"/>
      <c r="R26" s="342"/>
      <c r="S26" s="342"/>
      <c r="T26" s="342"/>
      <c r="U26" s="342"/>
      <c r="V26" s="342"/>
      <c r="W26" s="352"/>
    </row>
    <row r="27" spans="1:23" ht="16.5" thickBot="1" x14ac:dyDescent="0.3">
      <c r="A27" s="380"/>
      <c r="B27" s="381"/>
      <c r="C27" s="381"/>
      <c r="D27" s="381"/>
      <c r="E27" s="381"/>
      <c r="F27" s="381"/>
      <c r="G27" s="381"/>
      <c r="H27" s="381"/>
      <c r="I27" s="381"/>
      <c r="J27" s="381"/>
      <c r="K27" s="381"/>
      <c r="L27" s="381"/>
      <c r="M27" s="381"/>
      <c r="N27" s="381"/>
      <c r="O27" s="381"/>
      <c r="P27" s="381"/>
      <c r="Q27" s="381"/>
      <c r="R27" s="381"/>
      <c r="S27" s="381"/>
      <c r="T27" s="381"/>
      <c r="U27" s="381"/>
      <c r="V27" s="381"/>
      <c r="W27" s="361"/>
    </row>
    <row r="28" spans="1:23" ht="15.75" x14ac:dyDescent="0.25">
      <c r="A28" s="382"/>
      <c r="B28" s="376"/>
      <c r="C28" s="376"/>
      <c r="D28" s="376"/>
      <c r="E28" s="376"/>
      <c r="F28" s="376"/>
      <c r="G28" s="376"/>
      <c r="H28" s="376"/>
      <c r="I28" s="376"/>
      <c r="J28" s="376"/>
      <c r="K28" s="376"/>
      <c r="L28" s="376"/>
      <c r="M28" s="376"/>
      <c r="N28" s="376"/>
      <c r="O28" s="376"/>
      <c r="P28" s="376"/>
      <c r="Q28" s="376"/>
      <c r="R28" s="376"/>
      <c r="S28" s="376"/>
      <c r="T28" s="376"/>
      <c r="U28" s="376"/>
      <c r="V28" s="376"/>
      <c r="W28" s="377"/>
    </row>
    <row r="29" spans="1:23" ht="15.75" x14ac:dyDescent="0.25">
      <c r="A29" s="378" t="s">
        <v>1092</v>
      </c>
      <c r="B29" s="343"/>
      <c r="C29" s="342" t="s">
        <v>1093</v>
      </c>
      <c r="D29" s="342"/>
      <c r="E29" s="342"/>
      <c r="F29" s="342"/>
      <c r="G29" s="363">
        <v>28738.59</v>
      </c>
      <c r="H29" s="342"/>
      <c r="I29" s="342" t="s">
        <v>1094</v>
      </c>
      <c r="J29" s="342"/>
      <c r="K29" s="343" t="s">
        <v>1095</v>
      </c>
      <c r="L29" s="379"/>
      <c r="M29" s="342"/>
      <c r="N29" s="342"/>
      <c r="O29" s="342"/>
      <c r="P29" s="342"/>
      <c r="Q29" s="342"/>
      <c r="R29" s="342"/>
      <c r="S29" s="342"/>
      <c r="T29" s="342"/>
      <c r="U29" s="342"/>
      <c r="V29" s="342"/>
      <c r="W29" s="352"/>
    </row>
    <row r="30" spans="1:23" ht="15.75" x14ac:dyDescent="0.25">
      <c r="A30" s="356"/>
      <c r="B30" s="342"/>
      <c r="C30" s="342"/>
      <c r="D30" s="342"/>
      <c r="E30" s="342"/>
      <c r="F30" s="342"/>
      <c r="G30" s="342"/>
      <c r="H30" s="342"/>
      <c r="I30" s="471" t="s">
        <v>1096</v>
      </c>
      <c r="J30" s="471"/>
      <c r="K30" s="471"/>
      <c r="L30" s="342"/>
      <c r="M30" s="342"/>
      <c r="N30" s="342"/>
      <c r="O30" s="342"/>
      <c r="P30" s="342"/>
      <c r="Q30" s="342"/>
      <c r="R30" s="342"/>
      <c r="S30" s="342"/>
      <c r="T30" s="342"/>
      <c r="U30" s="342"/>
      <c r="V30" s="342"/>
      <c r="W30" s="352"/>
    </row>
    <row r="31" spans="1:23" ht="16.5" thickBot="1" x14ac:dyDescent="0.3">
      <c r="A31" s="380"/>
      <c r="B31" s="381"/>
      <c r="C31" s="381"/>
      <c r="D31" s="381"/>
      <c r="E31" s="381"/>
      <c r="F31" s="381"/>
      <c r="G31" s="381"/>
      <c r="H31" s="381"/>
      <c r="I31" s="381"/>
      <c r="J31" s="381"/>
      <c r="K31" s="381"/>
      <c r="L31" s="381"/>
      <c r="M31" s="381"/>
      <c r="N31" s="381"/>
      <c r="O31" s="381"/>
      <c r="P31" s="381"/>
      <c r="Q31" s="381"/>
      <c r="R31" s="381"/>
      <c r="S31" s="381"/>
      <c r="T31" s="381"/>
      <c r="U31" s="381"/>
      <c r="V31" s="381"/>
      <c r="W31" s="361"/>
    </row>
    <row r="32" spans="1:23" ht="15.75" x14ac:dyDescent="0.25">
      <c r="A32" s="382"/>
      <c r="B32" s="376"/>
      <c r="C32" s="376"/>
      <c r="D32" s="376"/>
      <c r="E32" s="376"/>
      <c r="F32" s="376"/>
      <c r="G32" s="376"/>
      <c r="H32" s="376"/>
      <c r="I32" s="376"/>
      <c r="J32" s="376"/>
      <c r="K32" s="376"/>
      <c r="L32" s="376"/>
      <c r="M32" s="376"/>
      <c r="N32" s="376"/>
      <c r="O32" s="376"/>
      <c r="P32" s="376"/>
      <c r="Q32" s="376"/>
      <c r="R32" s="376"/>
      <c r="S32" s="376"/>
      <c r="T32" s="376"/>
      <c r="U32" s="376"/>
      <c r="V32" s="376"/>
      <c r="W32" s="377"/>
    </row>
    <row r="33" spans="1:23" ht="15.75" x14ac:dyDescent="0.25">
      <c r="A33" s="378" t="s">
        <v>1063</v>
      </c>
      <c r="B33" s="343"/>
      <c r="C33" s="383"/>
      <c r="D33" s="342"/>
      <c r="E33" s="342" t="s">
        <v>1097</v>
      </c>
      <c r="F33" s="342"/>
      <c r="G33" s="342"/>
      <c r="H33" s="342"/>
      <c r="I33" s="343"/>
      <c r="J33" s="471" t="s">
        <v>1098</v>
      </c>
      <c r="K33" s="471"/>
      <c r="L33" s="342"/>
      <c r="M33" s="342"/>
      <c r="N33" s="342"/>
      <c r="O33" s="342"/>
      <c r="P33" s="342"/>
      <c r="Q33" s="342"/>
      <c r="R33" s="342"/>
      <c r="S33" s="342"/>
      <c r="T33" s="342"/>
      <c r="U33" s="342"/>
      <c r="V33" s="342"/>
      <c r="W33" s="352"/>
    </row>
    <row r="34" spans="1:23" ht="16.5" thickBot="1" x14ac:dyDescent="0.3">
      <c r="A34" s="380"/>
      <c r="B34" s="381"/>
      <c r="C34" s="381"/>
      <c r="D34" s="381"/>
      <c r="E34" s="381"/>
      <c r="F34" s="381"/>
      <c r="G34" s="381"/>
      <c r="H34" s="381"/>
      <c r="I34" s="381"/>
      <c r="J34" s="381"/>
      <c r="K34" s="381"/>
      <c r="L34" s="381"/>
      <c r="M34" s="381"/>
      <c r="N34" s="381"/>
      <c r="O34" s="381"/>
      <c r="P34" s="381"/>
      <c r="Q34" s="381"/>
      <c r="R34" s="381"/>
      <c r="S34" s="381"/>
      <c r="T34" s="381"/>
      <c r="U34" s="381"/>
      <c r="V34" s="381"/>
      <c r="W34" s="361"/>
    </row>
    <row r="35" spans="1:23" ht="15.75" x14ac:dyDescent="0.25">
      <c r="A35" s="382"/>
      <c r="B35" s="376"/>
      <c r="C35" s="376"/>
      <c r="D35" s="376"/>
      <c r="E35" s="376"/>
      <c r="F35" s="376"/>
      <c r="G35" s="376"/>
      <c r="H35" s="376"/>
      <c r="I35" s="376"/>
      <c r="J35" s="376"/>
      <c r="K35" s="376"/>
      <c r="L35" s="376"/>
      <c r="M35" s="376"/>
      <c r="N35" s="376"/>
      <c r="O35" s="376"/>
      <c r="P35" s="376"/>
      <c r="Q35" s="376"/>
      <c r="R35" s="376"/>
      <c r="S35" s="376"/>
      <c r="T35" s="376"/>
      <c r="U35" s="376"/>
      <c r="V35" s="376"/>
      <c r="W35" s="377"/>
    </row>
    <row r="36" spans="1:23" ht="15.75" x14ac:dyDescent="0.25">
      <c r="A36" s="378" t="s">
        <v>1064</v>
      </c>
      <c r="B36" s="343"/>
      <c r="C36" s="342" t="s">
        <v>1099</v>
      </c>
      <c r="D36" s="342"/>
      <c r="E36" s="342"/>
      <c r="F36" s="342">
        <v>464</v>
      </c>
      <c r="G36" s="342" t="s">
        <v>1100</v>
      </c>
      <c r="H36" s="342"/>
      <c r="I36" s="342" t="s">
        <v>1101</v>
      </c>
      <c r="J36" s="342"/>
      <c r="K36" s="342"/>
      <c r="L36" s="342"/>
      <c r="M36" s="342"/>
      <c r="N36" s="342"/>
      <c r="O36" s="342"/>
      <c r="P36" s="342"/>
      <c r="Q36" s="342"/>
      <c r="R36" s="342"/>
      <c r="S36" s="342"/>
      <c r="T36" s="342"/>
      <c r="U36" s="342"/>
      <c r="V36" s="342"/>
      <c r="W36" s="352"/>
    </row>
    <row r="37" spans="1:23" ht="15.75" x14ac:dyDescent="0.25">
      <c r="A37" s="356"/>
      <c r="B37" s="342"/>
      <c r="C37" s="342" t="s">
        <v>1102</v>
      </c>
      <c r="D37" s="342"/>
      <c r="E37" s="342"/>
      <c r="F37" s="342">
        <v>91.73</v>
      </c>
      <c r="G37" s="342"/>
      <c r="H37" s="342"/>
      <c r="I37" s="342"/>
      <c r="J37" s="342"/>
      <c r="K37" s="342"/>
      <c r="L37" s="342"/>
      <c r="M37" s="342"/>
      <c r="N37" s="342"/>
      <c r="O37" s="342"/>
      <c r="P37" s="342"/>
      <c r="Q37" s="342"/>
      <c r="R37" s="342"/>
      <c r="S37" s="342"/>
      <c r="T37" s="342"/>
      <c r="U37" s="342"/>
      <c r="V37" s="342"/>
      <c r="W37" s="352"/>
    </row>
    <row r="38" spans="1:23" ht="16.5" thickBot="1" x14ac:dyDescent="0.3">
      <c r="A38" s="380"/>
      <c r="B38" s="381"/>
      <c r="C38" s="381" t="s">
        <v>1103</v>
      </c>
      <c r="D38" s="488" t="s">
        <v>1104</v>
      </c>
      <c r="E38" s="488"/>
      <c r="F38" s="489">
        <v>5628.09</v>
      </c>
      <c r="G38" s="381"/>
      <c r="H38" s="381"/>
      <c r="I38" s="381"/>
      <c r="J38" s="381"/>
      <c r="K38" s="381"/>
      <c r="L38" s="381"/>
      <c r="M38" s="381"/>
      <c r="N38" s="381"/>
      <c r="O38" s="381"/>
      <c r="P38" s="381"/>
      <c r="Q38" s="381"/>
      <c r="R38" s="381"/>
      <c r="S38" s="381"/>
      <c r="T38" s="381"/>
      <c r="U38" s="381"/>
      <c r="V38" s="381"/>
      <c r="W38" s="361"/>
    </row>
    <row r="39" spans="1:23" ht="15.75" x14ac:dyDescent="0.25">
      <c r="A39" s="382"/>
      <c r="B39" s="376"/>
      <c r="C39" s="376"/>
      <c r="D39" s="376"/>
      <c r="E39" s="376"/>
      <c r="F39" s="376"/>
      <c r="G39" s="376"/>
      <c r="H39" s="376"/>
      <c r="I39" s="376"/>
      <c r="J39" s="376"/>
      <c r="K39" s="376"/>
      <c r="L39" s="376"/>
      <c r="M39" s="376"/>
      <c r="N39" s="376"/>
      <c r="O39" s="376"/>
      <c r="P39" s="376"/>
      <c r="Q39" s="376"/>
      <c r="R39" s="376"/>
      <c r="S39" s="376"/>
      <c r="T39" s="376"/>
      <c r="U39" s="376"/>
      <c r="V39" s="376"/>
      <c r="W39" s="377"/>
    </row>
    <row r="40" spans="1:23" ht="15.75" x14ac:dyDescent="0.25">
      <c r="A40" s="378" t="s">
        <v>511</v>
      </c>
      <c r="B40" s="343"/>
      <c r="C40" s="342"/>
      <c r="D40" s="384"/>
      <c r="E40" s="342"/>
      <c r="F40" s="342" t="s">
        <v>1105</v>
      </c>
      <c r="G40" s="342"/>
      <c r="H40" s="342"/>
      <c r="I40" s="342" t="s">
        <v>1106</v>
      </c>
      <c r="J40" s="342"/>
      <c r="K40" s="342"/>
      <c r="L40" s="342" t="s">
        <v>1107</v>
      </c>
      <c r="M40" s="342"/>
      <c r="N40" s="342"/>
      <c r="O40" s="342"/>
      <c r="P40" s="342"/>
      <c r="Q40" s="342"/>
      <c r="R40" s="342"/>
      <c r="S40" s="342"/>
      <c r="T40" s="342"/>
      <c r="U40" s="342"/>
      <c r="V40" s="342"/>
      <c r="W40" s="352"/>
    </row>
    <row r="41" spans="1:23" ht="15.75" x14ac:dyDescent="0.25">
      <c r="A41" s="356"/>
      <c r="B41" s="342"/>
      <c r="C41" s="342"/>
      <c r="D41" s="342"/>
      <c r="E41" s="342"/>
      <c r="F41" s="342">
        <v>91.73</v>
      </c>
      <c r="G41" s="342"/>
      <c r="H41" s="342"/>
      <c r="I41" s="342"/>
      <c r="J41" s="379"/>
      <c r="K41" s="342"/>
      <c r="L41" s="342"/>
      <c r="M41" s="342"/>
      <c r="N41" s="342"/>
      <c r="O41" s="342"/>
      <c r="P41" s="342"/>
      <c r="Q41" s="342"/>
      <c r="R41" s="342"/>
      <c r="S41" s="342"/>
      <c r="T41" s="342"/>
      <c r="U41" s="342"/>
      <c r="V41" s="342"/>
      <c r="W41" s="352"/>
    </row>
    <row r="42" spans="1:23" ht="16.5" thickBot="1" x14ac:dyDescent="0.3">
      <c r="A42" s="380"/>
      <c r="B42" s="488" t="s">
        <v>1108</v>
      </c>
      <c r="C42" s="488"/>
      <c r="D42" s="488"/>
      <c r="E42" s="488"/>
      <c r="F42" s="489">
        <v>54297.38</v>
      </c>
      <c r="G42" s="381"/>
      <c r="H42" s="381"/>
      <c r="I42" s="381"/>
      <c r="J42" s="381"/>
      <c r="K42" s="381"/>
      <c r="L42" s="381"/>
      <c r="M42" s="381"/>
      <c r="N42" s="381"/>
      <c r="O42" s="381"/>
      <c r="P42" s="381"/>
      <c r="Q42" s="381"/>
      <c r="R42" s="381"/>
      <c r="S42" s="381"/>
      <c r="T42" s="381"/>
      <c r="U42" s="381"/>
      <c r="V42" s="381"/>
      <c r="W42" s="361"/>
    </row>
    <row r="43" spans="1:23" ht="15.75" x14ac:dyDescent="0.25">
      <c r="A43" s="382"/>
      <c r="B43" s="376"/>
      <c r="C43" s="376"/>
      <c r="D43" s="376"/>
      <c r="E43" s="376"/>
      <c r="F43" s="376"/>
      <c r="G43" s="376"/>
      <c r="H43" s="376"/>
      <c r="I43" s="376"/>
      <c r="J43" s="376"/>
      <c r="K43" s="376"/>
      <c r="L43" s="376"/>
      <c r="M43" s="376"/>
      <c r="N43" s="376"/>
      <c r="O43" s="376"/>
      <c r="P43" s="376"/>
      <c r="Q43" s="376"/>
      <c r="R43" s="376"/>
      <c r="S43" s="376"/>
      <c r="T43" s="376"/>
      <c r="U43" s="376"/>
      <c r="V43" s="376"/>
      <c r="W43" s="377"/>
    </row>
    <row r="44" spans="1:23" ht="15.75" x14ac:dyDescent="0.25">
      <c r="A44" s="378" t="s">
        <v>1069</v>
      </c>
      <c r="B44" s="343"/>
      <c r="C44" s="342"/>
      <c r="D44" s="342" t="s">
        <v>1109</v>
      </c>
      <c r="E44" s="342"/>
      <c r="F44" s="342"/>
      <c r="G44" s="342"/>
      <c r="H44" s="342">
        <v>441</v>
      </c>
      <c r="I44" s="342" t="s">
        <v>1100</v>
      </c>
      <c r="J44" s="342"/>
      <c r="K44" s="342" t="s">
        <v>1110</v>
      </c>
      <c r="L44" s="342"/>
      <c r="M44" s="342"/>
      <c r="N44" s="342"/>
      <c r="O44" s="342"/>
      <c r="P44" s="342"/>
      <c r="Q44" s="342"/>
      <c r="R44" s="342"/>
      <c r="S44" s="342"/>
      <c r="T44" s="342"/>
      <c r="U44" s="342"/>
      <c r="V44" s="342"/>
      <c r="W44" s="352"/>
    </row>
    <row r="45" spans="1:23" ht="15.75" x14ac:dyDescent="0.25">
      <c r="A45" s="356"/>
      <c r="B45" s="342"/>
      <c r="C45" s="342"/>
      <c r="D45" s="342" t="s">
        <v>1111</v>
      </c>
      <c r="E45" s="342"/>
      <c r="F45" s="342"/>
      <c r="G45" s="342"/>
      <c r="H45" s="342">
        <v>91.73</v>
      </c>
      <c r="I45" s="342"/>
      <c r="J45" s="342"/>
      <c r="K45" s="342"/>
      <c r="L45" s="342"/>
      <c r="M45" s="342"/>
      <c r="N45" s="342"/>
      <c r="O45" s="342"/>
      <c r="P45" s="342"/>
      <c r="Q45" s="342"/>
      <c r="R45" s="342"/>
      <c r="S45" s="342"/>
      <c r="T45" s="342"/>
      <c r="U45" s="342"/>
      <c r="V45" s="342"/>
      <c r="W45" s="352"/>
    </row>
    <row r="46" spans="1:23" ht="15.75" x14ac:dyDescent="0.25">
      <c r="A46" s="356"/>
      <c r="B46" s="342"/>
      <c r="C46" s="342"/>
      <c r="D46" s="342" t="s">
        <v>1109</v>
      </c>
      <c r="E46" s="342"/>
      <c r="F46" s="342"/>
      <c r="G46" s="342"/>
      <c r="H46" s="342"/>
      <c r="I46" s="342"/>
      <c r="J46" s="342"/>
      <c r="K46" s="342"/>
      <c r="L46" s="342"/>
      <c r="M46" s="342"/>
      <c r="N46" s="342"/>
      <c r="O46" s="342"/>
      <c r="P46" s="342"/>
      <c r="Q46" s="342"/>
      <c r="R46" s="342"/>
      <c r="S46" s="342"/>
      <c r="T46" s="342"/>
      <c r="U46" s="342"/>
      <c r="V46" s="342"/>
      <c r="W46" s="352"/>
    </row>
    <row r="47" spans="1:23" ht="15.75" x14ac:dyDescent="0.25">
      <c r="A47" s="356"/>
      <c r="B47" s="342"/>
      <c r="C47" s="342"/>
      <c r="D47" s="342" t="s">
        <v>1112</v>
      </c>
      <c r="E47" s="342"/>
      <c r="F47" s="471" t="s">
        <v>1113</v>
      </c>
      <c r="G47" s="471"/>
      <c r="H47" s="490">
        <v>2157.5100000000002</v>
      </c>
      <c r="I47" s="342"/>
      <c r="J47" s="342"/>
      <c r="K47" s="342"/>
      <c r="L47" s="342"/>
      <c r="M47" s="342"/>
      <c r="N47" s="342"/>
      <c r="O47" s="342"/>
      <c r="P47" s="342"/>
      <c r="Q47" s="342"/>
      <c r="R47" s="342"/>
      <c r="S47" s="342"/>
      <c r="T47" s="342"/>
      <c r="U47" s="342"/>
      <c r="V47" s="342"/>
      <c r="W47" s="352"/>
    </row>
    <row r="48" spans="1:23" ht="16.5" thickBot="1" x14ac:dyDescent="0.3">
      <c r="A48" s="380"/>
      <c r="B48" s="381"/>
      <c r="C48" s="381"/>
      <c r="D48" s="381"/>
      <c r="E48" s="381"/>
      <c r="F48" s="381"/>
      <c r="G48" s="381"/>
      <c r="H48" s="381"/>
      <c r="I48" s="381"/>
      <c r="J48" s="381"/>
      <c r="K48" s="381"/>
      <c r="L48" s="381"/>
      <c r="M48" s="381"/>
      <c r="N48" s="381"/>
      <c r="O48" s="381"/>
      <c r="P48" s="381"/>
      <c r="Q48" s="381"/>
      <c r="R48" s="381"/>
      <c r="S48" s="381"/>
      <c r="T48" s="381"/>
      <c r="U48" s="381"/>
      <c r="V48" s="381"/>
      <c r="W48" s="361"/>
    </row>
    <row r="49" spans="1:23" ht="15.75" x14ac:dyDescent="0.25">
      <c r="A49" s="382"/>
      <c r="B49" s="376"/>
      <c r="C49" s="376"/>
      <c r="D49" s="376"/>
      <c r="E49" s="376"/>
      <c r="F49" s="376"/>
      <c r="G49" s="376"/>
      <c r="H49" s="376"/>
      <c r="I49" s="376"/>
      <c r="J49" s="376"/>
      <c r="K49" s="376"/>
      <c r="L49" s="376"/>
      <c r="M49" s="376"/>
      <c r="N49" s="376"/>
      <c r="O49" s="376"/>
      <c r="P49" s="376"/>
      <c r="Q49" s="376"/>
      <c r="R49" s="376"/>
      <c r="S49" s="376"/>
      <c r="T49" s="376"/>
      <c r="U49" s="376"/>
      <c r="V49" s="376"/>
      <c r="W49" s="377"/>
    </row>
    <row r="50" spans="1:23" ht="15.75" x14ac:dyDescent="0.25">
      <c r="A50" s="378" t="s">
        <v>1070</v>
      </c>
      <c r="B50" s="343"/>
      <c r="C50" s="343"/>
      <c r="D50" s="342"/>
      <c r="E50" s="342"/>
      <c r="F50" s="342" t="s">
        <v>1114</v>
      </c>
      <c r="G50" s="342"/>
      <c r="H50" s="342"/>
      <c r="I50" s="342"/>
      <c r="J50" s="342">
        <v>441</v>
      </c>
      <c r="K50" s="342" t="s">
        <v>1100</v>
      </c>
      <c r="L50" s="342"/>
      <c r="M50" s="342" t="s">
        <v>1115</v>
      </c>
      <c r="N50" s="342"/>
      <c r="O50" s="342"/>
      <c r="P50" s="342"/>
      <c r="Q50" s="342"/>
      <c r="R50" s="342"/>
      <c r="S50" s="342"/>
      <c r="T50" s="342"/>
      <c r="U50" s="342"/>
      <c r="V50" s="342"/>
      <c r="W50" s="352"/>
    </row>
    <row r="51" spans="1:23" ht="15.75" x14ac:dyDescent="0.25">
      <c r="A51" s="356"/>
      <c r="B51" s="342"/>
      <c r="C51" s="342"/>
      <c r="D51" s="342"/>
      <c r="E51" s="342"/>
      <c r="F51" s="342"/>
      <c r="G51" s="342"/>
      <c r="H51" s="342"/>
      <c r="I51" s="342"/>
      <c r="J51" s="342"/>
      <c r="K51" s="342"/>
      <c r="L51" s="342"/>
      <c r="M51" s="342"/>
      <c r="N51" s="342"/>
      <c r="O51" s="342"/>
      <c r="P51" s="342"/>
      <c r="Q51" s="342"/>
      <c r="R51" s="342"/>
      <c r="S51" s="342"/>
      <c r="T51" s="342"/>
      <c r="U51" s="342"/>
      <c r="V51" s="342"/>
      <c r="W51" s="352"/>
    </row>
    <row r="52" spans="1:23" ht="15.75" x14ac:dyDescent="0.25">
      <c r="A52" s="356"/>
      <c r="B52" s="342"/>
      <c r="C52" s="342"/>
      <c r="D52" s="342"/>
      <c r="E52" s="342"/>
      <c r="F52" s="342" t="s">
        <v>1111</v>
      </c>
      <c r="G52" s="342"/>
      <c r="H52" s="342"/>
      <c r="I52" s="342"/>
      <c r="J52" s="342">
        <v>91.73</v>
      </c>
      <c r="K52" s="342"/>
      <c r="L52" s="342"/>
      <c r="M52" s="342"/>
      <c r="N52" s="342"/>
      <c r="O52" s="342"/>
      <c r="P52" s="342"/>
      <c r="Q52" s="342"/>
      <c r="R52" s="342"/>
      <c r="S52" s="342"/>
      <c r="T52" s="342"/>
      <c r="U52" s="342"/>
      <c r="V52" s="342"/>
      <c r="W52" s="352"/>
    </row>
    <row r="53" spans="1:23" ht="15.75" x14ac:dyDescent="0.25">
      <c r="A53" s="356" t="s">
        <v>1116</v>
      </c>
      <c r="B53" s="342"/>
      <c r="C53" s="342"/>
      <c r="D53" s="342"/>
      <c r="E53" s="342"/>
      <c r="F53" s="342"/>
      <c r="G53" s="342"/>
      <c r="H53" s="342"/>
      <c r="I53" s="342"/>
      <c r="J53" s="342"/>
      <c r="K53" s="342"/>
      <c r="L53" s="342"/>
      <c r="M53" s="342"/>
      <c r="N53" s="342"/>
      <c r="O53" s="342"/>
      <c r="P53" s="342"/>
      <c r="Q53" s="342"/>
      <c r="R53" s="342"/>
      <c r="S53" s="342"/>
      <c r="T53" s="342"/>
      <c r="U53" s="342"/>
      <c r="V53" s="342"/>
      <c r="W53" s="352"/>
    </row>
    <row r="54" spans="1:23" ht="15.75" x14ac:dyDescent="0.25">
      <c r="A54" s="356"/>
      <c r="B54" s="342"/>
      <c r="C54" s="342"/>
      <c r="D54" s="342"/>
      <c r="E54" s="342"/>
      <c r="F54" s="342" t="s">
        <v>1112</v>
      </c>
      <c r="G54" s="471" t="s">
        <v>1117</v>
      </c>
      <c r="H54" s="471"/>
      <c r="I54" s="471"/>
      <c r="J54" s="490">
        <v>303654.62</v>
      </c>
      <c r="K54" s="342"/>
      <c r="L54" s="342"/>
      <c r="M54" s="342"/>
      <c r="N54" s="342"/>
      <c r="O54" s="342"/>
      <c r="P54" s="342"/>
      <c r="Q54" s="342"/>
      <c r="R54" s="342"/>
      <c r="S54" s="342"/>
      <c r="T54" s="342"/>
      <c r="U54" s="342"/>
      <c r="V54" s="342"/>
      <c r="W54" s="352"/>
    </row>
    <row r="55" spans="1:23" ht="15.75" x14ac:dyDescent="0.25">
      <c r="A55" s="356" t="s">
        <v>1118</v>
      </c>
      <c r="B55" s="342"/>
      <c r="C55" s="342"/>
      <c r="D55" s="342"/>
      <c r="E55" s="342"/>
      <c r="F55" s="342"/>
      <c r="G55" s="343"/>
      <c r="H55" s="343"/>
      <c r="I55" s="343"/>
      <c r="J55" s="343"/>
      <c r="K55" s="342"/>
      <c r="L55" s="342"/>
      <c r="M55" s="342"/>
      <c r="N55" s="342"/>
      <c r="O55" s="342"/>
      <c r="P55" s="342"/>
      <c r="Q55" s="342"/>
      <c r="R55" s="342"/>
      <c r="S55" s="342"/>
      <c r="T55" s="342"/>
      <c r="U55" s="342"/>
      <c r="V55" s="342"/>
      <c r="W55" s="352"/>
    </row>
    <row r="56" spans="1:23" ht="15.75" x14ac:dyDescent="0.25">
      <c r="A56" s="356"/>
      <c r="B56" s="342"/>
      <c r="C56" s="342"/>
      <c r="D56" s="342"/>
      <c r="E56" s="342"/>
      <c r="F56" s="342"/>
      <c r="G56" s="342"/>
      <c r="H56" s="342"/>
      <c r="I56" s="342"/>
      <c r="J56" s="342"/>
      <c r="K56" s="342"/>
      <c r="L56" s="342"/>
      <c r="M56" s="342"/>
      <c r="N56" s="342"/>
      <c r="O56" s="342"/>
      <c r="P56" s="342"/>
      <c r="Q56" s="342"/>
      <c r="R56" s="342"/>
      <c r="S56" s="342"/>
      <c r="T56" s="342"/>
      <c r="U56" s="342"/>
      <c r="V56" s="342"/>
      <c r="W56" s="352"/>
    </row>
    <row r="57" spans="1:23" ht="15.75" x14ac:dyDescent="0.25">
      <c r="A57" s="356" t="s">
        <v>1119</v>
      </c>
      <c r="B57" s="342"/>
      <c r="C57" s="342"/>
      <c r="D57" s="342"/>
      <c r="E57" s="342"/>
      <c r="F57" s="342"/>
      <c r="G57" s="342"/>
      <c r="H57" s="342"/>
      <c r="I57" s="342"/>
      <c r="J57" s="342"/>
      <c r="K57" s="342"/>
      <c r="L57" s="342"/>
      <c r="M57" s="342"/>
      <c r="N57" s="342"/>
      <c r="O57" s="342"/>
      <c r="P57" s="342"/>
      <c r="Q57" s="342"/>
      <c r="R57" s="342"/>
      <c r="S57" s="342"/>
      <c r="T57" s="342"/>
      <c r="U57" s="342"/>
      <c r="V57" s="342"/>
      <c r="W57" s="352"/>
    </row>
    <row r="58" spans="1:23" ht="16.5" thickBot="1" x14ac:dyDescent="0.3">
      <c r="A58" s="380"/>
      <c r="B58" s="381"/>
      <c r="C58" s="381"/>
      <c r="D58" s="381"/>
      <c r="E58" s="381"/>
      <c r="F58" s="381"/>
      <c r="G58" s="381"/>
      <c r="H58" s="381"/>
      <c r="I58" s="381"/>
      <c r="J58" s="381"/>
      <c r="K58" s="381"/>
      <c r="L58" s="381"/>
      <c r="M58" s="381"/>
      <c r="N58" s="381"/>
      <c r="O58" s="381"/>
      <c r="P58" s="381"/>
      <c r="Q58" s="381"/>
      <c r="R58" s="381"/>
      <c r="S58" s="381"/>
      <c r="T58" s="381"/>
      <c r="U58" s="381"/>
      <c r="V58" s="381"/>
      <c r="W58" s="361"/>
    </row>
    <row r="59" spans="1:23" ht="15.75" x14ac:dyDescent="0.25">
      <c r="A59" s="374" t="s">
        <v>519</v>
      </c>
      <c r="B59" s="375"/>
      <c r="C59" s="375"/>
      <c r="D59" s="376"/>
      <c r="E59" s="376"/>
      <c r="F59" s="376"/>
      <c r="G59" s="376"/>
      <c r="H59" s="376"/>
      <c r="I59" s="376"/>
      <c r="J59" s="376"/>
      <c r="K59" s="376"/>
      <c r="L59" s="376"/>
      <c r="M59" s="376"/>
      <c r="N59" s="376"/>
      <c r="O59" s="376"/>
      <c r="P59" s="376"/>
      <c r="Q59" s="376"/>
      <c r="R59" s="376"/>
      <c r="S59" s="376"/>
      <c r="T59" s="376"/>
      <c r="U59" s="376"/>
      <c r="V59" s="376"/>
      <c r="W59" s="377"/>
    </row>
    <row r="60" spans="1:23" ht="15.75" x14ac:dyDescent="0.25">
      <c r="A60" s="378"/>
      <c r="B60" s="343"/>
      <c r="C60" s="343"/>
      <c r="D60" s="342"/>
      <c r="E60" s="342"/>
      <c r="F60" s="342"/>
      <c r="G60" s="342"/>
      <c r="H60" s="342"/>
      <c r="I60" s="342"/>
      <c r="J60" s="342"/>
      <c r="K60" s="342" t="s">
        <v>1120</v>
      </c>
      <c r="L60" s="342"/>
      <c r="M60" s="342"/>
      <c r="N60" s="342"/>
      <c r="O60" s="342"/>
      <c r="P60" s="342"/>
      <c r="Q60" s="342"/>
      <c r="R60" s="342"/>
      <c r="S60" s="342"/>
      <c r="T60" s="342"/>
      <c r="U60" s="342"/>
      <c r="V60" s="342"/>
      <c r="W60" s="352"/>
    </row>
    <row r="61" spans="1:23" ht="15.75" x14ac:dyDescent="0.25">
      <c r="A61" s="356" t="s">
        <v>1121</v>
      </c>
      <c r="B61" s="342"/>
      <c r="C61" s="342"/>
      <c r="D61" s="342"/>
      <c r="E61" s="342"/>
      <c r="F61" s="342"/>
      <c r="G61" s="342"/>
      <c r="H61" s="342"/>
      <c r="I61" s="342"/>
      <c r="J61" s="342"/>
      <c r="K61" s="342"/>
      <c r="L61" s="342"/>
      <c r="M61" s="342"/>
      <c r="N61" s="342"/>
      <c r="O61" s="342"/>
      <c r="P61" s="342"/>
      <c r="Q61" s="342"/>
      <c r="R61" s="342"/>
      <c r="S61" s="342"/>
      <c r="T61" s="342"/>
      <c r="U61" s="342"/>
      <c r="V61" s="342"/>
      <c r="W61" s="352"/>
    </row>
    <row r="62" spans="1:23" ht="15.75" x14ac:dyDescent="0.25">
      <c r="A62" s="356"/>
      <c r="B62" s="342"/>
      <c r="C62" s="342"/>
      <c r="D62" s="342"/>
      <c r="E62" s="342"/>
      <c r="F62" s="342"/>
      <c r="G62" s="342"/>
      <c r="H62" s="342"/>
      <c r="I62" s="342"/>
      <c r="J62" s="342"/>
      <c r="K62" s="342"/>
      <c r="L62" s="342"/>
      <c r="M62" s="342"/>
      <c r="N62" s="342"/>
      <c r="O62" s="342"/>
      <c r="P62" s="342"/>
      <c r="Q62" s="342"/>
      <c r="R62" s="342"/>
      <c r="S62" s="342"/>
      <c r="T62" s="342"/>
      <c r="U62" s="342"/>
      <c r="V62" s="342"/>
      <c r="W62" s="352"/>
    </row>
    <row r="63" spans="1:23" ht="15.75" x14ac:dyDescent="0.25">
      <c r="A63" s="356" t="s">
        <v>1122</v>
      </c>
      <c r="B63" s="342"/>
      <c r="C63" s="342"/>
      <c r="D63" s="342"/>
      <c r="E63" s="342"/>
      <c r="F63" s="342"/>
      <c r="G63" s="342"/>
      <c r="H63" s="342"/>
      <c r="I63" s="342"/>
      <c r="J63" s="342"/>
      <c r="K63" s="342" t="s">
        <v>1123</v>
      </c>
      <c r="L63" s="342"/>
      <c r="M63" s="342"/>
      <c r="N63" s="342"/>
      <c r="O63" s="342"/>
      <c r="P63" s="342"/>
      <c r="Q63" s="342"/>
      <c r="R63" s="342"/>
      <c r="S63" s="342"/>
      <c r="T63" s="342"/>
      <c r="U63" s="342"/>
      <c r="V63" s="342"/>
      <c r="W63" s="352"/>
    </row>
    <row r="64" spans="1:23" ht="15.75" x14ac:dyDescent="0.25">
      <c r="A64" s="356"/>
      <c r="B64" s="342"/>
      <c r="C64" s="342"/>
      <c r="D64" s="342"/>
      <c r="E64" s="342"/>
      <c r="F64" s="343"/>
      <c r="G64" s="342"/>
      <c r="H64" s="342"/>
      <c r="I64" s="342"/>
      <c r="J64" s="342"/>
      <c r="K64" s="342"/>
      <c r="L64" s="342"/>
      <c r="M64" s="342"/>
      <c r="N64" s="342"/>
      <c r="O64" s="342"/>
      <c r="P64" s="342"/>
      <c r="Q64" s="342"/>
      <c r="R64" s="342"/>
      <c r="S64" s="342"/>
      <c r="T64" s="342"/>
      <c r="U64" s="342"/>
      <c r="V64" s="342"/>
      <c r="W64" s="352"/>
    </row>
    <row r="65" spans="1:23" ht="15.75" x14ac:dyDescent="0.25">
      <c r="A65" s="684" t="s">
        <v>1124</v>
      </c>
      <c r="B65" s="342"/>
      <c r="C65" s="342"/>
      <c r="D65" s="342"/>
      <c r="E65" s="342"/>
      <c r="F65" s="342"/>
      <c r="G65" s="342"/>
      <c r="H65" s="342"/>
      <c r="I65" s="342"/>
      <c r="J65" s="342"/>
      <c r="K65" s="342"/>
      <c r="L65" s="342"/>
      <c r="M65" s="342"/>
      <c r="N65" s="342"/>
      <c r="O65" s="342"/>
      <c r="P65" s="342"/>
      <c r="Q65" s="342"/>
      <c r="R65" s="342"/>
      <c r="S65" s="342"/>
      <c r="T65" s="342"/>
      <c r="U65" s="342"/>
      <c r="V65" s="342"/>
      <c r="W65" s="352"/>
    </row>
    <row r="66" spans="1:23" ht="15.75" x14ac:dyDescent="0.25">
      <c r="A66" s="356"/>
      <c r="B66" s="342"/>
      <c r="C66" s="342"/>
      <c r="D66" s="342"/>
      <c r="E66" s="342"/>
      <c r="F66" s="342"/>
      <c r="G66" s="342"/>
      <c r="H66" s="342"/>
      <c r="I66" s="342"/>
      <c r="J66" s="342"/>
      <c r="K66" s="342" t="s">
        <v>1125</v>
      </c>
      <c r="L66" s="342"/>
      <c r="M66" s="342"/>
      <c r="N66" s="342"/>
      <c r="O66" s="342"/>
      <c r="P66" s="342"/>
      <c r="Q66" s="342"/>
      <c r="R66" s="342"/>
      <c r="S66" s="342"/>
      <c r="T66" s="342"/>
      <c r="U66" s="342"/>
      <c r="V66" s="342"/>
      <c r="W66" s="352"/>
    </row>
    <row r="67" spans="1:23" ht="15.75" x14ac:dyDescent="0.25">
      <c r="A67" s="356" t="s">
        <v>1126</v>
      </c>
      <c r="B67" s="342"/>
      <c r="C67" s="342"/>
      <c r="D67" s="342"/>
      <c r="E67" s="342"/>
      <c r="F67" s="342"/>
      <c r="G67" s="342"/>
      <c r="H67" s="342"/>
      <c r="I67" s="342"/>
      <c r="J67" s="342"/>
      <c r="K67" s="342" t="s">
        <v>1127</v>
      </c>
      <c r="L67" s="342"/>
      <c r="M67" s="342"/>
      <c r="N67" s="342"/>
      <c r="O67" s="342"/>
      <c r="P67" s="342"/>
      <c r="Q67" s="342"/>
      <c r="R67" s="342"/>
      <c r="S67" s="342"/>
      <c r="T67" s="342"/>
      <c r="U67" s="342"/>
      <c r="V67" s="342"/>
      <c r="W67" s="352"/>
    </row>
    <row r="68" spans="1:23" ht="15.75" x14ac:dyDescent="0.25">
      <c r="A68" s="356" t="s">
        <v>1128</v>
      </c>
      <c r="B68" s="342"/>
      <c r="C68" s="342"/>
      <c r="D68" s="342"/>
      <c r="E68" s="342"/>
      <c r="F68" s="342"/>
      <c r="G68" s="342"/>
      <c r="H68" s="342"/>
      <c r="I68" s="342"/>
      <c r="J68" s="342"/>
      <c r="K68" s="342" t="s">
        <v>1129</v>
      </c>
      <c r="L68" s="342"/>
      <c r="M68" s="342"/>
      <c r="N68" s="342"/>
      <c r="O68" s="342"/>
      <c r="P68" s="342"/>
      <c r="Q68" s="342"/>
      <c r="R68" s="342"/>
      <c r="S68" s="342"/>
      <c r="T68" s="342"/>
      <c r="U68" s="342"/>
      <c r="V68" s="342"/>
      <c r="W68" s="352"/>
    </row>
    <row r="69" spans="1:23" ht="15.75" x14ac:dyDescent="0.25">
      <c r="A69" s="356" t="s">
        <v>1130</v>
      </c>
      <c r="B69" s="342"/>
      <c r="C69" s="342"/>
      <c r="D69" s="342"/>
      <c r="E69" s="342"/>
      <c r="F69" s="342"/>
      <c r="G69" s="342"/>
      <c r="H69" s="342"/>
      <c r="I69" s="342"/>
      <c r="J69" s="342"/>
      <c r="K69" s="342"/>
      <c r="L69" s="342"/>
      <c r="M69" s="342"/>
      <c r="N69" s="342"/>
      <c r="O69" s="342"/>
      <c r="P69" s="342"/>
      <c r="Q69" s="342"/>
      <c r="R69" s="342"/>
      <c r="S69" s="342"/>
      <c r="T69" s="342"/>
      <c r="U69" s="342"/>
      <c r="V69" s="342"/>
      <c r="W69" s="352"/>
    </row>
    <row r="70" spans="1:23" ht="15.75" x14ac:dyDescent="0.25">
      <c r="A70" s="356" t="s">
        <v>1131</v>
      </c>
      <c r="B70" s="342"/>
      <c r="C70" s="342"/>
      <c r="D70" s="342"/>
      <c r="E70" s="342"/>
      <c r="F70" s="342"/>
      <c r="G70" s="342"/>
      <c r="H70" s="342"/>
      <c r="I70" s="342"/>
      <c r="J70" s="342"/>
      <c r="K70" s="471" t="s">
        <v>1132</v>
      </c>
      <c r="L70" s="471"/>
      <c r="M70" s="471"/>
      <c r="N70" s="471"/>
      <c r="O70" s="471"/>
      <c r="P70" s="487"/>
      <c r="Q70" s="487"/>
      <c r="R70" s="342"/>
      <c r="S70" s="342"/>
      <c r="T70" s="342"/>
      <c r="U70" s="342"/>
      <c r="V70" s="342"/>
      <c r="W70" s="352"/>
    </row>
    <row r="71" spans="1:23" ht="15.75" x14ac:dyDescent="0.25">
      <c r="A71" s="356"/>
      <c r="B71" s="342"/>
      <c r="C71" s="342"/>
      <c r="D71" s="342"/>
      <c r="E71" s="342"/>
      <c r="F71" s="342"/>
      <c r="G71" s="342"/>
      <c r="H71" s="342"/>
      <c r="I71" s="342"/>
      <c r="J71" s="342"/>
      <c r="K71" s="342"/>
      <c r="L71" s="342"/>
      <c r="M71" s="342"/>
      <c r="N71" s="342"/>
      <c r="O71" s="342"/>
      <c r="P71" s="342"/>
      <c r="Q71" s="342"/>
      <c r="R71" s="342"/>
      <c r="S71" s="342"/>
      <c r="T71" s="342"/>
      <c r="U71" s="342"/>
      <c r="V71" s="342"/>
      <c r="W71" s="352"/>
    </row>
    <row r="72" spans="1:23" ht="15.75" x14ac:dyDescent="0.25">
      <c r="A72" s="356"/>
      <c r="B72" s="342"/>
      <c r="C72" s="342"/>
      <c r="D72" s="342"/>
      <c r="E72" s="342"/>
      <c r="F72" s="342"/>
      <c r="G72" s="342"/>
      <c r="H72" s="342"/>
      <c r="I72" s="342"/>
      <c r="J72" s="342"/>
      <c r="K72" s="342"/>
      <c r="L72" s="342"/>
      <c r="M72" s="342"/>
      <c r="N72" s="342"/>
      <c r="O72" s="342"/>
      <c r="P72" s="342"/>
      <c r="Q72" s="342"/>
      <c r="R72" s="342"/>
      <c r="S72" s="342"/>
      <c r="T72" s="342"/>
      <c r="U72" s="342"/>
      <c r="V72" s="342"/>
      <c r="W72" s="352"/>
    </row>
    <row r="73" spans="1:23" ht="15.75" x14ac:dyDescent="0.25">
      <c r="A73" s="356"/>
      <c r="B73" s="342"/>
      <c r="C73" s="342"/>
      <c r="D73" s="342"/>
      <c r="E73" s="342"/>
      <c r="F73" s="342"/>
      <c r="G73" s="342"/>
      <c r="H73" s="342"/>
      <c r="I73" s="342"/>
      <c r="J73" s="342"/>
      <c r="K73" s="342"/>
      <c r="L73" s="342"/>
      <c r="M73" s="342"/>
      <c r="N73" s="342"/>
      <c r="O73" s="342"/>
      <c r="P73" s="342"/>
      <c r="Q73" s="342"/>
      <c r="R73" s="342"/>
      <c r="S73" s="342"/>
      <c r="T73" s="342"/>
      <c r="U73" s="342"/>
      <c r="V73" s="342"/>
      <c r="W73" s="352"/>
    </row>
    <row r="74" spans="1:23" ht="15.75" x14ac:dyDescent="0.25">
      <c r="A74" s="356"/>
      <c r="B74" s="342"/>
      <c r="C74" s="342"/>
      <c r="D74" s="342"/>
      <c r="E74" s="342"/>
      <c r="F74" s="342"/>
      <c r="G74" s="342"/>
      <c r="H74" s="342"/>
      <c r="I74" s="342"/>
      <c r="J74" s="342"/>
      <c r="K74" s="342"/>
      <c r="L74" s="342"/>
      <c r="M74" s="342"/>
      <c r="N74" s="342"/>
      <c r="O74" s="342"/>
      <c r="P74" s="342"/>
      <c r="Q74" s="342"/>
      <c r="R74" s="342"/>
      <c r="S74" s="342"/>
      <c r="T74" s="342"/>
      <c r="U74" s="342"/>
      <c r="V74" s="342"/>
      <c r="W74" s="352"/>
    </row>
    <row r="75" spans="1:23" ht="16.5" thickBot="1" x14ac:dyDescent="0.3">
      <c r="A75" s="380"/>
      <c r="B75" s="381"/>
      <c r="C75" s="381"/>
      <c r="D75" s="381"/>
      <c r="E75" s="381"/>
      <c r="F75" s="381"/>
      <c r="G75" s="381"/>
      <c r="H75" s="381"/>
      <c r="I75" s="381"/>
      <c r="J75" s="381"/>
      <c r="K75" s="381"/>
      <c r="L75" s="381"/>
      <c r="M75" s="381"/>
      <c r="N75" s="381"/>
      <c r="O75" s="381"/>
      <c r="P75" s="381"/>
      <c r="Q75" s="381"/>
      <c r="R75" s="381"/>
      <c r="S75" s="381"/>
      <c r="T75" s="381"/>
      <c r="U75" s="381"/>
      <c r="V75" s="381"/>
      <c r="W75" s="361"/>
    </row>
    <row r="80" spans="1:23" x14ac:dyDescent="0.25">
      <c r="F80">
        <f>54656.77+48740.81</f>
        <v>103397.57999999999</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4"/>
  <sheetViews>
    <sheetView showGridLines="0" zoomScaleNormal="100" workbookViewId="0">
      <selection activeCell="D8" sqref="D8"/>
    </sheetView>
  </sheetViews>
  <sheetFormatPr defaultColWidth="8.85546875" defaultRowHeight="15" x14ac:dyDescent="0.25"/>
  <cols>
    <col min="1" max="1" width="15.7109375" customWidth="1"/>
    <col min="2" max="2" width="16.85546875" customWidth="1"/>
    <col min="3" max="3" width="19.28515625" customWidth="1"/>
    <col min="4" max="4" width="16.140625" customWidth="1"/>
    <col min="5" max="5" width="14.7109375" customWidth="1"/>
    <col min="6" max="7" width="16.28515625" customWidth="1"/>
    <col min="8" max="9" width="13.7109375" customWidth="1"/>
    <col min="10" max="10" width="17.42578125" customWidth="1"/>
    <col min="11" max="11" width="14.42578125" customWidth="1"/>
    <col min="12" max="12" width="13.42578125" customWidth="1"/>
    <col min="13" max="13" width="14.42578125" customWidth="1"/>
  </cols>
  <sheetData>
    <row r="1" spans="1:10" x14ac:dyDescent="0.25">
      <c r="A1" s="2" t="s">
        <v>119</v>
      </c>
    </row>
    <row r="2" spans="1:10" x14ac:dyDescent="0.25">
      <c r="A2" s="194"/>
      <c r="B2" t="s">
        <v>120</v>
      </c>
    </row>
    <row r="3" spans="1:10" x14ac:dyDescent="0.25">
      <c r="A3" s="398"/>
      <c r="B3" t="s">
        <v>121</v>
      </c>
    </row>
    <row r="5" spans="1:10" ht="18.75" x14ac:dyDescent="0.3">
      <c r="A5" s="399" t="s">
        <v>122</v>
      </c>
      <c r="B5" s="36"/>
      <c r="C5" s="36"/>
      <c r="D5" s="36"/>
      <c r="E5" s="36"/>
      <c r="F5" s="148"/>
    </row>
    <row r="6" spans="1:10" ht="62.25" customHeight="1" x14ac:dyDescent="0.25">
      <c r="A6" s="775" t="s">
        <v>123</v>
      </c>
      <c r="B6" s="772" t="s">
        <v>124</v>
      </c>
      <c r="C6" s="772" t="s">
        <v>125</v>
      </c>
      <c r="D6" s="772" t="s">
        <v>126</v>
      </c>
      <c r="E6" s="772" t="s">
        <v>127</v>
      </c>
      <c r="F6" s="776" t="s">
        <v>128</v>
      </c>
    </row>
    <row r="7" spans="1:10" x14ac:dyDescent="0.25">
      <c r="A7" s="405">
        <f>D12</f>
        <v>17137406.899999999</v>
      </c>
      <c r="B7" s="407">
        <f>436711.68*(1+'custos unitários para atualizar'!B4)</f>
        <v>784740.75585407997</v>
      </c>
      <c r="C7" s="407">
        <f>120000*(1+'custos unitários para atualizar'!B4)</f>
        <v>215631.71999999997</v>
      </c>
      <c r="D7" s="407">
        <f>(2500+700)*12*(1+'custos unitários para atualizar'!B4)</f>
        <v>69002.150399999999</v>
      </c>
      <c r="E7" s="407">
        <f>(1352+400)*12*(1+'custos unitários para atualizar'!B4)</f>
        <v>37778.677343999996</v>
      </c>
      <c r="F7" s="406">
        <f>SUM(A7:E7)</f>
        <v>18244560.203598082</v>
      </c>
      <c r="I7" s="3"/>
    </row>
    <row r="8" spans="1:10" x14ac:dyDescent="0.25">
      <c r="G8" s="3"/>
    </row>
    <row r="10" spans="1:10" ht="18.75" x14ac:dyDescent="0.3">
      <c r="A10" s="399" t="s">
        <v>129</v>
      </c>
      <c r="B10" s="36"/>
      <c r="C10" s="36"/>
      <c r="D10" s="36"/>
      <c r="E10" s="36"/>
      <c r="F10" s="148"/>
    </row>
    <row r="11" spans="1:10" ht="27.75" customHeight="1" x14ac:dyDescent="0.25">
      <c r="A11" s="771" t="s">
        <v>3</v>
      </c>
      <c r="B11" s="772" t="s">
        <v>130</v>
      </c>
      <c r="C11" s="772" t="s">
        <v>131</v>
      </c>
      <c r="D11" s="772" t="s">
        <v>132</v>
      </c>
      <c r="F11" s="38"/>
    </row>
    <row r="12" spans="1:10" ht="24.75" customHeight="1" x14ac:dyDescent="0.25">
      <c r="A12" s="231" t="s">
        <v>133</v>
      </c>
      <c r="B12" s="237">
        <f>F19</f>
        <v>15698388</v>
      </c>
      <c r="C12" s="237">
        <f>B12/12*1.1</f>
        <v>1439018.9000000001</v>
      </c>
      <c r="D12" s="237">
        <f>B12+C12</f>
        <v>17137406.899999999</v>
      </c>
      <c r="F12" s="38"/>
    </row>
    <row r="13" spans="1:10" x14ac:dyDescent="0.25">
      <c r="A13" s="34"/>
      <c r="F13" s="38"/>
      <c r="J13" s="276"/>
    </row>
    <row r="14" spans="1:10" x14ac:dyDescent="0.25">
      <c r="A14" s="34" t="s">
        <v>134</v>
      </c>
      <c r="F14" s="38"/>
      <c r="J14" s="276"/>
    </row>
    <row r="15" spans="1:10" x14ac:dyDescent="0.25">
      <c r="A15" s="773"/>
      <c r="B15" s="924" t="s">
        <v>135</v>
      </c>
      <c r="C15" s="925"/>
      <c r="D15" s="924" t="s">
        <v>136</v>
      </c>
      <c r="E15" s="925"/>
      <c r="F15" s="926" t="s">
        <v>137</v>
      </c>
      <c r="G15" s="206"/>
    </row>
    <row r="16" spans="1:10" x14ac:dyDescent="0.25">
      <c r="A16" s="773"/>
      <c r="B16" s="774" t="s">
        <v>138</v>
      </c>
      <c r="C16" s="774" t="s">
        <v>139</v>
      </c>
      <c r="D16" s="774" t="s">
        <v>138</v>
      </c>
      <c r="E16" s="774" t="s">
        <v>139</v>
      </c>
      <c r="F16" s="927"/>
      <c r="G16" s="206"/>
      <c r="I16" s="792"/>
    </row>
    <row r="17" spans="1:10" ht="19.5" customHeight="1" x14ac:dyDescent="0.25">
      <c r="A17" s="231" t="s">
        <v>140</v>
      </c>
      <c r="B17" s="722">
        <v>5.4829999999999997</v>
      </c>
      <c r="C17" s="722">
        <v>5.3</v>
      </c>
      <c r="D17" s="616">
        <v>5.66</v>
      </c>
      <c r="E17" s="722">
        <v>5.4779999999999998</v>
      </c>
      <c r="F17" s="927"/>
      <c r="G17" s="792" t="s">
        <v>141</v>
      </c>
      <c r="I17" s="721"/>
      <c r="J17" s="14"/>
    </row>
    <row r="18" spans="1:10" x14ac:dyDescent="0.25">
      <c r="A18" s="231" t="s">
        <v>142</v>
      </c>
      <c r="B18" s="397">
        <v>57000</v>
      </c>
      <c r="C18" s="288">
        <f>C21</f>
        <v>57000</v>
      </c>
      <c r="D18" s="397">
        <f>D21</f>
        <v>63500</v>
      </c>
      <c r="E18" s="288">
        <f>E21</f>
        <v>61000</v>
      </c>
      <c r="F18" s="928"/>
      <c r="G18" s="721" t="s">
        <v>143</v>
      </c>
      <c r="H18" s="206"/>
      <c r="I18" s="206"/>
      <c r="J18" s="14"/>
    </row>
    <row r="19" spans="1:10" x14ac:dyDescent="0.25">
      <c r="A19" s="230" t="s">
        <v>144</v>
      </c>
      <c r="B19" s="401">
        <f>B18*B17*12</f>
        <v>3750372</v>
      </c>
      <c r="C19" s="401">
        <f>C18*C17*12</f>
        <v>3625200</v>
      </c>
      <c r="D19" s="401">
        <f>D18*D17*12</f>
        <v>4312920</v>
      </c>
      <c r="E19" s="401">
        <f>E18*E17*12</f>
        <v>4009896</v>
      </c>
      <c r="F19" s="402">
        <f>SUM(B19:E19)</f>
        <v>15698388</v>
      </c>
      <c r="G19" s="3"/>
      <c r="H19" s="206"/>
      <c r="I19" s="206"/>
      <c r="J19" s="276"/>
    </row>
    <row r="20" spans="1:10" ht="15" customHeight="1" x14ac:dyDescent="0.25">
      <c r="H20" s="206"/>
      <c r="I20" s="206"/>
      <c r="J20" s="276"/>
    </row>
    <row r="21" spans="1:10" x14ac:dyDescent="0.25">
      <c r="A21" s="300" t="s">
        <v>145</v>
      </c>
      <c r="B21">
        <v>1000</v>
      </c>
      <c r="C21">
        <v>57000</v>
      </c>
      <c r="D21">
        <v>63500</v>
      </c>
      <c r="E21">
        <v>61000</v>
      </c>
      <c r="H21" s="3"/>
      <c r="I21" s="3"/>
      <c r="J21" s="276"/>
    </row>
    <row r="22" spans="1:10" x14ac:dyDescent="0.25">
      <c r="A22" t="s">
        <v>146</v>
      </c>
    </row>
    <row r="23" spans="1:10" x14ac:dyDescent="0.25">
      <c r="B23" s="3"/>
      <c r="C23" s="3"/>
      <c r="D23" s="3"/>
      <c r="E23" s="3"/>
    </row>
    <row r="24" spans="1:10" x14ac:dyDescent="0.25">
      <c r="A24" t="s">
        <v>147</v>
      </c>
      <c r="B24" s="3"/>
      <c r="C24" s="3"/>
      <c r="D24" s="3"/>
      <c r="E24" s="3"/>
    </row>
  </sheetData>
  <sheetProtection algorithmName="SHA-512" hashValue="INwKVbL5TW5L2TMudh2k6ysChCvhFhvwkSykQxWubL2R9Z4T2Tliu1rx+7lSYICqYgNg/2HaVHqIYEfnNLR3hg==" saltValue="ckYFF3P2KP+oq7pHm92aEg==" spinCount="100000" sheet="1" objects="1" scenarios="1"/>
  <mergeCells count="3">
    <mergeCell ref="B15:C15"/>
    <mergeCell ref="D15:E15"/>
    <mergeCell ref="F15:F18"/>
  </mergeCells>
  <hyperlinks>
    <hyperlink ref="G18" r:id="rId1" xr:uid="{52AC56B8-3387-48F0-A927-D3257E571DE6}"/>
  </hyperlinks>
  <pageMargins left="0.511811024" right="0.511811024" top="0.78740157499999996" bottom="0.78740157499999996" header="0.31496062000000002" footer="0.31496062000000002"/>
  <pageSetup paperSize="9" orientation="portrait"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4:H14"/>
  <sheetViews>
    <sheetView workbookViewId="0">
      <selection activeCell="B9" sqref="B9"/>
    </sheetView>
  </sheetViews>
  <sheetFormatPr defaultColWidth="8.85546875" defaultRowHeight="15" x14ac:dyDescent="0.25"/>
  <cols>
    <col min="5" max="5" width="16" customWidth="1"/>
    <col min="6" max="6" width="18.7109375" customWidth="1"/>
    <col min="8" max="8" width="18" bestFit="1" customWidth="1"/>
  </cols>
  <sheetData>
    <row r="4" spans="2:8" ht="15.75" thickBot="1" x14ac:dyDescent="0.3"/>
    <row r="5" spans="2:8" ht="15.75" thickBot="1" x14ac:dyDescent="0.3">
      <c r="B5" s="493" t="s">
        <v>1133</v>
      </c>
      <c r="C5" s="494"/>
      <c r="D5" s="494"/>
      <c r="E5" s="511"/>
      <c r="F5" s="484" t="s">
        <v>1134</v>
      </c>
      <c r="H5" s="479" t="s">
        <v>98</v>
      </c>
    </row>
    <row r="6" spans="2:8" x14ac:dyDescent="0.25">
      <c r="B6" s="34"/>
      <c r="E6" s="38"/>
      <c r="F6" s="507"/>
      <c r="H6" s="393"/>
    </row>
    <row r="7" spans="2:8" x14ac:dyDescent="0.25">
      <c r="B7" s="34" t="s">
        <v>1135</v>
      </c>
      <c r="E7" s="38"/>
      <c r="F7" s="508">
        <f>Tarifa!H11</f>
        <v>205728211.03744212</v>
      </c>
      <c r="H7" s="573">
        <f>F7+F10</f>
        <v>224758070.55840552</v>
      </c>
    </row>
    <row r="8" spans="2:8" ht="15.75" thickBot="1" x14ac:dyDescent="0.3">
      <c r="B8" s="34" t="s">
        <v>1136</v>
      </c>
      <c r="E8" s="38"/>
      <c r="F8" s="508">
        <f>Tarifa!H18</f>
        <v>76818968.590340748</v>
      </c>
      <c r="H8" s="574">
        <f>F8+F11</f>
        <v>83924723.184947267</v>
      </c>
    </row>
    <row r="9" spans="2:8" x14ac:dyDescent="0.25">
      <c r="B9" s="34"/>
      <c r="D9" s="40"/>
      <c r="E9" s="38"/>
      <c r="F9" s="509"/>
    </row>
    <row r="10" spans="2:8" x14ac:dyDescent="0.25">
      <c r="B10" s="34" t="s">
        <v>1137</v>
      </c>
      <c r="E10" s="38"/>
      <c r="F10" s="509">
        <f>SUM(F7*9.25/100)</f>
        <v>19029859.520963397</v>
      </c>
    </row>
    <row r="11" spans="2:8" x14ac:dyDescent="0.25">
      <c r="B11" s="34" t="s">
        <v>1138</v>
      </c>
      <c r="E11" s="38"/>
      <c r="F11" s="509">
        <f>SUM(F8*9.25/100)</f>
        <v>7105754.5946065187</v>
      </c>
    </row>
    <row r="12" spans="2:8" ht="15.75" thickBot="1" x14ac:dyDescent="0.3">
      <c r="B12" s="34"/>
      <c r="E12" s="38"/>
      <c r="F12" s="510"/>
    </row>
    <row r="13" spans="2:8" ht="15.75" thickBot="1" x14ac:dyDescent="0.3">
      <c r="B13" s="493" t="s">
        <v>1139</v>
      </c>
      <c r="C13" s="494"/>
      <c r="D13" s="494"/>
      <c r="E13" s="511"/>
      <c r="F13" s="512">
        <f>SUM(F10:F12)</f>
        <v>26135614.115569916</v>
      </c>
    </row>
    <row r="14" spans="2:8" x14ac:dyDescent="0.25">
      <c r="F14" s="2"/>
    </row>
  </sheetData>
  <pageMargins left="0.511811024" right="0.511811024" top="0.78740157499999996" bottom="0.78740157499999996" header="0.31496062000000002" footer="0.31496062000000002"/>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3:W27"/>
  <sheetViews>
    <sheetView zoomScale="112" zoomScaleNormal="112" workbookViewId="0">
      <selection activeCell="B9" sqref="B9"/>
    </sheetView>
  </sheetViews>
  <sheetFormatPr defaultColWidth="8.85546875" defaultRowHeight="15" x14ac:dyDescent="0.25"/>
  <cols>
    <col min="4" max="4" width="21.42578125" customWidth="1"/>
    <col min="5" max="5" width="20.85546875" customWidth="1"/>
    <col min="6" max="6" width="18.140625" customWidth="1"/>
    <col min="7" max="7" width="18.7109375" customWidth="1"/>
    <col min="8" max="8" width="18.42578125" customWidth="1"/>
    <col min="9" max="9" width="16.7109375" customWidth="1"/>
    <col min="10" max="10" width="19.140625" customWidth="1"/>
    <col min="11" max="11" width="30" customWidth="1"/>
    <col min="12" max="12" width="34.85546875" customWidth="1"/>
    <col min="13" max="13" width="14.85546875" customWidth="1"/>
    <col min="14" max="14" width="18.140625" customWidth="1"/>
    <col min="15" max="15" width="16" customWidth="1"/>
    <col min="16" max="16" width="19.28515625" customWidth="1"/>
    <col min="19" max="19" width="22.42578125" customWidth="1"/>
    <col min="20" max="20" width="17.7109375" customWidth="1"/>
    <col min="21" max="21" width="22.42578125" customWidth="1"/>
    <col min="22" max="22" width="26" customWidth="1"/>
    <col min="23" max="23" width="37.28515625" customWidth="1"/>
  </cols>
  <sheetData>
    <row r="3" spans="2:23" ht="15.75" x14ac:dyDescent="0.25">
      <c r="B3" s="343"/>
      <c r="C3" s="343"/>
      <c r="D3" s="343"/>
      <c r="E3" s="343"/>
      <c r="F3" s="343"/>
    </row>
    <row r="4" spans="2:23" x14ac:dyDescent="0.25">
      <c r="D4" s="12"/>
    </row>
    <row r="5" spans="2:23" ht="16.5" thickBot="1" x14ac:dyDescent="0.3">
      <c r="E5" s="343" t="s">
        <v>1140</v>
      </c>
      <c r="F5" s="343"/>
      <c r="G5" s="343"/>
      <c r="H5" s="343"/>
      <c r="I5" s="343"/>
      <c r="J5" s="343"/>
      <c r="K5" s="343"/>
      <c r="S5" s="342" t="s">
        <v>1141</v>
      </c>
      <c r="T5" s="342"/>
      <c r="U5" s="342"/>
      <c r="V5" s="342"/>
      <c r="W5" s="342"/>
    </row>
    <row r="6" spans="2:23" ht="16.5" thickBot="1" x14ac:dyDescent="0.3">
      <c r="B6" s="385">
        <v>45261</v>
      </c>
      <c r="J6" s="151">
        <v>45261</v>
      </c>
      <c r="S6" s="1097" t="s">
        <v>1142</v>
      </c>
      <c r="T6" s="1099" t="s">
        <v>534</v>
      </c>
      <c r="U6" s="1100"/>
      <c r="V6" s="1101" t="s">
        <v>1143</v>
      </c>
      <c r="W6" s="1097" t="s">
        <v>1144</v>
      </c>
    </row>
    <row r="7" spans="2:23" ht="16.5" thickBot="1" x14ac:dyDescent="0.3">
      <c r="B7" s="1103" t="s">
        <v>1145</v>
      </c>
      <c r="C7" s="1104"/>
      <c r="D7" s="1104"/>
      <c r="E7" s="1105"/>
      <c r="F7" s="576" t="s">
        <v>1146</v>
      </c>
      <c r="G7" s="577" t="s">
        <v>1147</v>
      </c>
      <c r="H7" s="577" t="s">
        <v>1148</v>
      </c>
      <c r="J7" s="1106" t="s">
        <v>1142</v>
      </c>
      <c r="K7" s="1108" t="s">
        <v>1149</v>
      </c>
      <c r="L7" s="1106" t="s">
        <v>1144</v>
      </c>
      <c r="M7" s="579"/>
      <c r="S7" s="1098"/>
      <c r="T7" s="1099" t="s">
        <v>1150</v>
      </c>
      <c r="U7" s="1100"/>
      <c r="V7" s="1102"/>
      <c r="W7" s="1098"/>
    </row>
    <row r="8" spans="2:23" ht="16.5" thickBot="1" x14ac:dyDescent="0.3">
      <c r="B8" s="472" t="s">
        <v>1151</v>
      </c>
      <c r="C8" s="473"/>
      <c r="D8" s="473"/>
      <c r="E8" s="688">
        <f>P25</f>
        <v>20791648</v>
      </c>
      <c r="F8" s="475" t="s">
        <v>1152</v>
      </c>
      <c r="G8" s="474">
        <v>284</v>
      </c>
      <c r="H8" s="477">
        <f>(E8/T12)*G8</f>
        <v>2048154.0173430454</v>
      </c>
      <c r="J8" s="1107"/>
      <c r="K8" s="1109"/>
      <c r="L8" s="1107"/>
      <c r="S8" s="592" t="s">
        <v>1153</v>
      </c>
      <c r="T8" s="593">
        <v>1903</v>
      </c>
      <c r="U8" s="595"/>
      <c r="V8" s="597">
        <v>1015.5</v>
      </c>
      <c r="W8" s="474" t="s">
        <v>1154</v>
      </c>
    </row>
    <row r="9" spans="2:23" ht="15.75" x14ac:dyDescent="0.25">
      <c r="B9" s="475" t="s">
        <v>1155</v>
      </c>
      <c r="C9" s="584"/>
      <c r="D9" s="584"/>
      <c r="E9" s="689">
        <f>P24</f>
        <v>32491048.649999999</v>
      </c>
      <c r="F9" s="475" t="s">
        <v>1156</v>
      </c>
      <c r="G9" s="474">
        <v>91.73</v>
      </c>
      <c r="H9" s="477">
        <f>(E9/T8)*G9</f>
        <v>1566160.742335523</v>
      </c>
      <c r="I9" s="690"/>
      <c r="J9" s="474" t="s">
        <v>1153</v>
      </c>
      <c r="K9" s="483">
        <v>1015.5</v>
      </c>
      <c r="L9" s="474" t="s">
        <v>1157</v>
      </c>
      <c r="S9" s="592" t="s">
        <v>1158</v>
      </c>
      <c r="T9" s="594">
        <v>280</v>
      </c>
      <c r="U9" s="595"/>
      <c r="V9" s="595">
        <v>516.72</v>
      </c>
      <c r="W9" s="474" t="s">
        <v>1157</v>
      </c>
    </row>
    <row r="10" spans="2:23" ht="15.75" x14ac:dyDescent="0.25">
      <c r="B10" s="475" t="s">
        <v>1159</v>
      </c>
      <c r="C10" s="584"/>
      <c r="D10" s="584"/>
      <c r="E10" s="689">
        <f>P21</f>
        <v>2238266.85</v>
      </c>
      <c r="F10" s="475" t="s">
        <v>1160</v>
      </c>
      <c r="G10" s="478">
        <v>0.23</v>
      </c>
      <c r="H10" s="477">
        <f>(E10/T9)*G9*G10</f>
        <v>168652.60776648216</v>
      </c>
      <c r="J10" s="474" t="s">
        <v>1158</v>
      </c>
      <c r="K10" s="476">
        <v>516.72</v>
      </c>
      <c r="L10" s="474" t="s">
        <v>1157</v>
      </c>
      <c r="S10" s="592" t="s">
        <v>1161</v>
      </c>
      <c r="T10" s="594">
        <v>10</v>
      </c>
      <c r="U10" s="595"/>
      <c r="V10" s="595">
        <v>300</v>
      </c>
      <c r="W10" s="474" t="s">
        <v>1162</v>
      </c>
    </row>
    <row r="11" spans="2:23" ht="15.75" x14ac:dyDescent="0.25">
      <c r="B11" s="614" t="s">
        <v>1163</v>
      </c>
      <c r="C11" s="615"/>
      <c r="D11" s="615"/>
      <c r="E11" s="585">
        <f>P20</f>
        <v>32254426.660000004</v>
      </c>
      <c r="F11" s="475" t="s">
        <v>1164</v>
      </c>
      <c r="G11" s="478">
        <v>0.59</v>
      </c>
      <c r="H11" s="477">
        <f>(E11/T8)*G9*G11</f>
        <v>917305.38567412633</v>
      </c>
      <c r="J11" s="474" t="s">
        <v>1161</v>
      </c>
      <c r="K11" s="682">
        <v>300</v>
      </c>
      <c r="L11" s="474" t="s">
        <v>1162</v>
      </c>
      <c r="S11" s="592" t="s">
        <v>1066</v>
      </c>
      <c r="T11" s="593">
        <v>2107</v>
      </c>
      <c r="U11" s="595"/>
      <c r="V11" s="595">
        <v>99.8</v>
      </c>
      <c r="W11" s="474" t="s">
        <v>1165</v>
      </c>
    </row>
    <row r="12" spans="2:23" ht="15.75" x14ac:dyDescent="0.25">
      <c r="B12" s="475" t="s">
        <v>1166</v>
      </c>
      <c r="C12" s="584"/>
      <c r="D12" s="584"/>
      <c r="E12" s="689">
        <f>P23</f>
        <v>29782.23</v>
      </c>
      <c r="F12" s="475" t="s">
        <v>1167</v>
      </c>
      <c r="G12" s="474">
        <f>1.6*2</f>
        <v>3.2</v>
      </c>
      <c r="H12" s="477">
        <f>(E12/T10)*G12</f>
        <v>9530.3135999999995</v>
      </c>
      <c r="I12" s="691"/>
      <c r="J12" s="474" t="s">
        <v>1066</v>
      </c>
      <c r="K12" s="682">
        <v>113.15</v>
      </c>
      <c r="L12" s="474" t="s">
        <v>1168</v>
      </c>
      <c r="S12" s="592" t="s">
        <v>1169</v>
      </c>
      <c r="T12" s="593">
        <v>2883</v>
      </c>
      <c r="U12" s="596"/>
      <c r="V12" s="595">
        <v>410.62</v>
      </c>
      <c r="W12" s="681" t="s">
        <v>1170</v>
      </c>
    </row>
    <row r="13" spans="2:23" ht="15.75" x14ac:dyDescent="0.25">
      <c r="B13" s="614" t="s">
        <v>1171</v>
      </c>
      <c r="C13" s="615"/>
      <c r="D13" s="615"/>
      <c r="E13" s="689">
        <v>50</v>
      </c>
      <c r="F13" s="475" t="s">
        <v>1164</v>
      </c>
      <c r="G13" s="474">
        <v>29.6</v>
      </c>
      <c r="H13" s="705">
        <v>17760</v>
      </c>
      <c r="J13" s="474" t="s">
        <v>1169</v>
      </c>
      <c r="K13" s="483">
        <v>413.33</v>
      </c>
      <c r="L13" s="474" t="s">
        <v>1172</v>
      </c>
      <c r="S13" s="592"/>
      <c r="T13" s="594"/>
      <c r="U13" s="595"/>
      <c r="V13" s="595"/>
      <c r="W13" s="592"/>
    </row>
    <row r="14" spans="2:23" ht="15.75" x14ac:dyDescent="0.25">
      <c r="B14" s="614" t="s">
        <v>1173</v>
      </c>
      <c r="C14" s="615"/>
      <c r="D14" s="615"/>
      <c r="E14" s="689">
        <v>221.74</v>
      </c>
      <c r="F14" s="475" t="s">
        <v>1174</v>
      </c>
      <c r="G14" s="474">
        <v>49</v>
      </c>
      <c r="H14" s="705">
        <v>10865.26</v>
      </c>
      <c r="I14" s="12"/>
      <c r="J14" s="474"/>
      <c r="K14" s="476"/>
      <c r="L14" s="474"/>
      <c r="S14" s="600"/>
      <c r="T14" s="1090"/>
      <c r="U14" s="1091"/>
      <c r="V14" s="598"/>
      <c r="W14" s="599"/>
    </row>
    <row r="15" spans="2:23" ht="16.5" thickBot="1" x14ac:dyDescent="0.3">
      <c r="B15" s="1092" t="s">
        <v>112</v>
      </c>
      <c r="C15" s="1093"/>
      <c r="D15" s="1093"/>
      <c r="E15" s="1094"/>
      <c r="F15" s="480"/>
      <c r="G15" s="479"/>
      <c r="H15" s="578">
        <f>SUM(H8:H14)</f>
        <v>4738428.326719177</v>
      </c>
      <c r="J15" s="484"/>
      <c r="K15" s="575"/>
      <c r="L15" s="586"/>
      <c r="S15" s="548"/>
      <c r="T15" s="549"/>
      <c r="U15" s="549"/>
      <c r="V15" s="342"/>
      <c r="W15" s="342"/>
    </row>
    <row r="16" spans="2:23" ht="15.75" x14ac:dyDescent="0.25">
      <c r="G16" s="709" t="s">
        <v>1175</v>
      </c>
      <c r="S16" s="342" t="s">
        <v>1176</v>
      </c>
      <c r="T16" s="342"/>
      <c r="U16" s="342"/>
      <c r="V16" s="342"/>
      <c r="W16" s="342"/>
    </row>
    <row r="17" spans="2:23" ht="15.75" x14ac:dyDescent="0.25">
      <c r="B17" t="s">
        <v>1177</v>
      </c>
      <c r="S17" s="342"/>
      <c r="T17" s="342"/>
      <c r="U17" s="342"/>
      <c r="V17" s="342"/>
      <c r="W17" s="342"/>
    </row>
    <row r="18" spans="2:23" ht="15.75" x14ac:dyDescent="0.25">
      <c r="B18" s="1095" t="s">
        <v>1178</v>
      </c>
      <c r="C18" s="1096"/>
      <c r="D18" s="587">
        <v>45292</v>
      </c>
      <c r="E18" s="587">
        <v>45323</v>
      </c>
      <c r="F18" s="587">
        <v>45352</v>
      </c>
      <c r="G18" s="587">
        <v>45383</v>
      </c>
      <c r="H18" s="587">
        <v>45413</v>
      </c>
      <c r="I18" s="587">
        <v>45444</v>
      </c>
      <c r="J18" s="587">
        <v>45474</v>
      </c>
      <c r="K18" s="587">
        <v>45505</v>
      </c>
      <c r="L18" s="587">
        <v>45536</v>
      </c>
      <c r="M18" s="587">
        <v>45566</v>
      </c>
      <c r="N18" s="587">
        <v>45597</v>
      </c>
      <c r="O18" s="587">
        <v>45627</v>
      </c>
      <c r="P18" s="753" t="s">
        <v>192</v>
      </c>
      <c r="S18" s="342" t="s">
        <v>1179</v>
      </c>
      <c r="T18" s="342"/>
      <c r="U18" s="342"/>
      <c r="V18" s="342"/>
      <c r="W18" s="342"/>
    </row>
    <row r="19" spans="2:23" ht="33.75" x14ac:dyDescent="0.25">
      <c r="B19" s="588" t="s">
        <v>1180</v>
      </c>
      <c r="C19" s="588" t="s">
        <v>1142</v>
      </c>
      <c r="D19" s="589" t="s">
        <v>1181</v>
      </c>
      <c r="E19" s="590" t="s">
        <v>1181</v>
      </c>
      <c r="F19" s="590" t="s">
        <v>1181</v>
      </c>
      <c r="G19" s="589" t="s">
        <v>1181</v>
      </c>
      <c r="H19" s="589" t="s">
        <v>1181</v>
      </c>
      <c r="I19" s="589" t="s">
        <v>1181</v>
      </c>
      <c r="J19" s="589" t="s">
        <v>1181</v>
      </c>
      <c r="K19" s="589" t="s">
        <v>1181</v>
      </c>
      <c r="L19" s="589" t="s">
        <v>1181</v>
      </c>
      <c r="M19" s="589" t="s">
        <v>1181</v>
      </c>
      <c r="N19" s="589" t="s">
        <v>1181</v>
      </c>
      <c r="O19" s="589" t="s">
        <v>1181</v>
      </c>
      <c r="P19" s="591" t="s">
        <v>1182</v>
      </c>
      <c r="S19" s="342"/>
      <c r="T19" s="342"/>
      <c r="U19" s="342"/>
      <c r="V19" s="601"/>
      <c r="W19" s="342"/>
    </row>
    <row r="20" spans="2:23" ht="56.25" x14ac:dyDescent="0.25">
      <c r="B20" s="580">
        <v>31900701</v>
      </c>
      <c r="C20" s="580" t="s">
        <v>1183</v>
      </c>
      <c r="D20" s="713">
        <v>830943.59</v>
      </c>
      <c r="E20" s="713">
        <v>728767.92</v>
      </c>
      <c r="F20" s="713">
        <v>7162892.4199999999</v>
      </c>
      <c r="G20" s="713">
        <v>2764362.22</v>
      </c>
      <c r="H20" s="713">
        <v>2768255.51</v>
      </c>
      <c r="I20" s="713">
        <v>2780692.28</v>
      </c>
      <c r="J20" s="713">
        <v>2761925.38</v>
      </c>
      <c r="K20" s="713">
        <v>2765463.28</v>
      </c>
      <c r="L20" s="713">
        <v>2765962.78</v>
      </c>
      <c r="M20" s="713">
        <v>2761204.14</v>
      </c>
      <c r="N20" s="713">
        <v>4163957.14</v>
      </c>
      <c r="O20" s="714">
        <v>0</v>
      </c>
      <c r="P20" s="581">
        <f>SUM(D20+E20+F20+G20+H20+I20+J20+K20+L20+M20+N20+O20)</f>
        <v>32254426.660000004</v>
      </c>
    </row>
    <row r="21" spans="2:23" ht="33.75" x14ac:dyDescent="0.25">
      <c r="B21" s="580" t="s">
        <v>1184</v>
      </c>
      <c r="C21" s="580" t="s">
        <v>1185</v>
      </c>
      <c r="D21" s="713">
        <v>115752.51</v>
      </c>
      <c r="E21" s="713">
        <v>360830.8</v>
      </c>
      <c r="F21" s="713">
        <v>157721.35</v>
      </c>
      <c r="G21" s="713">
        <v>431109.39</v>
      </c>
      <c r="H21" s="713">
        <v>166839.24</v>
      </c>
      <c r="I21" s="713">
        <v>164507.73000000001</v>
      </c>
      <c r="J21" s="713">
        <v>172071.76</v>
      </c>
      <c r="K21" s="713">
        <v>177645.89</v>
      </c>
      <c r="L21" s="713">
        <v>161214.96</v>
      </c>
      <c r="M21" s="713">
        <v>150683.01</v>
      </c>
      <c r="N21" s="713">
        <v>179890.21</v>
      </c>
      <c r="O21" s="714">
        <v>0</v>
      </c>
      <c r="P21" s="581">
        <f t="shared" ref="P21:P25" si="0">SUM(D21+E21+F21+G21+H21+I21+J21+K21+L21+M21+N21+O21)</f>
        <v>2238266.85</v>
      </c>
    </row>
    <row r="22" spans="2:23" ht="22.5" x14ac:dyDescent="0.25">
      <c r="B22" s="580">
        <v>33904808</v>
      </c>
      <c r="C22" s="580" t="s">
        <v>1186</v>
      </c>
      <c r="D22" s="715">
        <v>31350</v>
      </c>
      <c r="E22" s="715">
        <v>31800</v>
      </c>
      <c r="F22" s="715">
        <v>0</v>
      </c>
      <c r="G22" s="715">
        <v>63700</v>
      </c>
      <c r="H22" s="713">
        <v>22155</v>
      </c>
      <c r="I22" s="713">
        <v>31850</v>
      </c>
      <c r="J22" s="713">
        <v>22165</v>
      </c>
      <c r="K22" s="713">
        <v>22165</v>
      </c>
      <c r="L22" s="713">
        <v>22005</v>
      </c>
      <c r="M22" s="713">
        <v>-25397.5</v>
      </c>
      <c r="N22" s="713">
        <v>22162.5</v>
      </c>
      <c r="O22" s="714">
        <v>0</v>
      </c>
      <c r="P22" s="581">
        <f t="shared" si="0"/>
        <v>243955</v>
      </c>
    </row>
    <row r="23" spans="2:23" ht="33.75" x14ac:dyDescent="0.25">
      <c r="B23" s="580">
        <v>33904901</v>
      </c>
      <c r="C23" s="580" t="s">
        <v>1187</v>
      </c>
      <c r="D23" s="713">
        <v>1245.97</v>
      </c>
      <c r="E23" s="713">
        <v>2406.7199999999998</v>
      </c>
      <c r="F23" s="713">
        <v>3889.44</v>
      </c>
      <c r="G23" s="713">
        <v>3405.16</v>
      </c>
      <c r="H23" s="713">
        <v>3105.35</v>
      </c>
      <c r="I23" s="713">
        <v>2932.2</v>
      </c>
      <c r="J23" s="713">
        <v>2804.58</v>
      </c>
      <c r="K23" s="713">
        <v>1299.4000000000001</v>
      </c>
      <c r="L23" s="713">
        <v>3115.63</v>
      </c>
      <c r="M23" s="713">
        <v>3139.39</v>
      </c>
      <c r="N23" s="713">
        <v>2438.39</v>
      </c>
      <c r="O23" s="714">
        <v>0</v>
      </c>
      <c r="P23" s="581">
        <f t="shared" si="0"/>
        <v>29782.23</v>
      </c>
    </row>
    <row r="24" spans="2:23" ht="67.5" x14ac:dyDescent="0.25">
      <c r="B24" s="582">
        <v>33903940</v>
      </c>
      <c r="C24" s="582" t="s">
        <v>1188</v>
      </c>
      <c r="D24" s="713">
        <v>1912769.96</v>
      </c>
      <c r="E24" s="713">
        <v>7354676.3600000003</v>
      </c>
      <c r="F24" s="713">
        <v>2345172.6</v>
      </c>
      <c r="G24" s="713">
        <v>2332354.77</v>
      </c>
      <c r="H24" s="713">
        <v>2318383.34</v>
      </c>
      <c r="I24" s="713">
        <v>2309904.2599999998</v>
      </c>
      <c r="J24" s="713">
        <v>2319609.5699999998</v>
      </c>
      <c r="K24" s="713">
        <v>2326279.79</v>
      </c>
      <c r="L24" s="713">
        <v>2315344.6</v>
      </c>
      <c r="M24" s="713">
        <v>2317602.25</v>
      </c>
      <c r="N24" s="713">
        <v>2308710.4300000002</v>
      </c>
      <c r="O24" s="714">
        <v>2330240.7200000002</v>
      </c>
      <c r="P24" s="583">
        <f t="shared" si="0"/>
        <v>32491048.649999999</v>
      </c>
    </row>
    <row r="25" spans="2:23" ht="33.75" x14ac:dyDescent="0.25">
      <c r="B25" s="582">
        <v>33503950</v>
      </c>
      <c r="C25" s="582" t="s">
        <v>1189</v>
      </c>
      <c r="D25" s="716">
        <v>0</v>
      </c>
      <c r="E25" s="713">
        <v>6930549.3399999999</v>
      </c>
      <c r="F25" s="713">
        <v>0</v>
      </c>
      <c r="G25" s="713">
        <v>6930549.3300000001</v>
      </c>
      <c r="H25" s="713">
        <v>0</v>
      </c>
      <c r="I25" s="713">
        <v>6930549.3300000001</v>
      </c>
      <c r="J25" s="713">
        <v>0</v>
      </c>
      <c r="K25" s="713">
        <v>0</v>
      </c>
      <c r="L25" s="713">
        <v>0</v>
      </c>
      <c r="M25" s="713">
        <v>0</v>
      </c>
      <c r="N25" s="713">
        <v>0</v>
      </c>
      <c r="O25" s="714">
        <v>0</v>
      </c>
      <c r="P25" s="583">
        <f t="shared" si="0"/>
        <v>20791648</v>
      </c>
    </row>
    <row r="27" spans="2:23" x14ac:dyDescent="0.25">
      <c r="F27" s="485"/>
      <c r="S27" s="485"/>
    </row>
  </sheetData>
  <mergeCells count="12">
    <mergeCell ref="V6:V7"/>
    <mergeCell ref="W6:W7"/>
    <mergeCell ref="B7:E7"/>
    <mergeCell ref="J7:J8"/>
    <mergeCell ref="L7:L8"/>
    <mergeCell ref="T7:U7"/>
    <mergeCell ref="K7:K8"/>
    <mergeCell ref="T14:U14"/>
    <mergeCell ref="B15:E15"/>
    <mergeCell ref="B18:C18"/>
    <mergeCell ref="S6:S7"/>
    <mergeCell ref="T6:U6"/>
  </mergeCells>
  <pageMargins left="0.511811024" right="0.511811024" top="0.78740157499999996" bottom="0.78740157499999996" header="0.31496062000000002" footer="0.31496062000000002"/>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AD55"/>
  <sheetViews>
    <sheetView zoomScale="136" zoomScaleNormal="136" workbookViewId="0">
      <selection activeCell="B9" sqref="B9"/>
    </sheetView>
  </sheetViews>
  <sheetFormatPr defaultColWidth="8.85546875" defaultRowHeight="15" x14ac:dyDescent="0.25"/>
  <cols>
    <col min="3" max="3" width="12" customWidth="1"/>
    <col min="7" max="7" width="10" customWidth="1"/>
    <col min="8" max="10" width="10.42578125" customWidth="1"/>
    <col min="11" max="11" width="10.85546875" customWidth="1"/>
    <col min="12" max="12" width="10.42578125" customWidth="1"/>
    <col min="13" max="13" width="11" customWidth="1"/>
    <col min="14" max="14" width="9.85546875" customWidth="1"/>
    <col min="15" max="15" width="11.140625" customWidth="1"/>
    <col min="16" max="16" width="16.28515625" customWidth="1"/>
  </cols>
  <sheetData>
    <row r="2" spans="2:30" ht="15.75" thickBot="1" x14ac:dyDescent="0.3">
      <c r="G2" s="12"/>
      <c r="H2" s="12"/>
      <c r="I2" s="12"/>
      <c r="J2" s="12"/>
    </row>
    <row r="3" spans="2:30" ht="18.75" thickBot="1" x14ac:dyDescent="0.3">
      <c r="G3" s="550"/>
      <c r="H3" s="550" t="s">
        <v>1190</v>
      </c>
      <c r="I3" s="550"/>
      <c r="J3" s="88"/>
      <c r="O3" s="485"/>
    </row>
    <row r="4" spans="2:30" x14ac:dyDescent="0.25">
      <c r="G4" s="284"/>
      <c r="H4" s="88"/>
      <c r="I4" s="88"/>
      <c r="J4" s="88"/>
    </row>
    <row r="5" spans="2:30" x14ac:dyDescent="0.25">
      <c r="B5" s="387"/>
      <c r="C5" s="387"/>
      <c r="D5" s="387"/>
      <c r="E5" s="387"/>
    </row>
    <row r="6" spans="2:30" ht="15.75" thickBot="1" x14ac:dyDescent="0.3"/>
    <row r="7" spans="2:30" x14ac:dyDescent="0.25">
      <c r="B7" s="1110" t="s">
        <v>1178</v>
      </c>
      <c r="C7" s="1111"/>
      <c r="D7" s="542">
        <v>45292</v>
      </c>
      <c r="E7" s="542">
        <v>45323</v>
      </c>
      <c r="F7" s="542">
        <v>45352</v>
      </c>
      <c r="G7" s="542">
        <v>45383</v>
      </c>
      <c r="H7" s="542">
        <v>45413</v>
      </c>
      <c r="I7" s="542">
        <v>45444</v>
      </c>
      <c r="J7" s="542">
        <v>45474</v>
      </c>
      <c r="K7" s="542">
        <v>45505</v>
      </c>
      <c r="L7" s="542">
        <v>45536</v>
      </c>
      <c r="M7" s="542">
        <v>45566</v>
      </c>
      <c r="N7" s="542">
        <v>45597</v>
      </c>
      <c r="O7" s="542">
        <v>45627</v>
      </c>
      <c r="P7" s="1112" t="s">
        <v>96</v>
      </c>
    </row>
    <row r="8" spans="2:30" ht="34.5" x14ac:dyDescent="0.25">
      <c r="B8" s="514" t="s">
        <v>1180</v>
      </c>
      <c r="C8" s="515" t="s">
        <v>1142</v>
      </c>
      <c r="D8" s="516" t="s">
        <v>1181</v>
      </c>
      <c r="E8" s="517" t="s">
        <v>1181</v>
      </c>
      <c r="F8" s="517" t="s">
        <v>1181</v>
      </c>
      <c r="G8" s="517" t="s">
        <v>1181</v>
      </c>
      <c r="H8" s="517" t="s">
        <v>1181</v>
      </c>
      <c r="I8" s="517" t="s">
        <v>1181</v>
      </c>
      <c r="J8" s="516" t="s">
        <v>1181</v>
      </c>
      <c r="K8" s="516" t="s">
        <v>1181</v>
      </c>
      <c r="L8" s="516" t="s">
        <v>1181</v>
      </c>
      <c r="M8" s="516" t="s">
        <v>1181</v>
      </c>
      <c r="N8" s="516" t="s">
        <v>1181</v>
      </c>
      <c r="O8" s="516" t="s">
        <v>1181</v>
      </c>
      <c r="P8" s="1113"/>
    </row>
    <row r="9" spans="2:30" ht="22.5" x14ac:dyDescent="0.25">
      <c r="B9" s="388">
        <v>33903702</v>
      </c>
      <c r="C9" s="388" t="s">
        <v>1191</v>
      </c>
      <c r="D9" s="717">
        <v>141976.89000000001</v>
      </c>
      <c r="E9" s="486">
        <v>217370.44</v>
      </c>
      <c r="F9" s="486">
        <v>142754.23999999999</v>
      </c>
      <c r="G9" s="486">
        <v>35677.019999999997</v>
      </c>
      <c r="H9" s="486">
        <v>151301.04</v>
      </c>
      <c r="I9" s="486">
        <v>304476.43</v>
      </c>
      <c r="J9" s="486">
        <v>374264.47</v>
      </c>
      <c r="K9" s="486">
        <v>22250.799999999999</v>
      </c>
      <c r="L9" s="486">
        <v>213495.86</v>
      </c>
      <c r="M9" s="486">
        <v>8972.42</v>
      </c>
      <c r="N9" s="486">
        <v>4267.5</v>
      </c>
      <c r="O9" s="486">
        <v>5055.1899999999996</v>
      </c>
      <c r="P9" s="541">
        <f>SUM(D9+E9+F9+G9+H9+I9+J9+K9+L9+M9+N9+O9)</f>
        <v>1621862.2999999998</v>
      </c>
    </row>
    <row r="10" spans="2:30" ht="22.5" x14ac:dyDescent="0.25">
      <c r="B10" s="749">
        <v>33903703</v>
      </c>
      <c r="C10" s="749" t="s">
        <v>1192</v>
      </c>
      <c r="D10" s="750">
        <v>238520.04</v>
      </c>
      <c r="E10" s="750">
        <v>0</v>
      </c>
      <c r="F10" s="750">
        <v>136982.87</v>
      </c>
      <c r="G10" s="750">
        <v>270760.42</v>
      </c>
      <c r="H10" s="750">
        <v>32240.38</v>
      </c>
      <c r="I10" s="750">
        <v>186456.7</v>
      </c>
      <c r="J10" s="750">
        <v>151500.4</v>
      </c>
      <c r="K10" s="750">
        <v>298083.94</v>
      </c>
      <c r="L10" s="750">
        <v>119260.02</v>
      </c>
      <c r="M10" s="750">
        <v>156972.51</v>
      </c>
      <c r="N10" s="750">
        <v>153141.04</v>
      </c>
      <c r="O10" s="751">
        <v>33881.019999999997</v>
      </c>
      <c r="P10" s="752">
        <f t="shared" ref="P10:P12" si="0">SUM(D10+E10+F10+G10+H10+I10+J10+K10+L10+M10+N10+O10)</f>
        <v>1777799.3400000003</v>
      </c>
      <c r="Q10" t="s">
        <v>1193</v>
      </c>
    </row>
    <row r="11" spans="2:30" ht="22.5" x14ac:dyDescent="0.25">
      <c r="B11" s="388">
        <v>33903978</v>
      </c>
      <c r="C11" s="388" t="s">
        <v>1191</v>
      </c>
      <c r="D11" s="717">
        <v>4936.26</v>
      </c>
      <c r="E11" s="486">
        <v>3853.63</v>
      </c>
      <c r="F11" s="486">
        <v>3358.63</v>
      </c>
      <c r="G11" s="486">
        <v>0</v>
      </c>
      <c r="H11" s="486">
        <v>18429.8</v>
      </c>
      <c r="I11" s="486">
        <v>3358.63</v>
      </c>
      <c r="J11" s="486">
        <v>4548.1499999999996</v>
      </c>
      <c r="K11" s="486">
        <v>8897.26</v>
      </c>
      <c r="L11" s="486">
        <v>5158.63</v>
      </c>
      <c r="M11" s="486">
        <v>5608.63</v>
      </c>
      <c r="N11" s="486">
        <v>0</v>
      </c>
      <c r="O11" s="486">
        <v>5158.63</v>
      </c>
      <c r="P11" s="541">
        <f t="shared" si="0"/>
        <v>63308.249999999993</v>
      </c>
      <c r="S11" s="4"/>
      <c r="T11" s="4"/>
      <c r="U11" s="4"/>
      <c r="W11" s="4"/>
      <c r="X11" s="4"/>
      <c r="Y11" s="4"/>
      <c r="Z11" s="4"/>
      <c r="AA11" s="4"/>
      <c r="AB11" s="4"/>
      <c r="AD11" s="4"/>
    </row>
    <row r="12" spans="2:30" ht="45" x14ac:dyDescent="0.25">
      <c r="B12" s="391">
        <v>33903983</v>
      </c>
      <c r="C12" s="391" t="s">
        <v>1194</v>
      </c>
      <c r="D12" s="485"/>
      <c r="E12" s="613"/>
      <c r="F12" s="613"/>
      <c r="G12" s="613"/>
      <c r="H12" s="613"/>
      <c r="I12" s="613"/>
      <c r="J12" s="613">
        <v>70</v>
      </c>
      <c r="K12" s="613">
        <v>0</v>
      </c>
      <c r="L12" s="613">
        <v>0</v>
      </c>
      <c r="M12" s="613">
        <v>0</v>
      </c>
      <c r="N12" s="613">
        <v>0</v>
      </c>
      <c r="O12" s="486">
        <v>0</v>
      </c>
      <c r="P12" s="541">
        <f t="shared" si="0"/>
        <v>70</v>
      </c>
    </row>
    <row r="13" spans="2:30" ht="18.75" x14ac:dyDescent="0.3">
      <c r="B13" s="551"/>
      <c r="C13" s="552"/>
      <c r="D13" s="552"/>
      <c r="E13" s="552"/>
      <c r="F13" s="552"/>
      <c r="G13" s="552"/>
      <c r="H13" s="552"/>
      <c r="I13" s="552"/>
      <c r="J13" s="553" t="s">
        <v>192</v>
      </c>
      <c r="K13" s="552"/>
      <c r="L13" s="552"/>
      <c r="M13" s="552"/>
      <c r="N13" s="552"/>
      <c r="O13" s="552"/>
      <c r="P13" s="554">
        <f>SUM(P9:P12)</f>
        <v>3463039.89</v>
      </c>
    </row>
    <row r="14" spans="2:30" ht="15.75" thickBot="1" x14ac:dyDescent="0.3">
      <c r="B14" s="224"/>
      <c r="C14" s="224"/>
      <c r="D14" s="224"/>
      <c r="E14" s="224"/>
      <c r="F14" s="224"/>
      <c r="G14" s="224"/>
      <c r="H14" s="224"/>
      <c r="I14" s="224"/>
      <c r="J14" s="224"/>
      <c r="K14" s="224"/>
      <c r="L14" s="224"/>
      <c r="M14" s="224"/>
      <c r="N14" s="224"/>
      <c r="O14" s="224"/>
      <c r="P14" s="224"/>
    </row>
    <row r="15" spans="2:30" ht="33.75" x14ac:dyDescent="0.25">
      <c r="B15" s="545" t="s">
        <v>1178</v>
      </c>
      <c r="C15" s="546"/>
      <c r="D15" s="542">
        <v>45292</v>
      </c>
      <c r="E15" s="542">
        <v>45323</v>
      </c>
      <c r="F15" s="542">
        <v>45352</v>
      </c>
      <c r="G15" s="542">
        <v>45383</v>
      </c>
      <c r="H15" s="542">
        <v>45413</v>
      </c>
      <c r="I15" s="542">
        <v>45444</v>
      </c>
      <c r="J15" s="542">
        <v>45474</v>
      </c>
      <c r="K15" s="542">
        <v>45505</v>
      </c>
      <c r="L15" s="542">
        <v>45536</v>
      </c>
      <c r="M15" s="542">
        <v>45566</v>
      </c>
      <c r="N15" s="542">
        <v>45597</v>
      </c>
      <c r="O15" s="542">
        <v>45627</v>
      </c>
      <c r="P15" s="1112" t="s">
        <v>96</v>
      </c>
    </row>
    <row r="16" spans="2:30" ht="35.25" thickBot="1" x14ac:dyDescent="0.3">
      <c r="B16" s="514" t="s">
        <v>1180</v>
      </c>
      <c r="C16" s="515" t="s">
        <v>1142</v>
      </c>
      <c r="D16" s="516" t="s">
        <v>1181</v>
      </c>
      <c r="E16" s="516" t="s">
        <v>1181</v>
      </c>
      <c r="F16" s="516" t="s">
        <v>1181</v>
      </c>
      <c r="G16" s="516" t="s">
        <v>1181</v>
      </c>
      <c r="H16" s="516" t="s">
        <v>1181</v>
      </c>
      <c r="I16" s="516" t="s">
        <v>1181</v>
      </c>
      <c r="J16" s="516" t="s">
        <v>1181</v>
      </c>
      <c r="K16" s="516" t="s">
        <v>1181</v>
      </c>
      <c r="L16" s="516" t="s">
        <v>1181</v>
      </c>
      <c r="M16" s="516" t="s">
        <v>1181</v>
      </c>
      <c r="N16" s="516" t="s">
        <v>1181</v>
      </c>
      <c r="O16" s="516" t="s">
        <v>1181</v>
      </c>
      <c r="P16" s="1113"/>
    </row>
    <row r="17" spans="2:17" ht="22.5" x14ac:dyDescent="0.25">
      <c r="B17" s="388">
        <v>33903016</v>
      </c>
      <c r="C17" s="388" t="s">
        <v>1195</v>
      </c>
      <c r="D17" s="613">
        <v>0</v>
      </c>
      <c r="E17" s="613">
        <v>568.20000000000005</v>
      </c>
      <c r="F17" s="613">
        <v>9096</v>
      </c>
      <c r="G17" s="613">
        <v>0</v>
      </c>
      <c r="H17" s="613">
        <v>1789.69</v>
      </c>
      <c r="I17" s="613">
        <v>2985.24</v>
      </c>
      <c r="J17" s="613">
        <v>673.77</v>
      </c>
      <c r="K17" s="613">
        <v>9963.85</v>
      </c>
      <c r="L17" s="613">
        <v>3618.33</v>
      </c>
      <c r="M17" s="613">
        <v>4109.5600000000004</v>
      </c>
      <c r="N17" s="613">
        <v>2208.4699999999998</v>
      </c>
      <c r="O17" s="613">
        <v>511.2</v>
      </c>
      <c r="P17" s="555">
        <f t="shared" ref="P17" si="1">SUM(D17+E17+F17+G17+H17+I17+J17+K17+L17+M17+N17+O17)</f>
        <v>35524.31</v>
      </c>
    </row>
    <row r="18" spans="2:17" x14ac:dyDescent="0.25">
      <c r="B18" s="224"/>
      <c r="C18" s="224"/>
      <c r="D18" s="224"/>
      <c r="E18" s="224"/>
      <c r="F18" s="224"/>
      <c r="G18" s="224"/>
      <c r="H18" s="224"/>
      <c r="I18" s="224"/>
      <c r="J18" s="224"/>
      <c r="K18" s="224"/>
      <c r="L18" s="224"/>
      <c r="M18" s="224"/>
      <c r="N18" s="224"/>
      <c r="O18" s="224"/>
      <c r="P18" s="224"/>
    </row>
    <row r="19" spans="2:17" x14ac:dyDescent="0.25">
      <c r="B19" s="224"/>
      <c r="C19" s="224"/>
      <c r="D19" s="224"/>
      <c r="E19" s="224"/>
      <c r="F19" s="224"/>
      <c r="G19" s="224"/>
      <c r="H19" s="224"/>
      <c r="I19" s="224"/>
      <c r="J19" s="224"/>
      <c r="K19" s="224"/>
      <c r="L19" s="224"/>
      <c r="M19" s="224"/>
      <c r="N19" s="224"/>
      <c r="O19" s="224"/>
      <c r="P19" s="224"/>
    </row>
    <row r="20" spans="2:17" x14ac:dyDescent="0.25">
      <c r="B20" s="224"/>
      <c r="C20" s="224"/>
      <c r="D20" s="224"/>
      <c r="E20" s="224"/>
      <c r="F20" s="224"/>
      <c r="G20" s="224"/>
      <c r="H20" s="224"/>
      <c r="I20" s="224"/>
      <c r="J20" s="224"/>
      <c r="K20" s="224"/>
      <c r="L20" s="224"/>
      <c r="M20" s="224"/>
      <c r="N20" s="224"/>
      <c r="O20" s="224"/>
      <c r="P20" s="224"/>
    </row>
    <row r="21" spans="2:17" ht="15.75" thickBot="1" x14ac:dyDescent="0.3">
      <c r="B21" s="224"/>
      <c r="C21" s="224"/>
      <c r="D21" s="224"/>
      <c r="E21" s="224"/>
      <c r="F21" s="224"/>
      <c r="G21" s="224"/>
      <c r="H21" s="224"/>
      <c r="I21" s="224"/>
      <c r="J21" s="224"/>
      <c r="K21" s="224"/>
      <c r="L21" s="224"/>
      <c r="M21" s="224"/>
      <c r="N21" s="224"/>
      <c r="O21" s="224"/>
      <c r="P21" s="224"/>
    </row>
    <row r="22" spans="2:17" ht="33.75" x14ac:dyDescent="0.25">
      <c r="B22" s="545" t="s">
        <v>1178</v>
      </c>
      <c r="C22" s="546"/>
      <c r="D22" s="542">
        <v>45292</v>
      </c>
      <c r="E22" s="542">
        <v>45323</v>
      </c>
      <c r="F22" s="542">
        <v>45352</v>
      </c>
      <c r="G22" s="542">
        <v>45383</v>
      </c>
      <c r="H22" s="542">
        <v>45413</v>
      </c>
      <c r="I22" s="542">
        <v>45444</v>
      </c>
      <c r="J22" s="542">
        <v>45474</v>
      </c>
      <c r="K22" s="542">
        <v>45505</v>
      </c>
      <c r="L22" s="542">
        <v>45536</v>
      </c>
      <c r="M22" s="542">
        <v>45566</v>
      </c>
      <c r="N22" s="542">
        <v>45597</v>
      </c>
      <c r="O22" s="542">
        <v>45627</v>
      </c>
      <c r="P22" s="543" t="s">
        <v>1196</v>
      </c>
    </row>
    <row r="23" spans="2:17" ht="34.5" x14ac:dyDescent="0.25">
      <c r="B23" s="514" t="s">
        <v>1180</v>
      </c>
      <c r="C23" s="515" t="s">
        <v>1142</v>
      </c>
      <c r="D23" s="518" t="s">
        <v>1181</v>
      </c>
      <c r="E23" s="516" t="s">
        <v>1181</v>
      </c>
      <c r="F23" s="516" t="s">
        <v>1181</v>
      </c>
      <c r="G23" s="516" t="s">
        <v>1181</v>
      </c>
      <c r="H23" s="516" t="s">
        <v>1181</v>
      </c>
      <c r="I23" s="516" t="s">
        <v>1181</v>
      </c>
      <c r="J23" s="516" t="s">
        <v>1181</v>
      </c>
      <c r="K23" s="516" t="s">
        <v>1181</v>
      </c>
      <c r="L23" s="516" t="s">
        <v>1181</v>
      </c>
      <c r="M23" s="516" t="s">
        <v>1181</v>
      </c>
      <c r="N23" s="516" t="s">
        <v>1181</v>
      </c>
      <c r="O23" s="516" t="s">
        <v>1181</v>
      </c>
      <c r="P23" s="544"/>
    </row>
    <row r="24" spans="2:17" ht="33.75" x14ac:dyDescent="0.25">
      <c r="B24" s="391">
        <v>33903943</v>
      </c>
      <c r="C24" s="392" t="s">
        <v>1197</v>
      </c>
      <c r="D24" s="613">
        <v>117218.61</v>
      </c>
      <c r="E24" s="613">
        <v>117431.74</v>
      </c>
      <c r="F24" s="613">
        <v>117141.25</v>
      </c>
      <c r="G24" s="750">
        <v>356.85</v>
      </c>
      <c r="H24" s="613">
        <v>222077.25</v>
      </c>
      <c r="I24" s="613">
        <v>7008.55</v>
      </c>
      <c r="J24" s="613">
        <v>234447.41</v>
      </c>
      <c r="K24" s="613">
        <v>99559.01</v>
      </c>
      <c r="L24" s="613">
        <v>107241.4</v>
      </c>
      <c r="M24" s="613">
        <v>106845.09</v>
      </c>
      <c r="N24" s="613">
        <v>131662.37</v>
      </c>
      <c r="O24" s="613">
        <v>2457.16</v>
      </c>
      <c r="P24" s="513">
        <f>SUM(E24:O24)</f>
        <v>1146228.0799999998</v>
      </c>
      <c r="Q24" s="556" t="s">
        <v>1198</v>
      </c>
    </row>
    <row r="25" spans="2:17" ht="22.5" x14ac:dyDescent="0.25">
      <c r="B25" s="391">
        <v>33903944</v>
      </c>
      <c r="C25" s="392" t="s">
        <v>1199</v>
      </c>
      <c r="D25" s="613">
        <v>19899.5</v>
      </c>
      <c r="E25" s="613">
        <v>18333.46</v>
      </c>
      <c r="F25" s="613">
        <v>17833.66</v>
      </c>
      <c r="G25" s="612">
        <v>16334.26</v>
      </c>
      <c r="H25" s="613">
        <v>0</v>
      </c>
      <c r="I25" s="613">
        <v>60211.8</v>
      </c>
      <c r="J25" s="613">
        <v>19746.36</v>
      </c>
      <c r="K25" s="613">
        <v>21906.94</v>
      </c>
      <c r="L25" s="613">
        <v>28095.72</v>
      </c>
      <c r="M25" s="613">
        <v>28535.16</v>
      </c>
      <c r="N25" s="613">
        <v>27363.32</v>
      </c>
      <c r="O25" s="613">
        <v>20259.04</v>
      </c>
      <c r="P25" s="513">
        <f>SUM(E25:O25)</f>
        <v>258619.72</v>
      </c>
    </row>
    <row r="26" spans="2:17" x14ac:dyDescent="0.25">
      <c r="B26" s="551"/>
      <c r="C26" s="552"/>
      <c r="D26" s="552"/>
      <c r="E26" s="552"/>
      <c r="F26" s="552"/>
      <c r="G26" s="552"/>
      <c r="H26" s="552"/>
      <c r="I26" s="552"/>
      <c r="J26" s="552"/>
      <c r="K26" s="552"/>
      <c r="L26" s="558" t="s">
        <v>192</v>
      </c>
      <c r="M26" s="552"/>
      <c r="N26" s="552"/>
      <c r="O26" s="552"/>
      <c r="P26" s="554">
        <f>SUM(P24:P25)</f>
        <v>1404847.7999999998</v>
      </c>
    </row>
    <row r="27" spans="2:17" x14ac:dyDescent="0.25">
      <c r="B27" s="224"/>
      <c r="C27" s="224"/>
      <c r="D27" s="224"/>
      <c r="E27" s="224"/>
      <c r="F27" s="224"/>
      <c r="G27" s="224"/>
      <c r="H27" s="224"/>
      <c r="I27" s="224"/>
      <c r="J27" s="224"/>
      <c r="K27" s="224"/>
      <c r="L27" s="224"/>
      <c r="M27" s="224"/>
      <c r="N27" s="224"/>
      <c r="O27" s="224"/>
      <c r="P27" s="224"/>
    </row>
    <row r="28" spans="2:17" ht="15.75" thickBot="1" x14ac:dyDescent="0.3">
      <c r="B28" s="224"/>
      <c r="C28" s="224"/>
      <c r="D28" s="224"/>
      <c r="E28" s="224"/>
      <c r="F28" s="224"/>
      <c r="G28" s="224"/>
      <c r="H28" s="224"/>
      <c r="I28" s="224"/>
      <c r="J28" s="224"/>
      <c r="K28" s="224"/>
      <c r="L28" s="224"/>
      <c r="M28" s="224"/>
      <c r="N28" s="224"/>
      <c r="O28" s="224"/>
      <c r="P28" s="224"/>
    </row>
    <row r="29" spans="2:17" x14ac:dyDescent="0.25">
      <c r="B29" s="1110" t="s">
        <v>1178</v>
      </c>
      <c r="C29" s="1111"/>
      <c r="D29" s="542">
        <v>45292</v>
      </c>
      <c r="E29" s="542">
        <v>45323</v>
      </c>
      <c r="F29" s="542">
        <v>45352</v>
      </c>
      <c r="G29" s="542">
        <v>45383</v>
      </c>
      <c r="H29" s="542">
        <v>45413</v>
      </c>
      <c r="I29" s="542">
        <v>45444</v>
      </c>
      <c r="J29" s="542">
        <v>45474</v>
      </c>
      <c r="K29" s="542">
        <v>45505</v>
      </c>
      <c r="L29" s="542">
        <v>45536</v>
      </c>
      <c r="M29" s="542">
        <v>45566</v>
      </c>
      <c r="N29" s="542">
        <v>45597</v>
      </c>
      <c r="O29" s="542">
        <v>45627</v>
      </c>
      <c r="P29" s="1112" t="s">
        <v>1196</v>
      </c>
    </row>
    <row r="30" spans="2:17" ht="34.5" x14ac:dyDescent="0.25">
      <c r="B30" s="514" t="s">
        <v>1180</v>
      </c>
      <c r="C30" s="515" t="s">
        <v>1142</v>
      </c>
      <c r="D30" s="518" t="s">
        <v>1181</v>
      </c>
      <c r="E30" s="518" t="s">
        <v>1181</v>
      </c>
      <c r="F30" s="518" t="s">
        <v>1181</v>
      </c>
      <c r="G30" s="518" t="s">
        <v>1181</v>
      </c>
      <c r="H30" s="518" t="s">
        <v>1181</v>
      </c>
      <c r="I30" s="518" t="s">
        <v>1181</v>
      </c>
      <c r="J30" s="518" t="s">
        <v>1181</v>
      </c>
      <c r="K30" s="518" t="s">
        <v>1181</v>
      </c>
      <c r="L30" s="518" t="s">
        <v>1181</v>
      </c>
      <c r="M30" s="518" t="s">
        <v>1181</v>
      </c>
      <c r="N30" s="518" t="s">
        <v>1181</v>
      </c>
      <c r="O30" s="518" t="s">
        <v>1181</v>
      </c>
      <c r="P30" s="1113"/>
    </row>
    <row r="31" spans="2:17" ht="33.75" x14ac:dyDescent="0.25">
      <c r="B31" s="388">
        <v>33903947</v>
      </c>
      <c r="C31" s="388" t="s">
        <v>1200</v>
      </c>
      <c r="D31" s="613">
        <v>2147.19</v>
      </c>
      <c r="E31" s="613">
        <v>1561.89</v>
      </c>
      <c r="F31" s="613">
        <v>2394.61</v>
      </c>
      <c r="G31" s="613">
        <v>1624.24</v>
      </c>
      <c r="H31" s="613">
        <v>2191.67</v>
      </c>
      <c r="I31" s="613">
        <v>2926.51</v>
      </c>
      <c r="J31" s="613">
        <v>2137.4299999999998</v>
      </c>
      <c r="K31" s="613">
        <v>2551.02</v>
      </c>
      <c r="L31" s="613">
        <v>2902.85</v>
      </c>
      <c r="M31" s="613">
        <v>3094.33</v>
      </c>
      <c r="N31" s="613">
        <v>5269.79</v>
      </c>
      <c r="O31" s="613">
        <v>448.79</v>
      </c>
      <c r="P31" s="513">
        <f>SUM(D31:O31)</f>
        <v>29250.32</v>
      </c>
    </row>
    <row r="32" spans="2:17" ht="33.75" x14ac:dyDescent="0.25">
      <c r="B32" s="391">
        <v>33903958</v>
      </c>
      <c r="C32" s="391" t="s">
        <v>1201</v>
      </c>
      <c r="D32" s="613">
        <v>9723.81</v>
      </c>
      <c r="E32" s="613">
        <v>8473.69</v>
      </c>
      <c r="F32" s="613">
        <v>8641.48</v>
      </c>
      <c r="G32" s="613">
        <v>8271.98</v>
      </c>
      <c r="H32" s="613">
        <v>8639.01</v>
      </c>
      <c r="I32" s="613">
        <v>3073.66</v>
      </c>
      <c r="J32" s="613">
        <v>15550.56</v>
      </c>
      <c r="K32" s="613">
        <v>9034.06</v>
      </c>
      <c r="L32" s="613">
        <v>9594.98</v>
      </c>
      <c r="M32" s="613">
        <v>6350.98</v>
      </c>
      <c r="N32" s="613">
        <v>6587.07</v>
      </c>
      <c r="O32" s="613">
        <v>0</v>
      </c>
      <c r="P32" s="513">
        <f>SUM(D32:O32)</f>
        <v>93941.28</v>
      </c>
    </row>
    <row r="33" spans="2:16" x14ac:dyDescent="0.25">
      <c r="B33" s="547"/>
      <c r="C33" s="559"/>
      <c r="D33" s="552"/>
      <c r="E33" s="552"/>
      <c r="F33" s="552"/>
      <c r="G33" s="552"/>
      <c r="H33" s="552"/>
      <c r="I33" s="558" t="s">
        <v>192</v>
      </c>
      <c r="J33" s="552"/>
      <c r="K33" s="552"/>
      <c r="L33" s="552"/>
      <c r="M33" s="552"/>
      <c r="N33" s="552"/>
      <c r="O33" s="552"/>
      <c r="P33" s="554">
        <f>SUM(P31:P32)</f>
        <v>123191.6</v>
      </c>
    </row>
    <row r="34" spans="2:16" x14ac:dyDescent="0.25">
      <c r="B34" s="224"/>
      <c r="C34" s="224"/>
      <c r="D34" s="224"/>
      <c r="E34" s="224"/>
      <c r="F34" s="224"/>
      <c r="G34" s="224"/>
      <c r="H34" s="224"/>
      <c r="I34" s="224"/>
      <c r="J34" s="224"/>
      <c r="K34" s="224"/>
      <c r="L34" s="224"/>
      <c r="M34" s="224"/>
      <c r="N34" s="224"/>
      <c r="O34" s="224"/>
      <c r="P34" s="224"/>
    </row>
    <row r="35" spans="2:16" ht="15.75" thickBot="1" x14ac:dyDescent="0.3">
      <c r="B35" s="224"/>
      <c r="C35" s="224"/>
      <c r="D35" s="224"/>
      <c r="E35" s="224"/>
      <c r="F35" s="224"/>
      <c r="G35" s="224"/>
      <c r="H35" s="224"/>
      <c r="I35" s="224"/>
      <c r="J35" s="224"/>
      <c r="K35" s="224"/>
      <c r="L35" s="224"/>
      <c r="M35" s="224"/>
      <c r="N35" s="224"/>
      <c r="O35" s="224"/>
      <c r="P35" s="224"/>
    </row>
    <row r="36" spans="2:16" x14ac:dyDescent="0.25">
      <c r="B36" s="1110" t="s">
        <v>1178</v>
      </c>
      <c r="C36" s="1111"/>
      <c r="D36" s="542">
        <v>45292</v>
      </c>
      <c r="E36" s="542">
        <v>45323</v>
      </c>
      <c r="F36" s="542">
        <v>45352</v>
      </c>
      <c r="G36" s="542">
        <v>45383</v>
      </c>
      <c r="H36" s="542">
        <v>45413</v>
      </c>
      <c r="I36" s="542">
        <v>45444</v>
      </c>
      <c r="J36" s="542">
        <v>45474</v>
      </c>
      <c r="K36" s="542">
        <v>45505</v>
      </c>
      <c r="L36" s="542">
        <v>45536</v>
      </c>
      <c r="M36" s="542">
        <v>45566</v>
      </c>
      <c r="N36" s="542">
        <v>45597</v>
      </c>
      <c r="O36" s="542">
        <v>45627</v>
      </c>
      <c r="P36" s="1112" t="s">
        <v>1196</v>
      </c>
    </row>
    <row r="37" spans="2:16" ht="34.5" x14ac:dyDescent="0.25">
      <c r="B37" s="519" t="s">
        <v>1180</v>
      </c>
      <c r="C37" s="520" t="s">
        <v>1142</v>
      </c>
      <c r="D37" s="518" t="s">
        <v>1181</v>
      </c>
      <c r="E37" s="518" t="s">
        <v>1181</v>
      </c>
      <c r="F37" s="518" t="s">
        <v>1181</v>
      </c>
      <c r="G37" s="518" t="s">
        <v>1181</v>
      </c>
      <c r="H37" s="518" t="s">
        <v>1181</v>
      </c>
      <c r="I37" s="518" t="s">
        <v>1181</v>
      </c>
      <c r="J37" s="518" t="s">
        <v>1181</v>
      </c>
      <c r="K37" s="518" t="s">
        <v>1181</v>
      </c>
      <c r="L37" s="518" t="s">
        <v>1181</v>
      </c>
      <c r="M37" s="518" t="s">
        <v>1181</v>
      </c>
      <c r="N37" s="518" t="s">
        <v>1181</v>
      </c>
      <c r="O37" s="518" t="s">
        <v>1181</v>
      </c>
      <c r="P37" s="1113"/>
    </row>
    <row r="38" spans="2:16" ht="33.75" x14ac:dyDescent="0.25">
      <c r="B38" s="388">
        <v>33904011</v>
      </c>
      <c r="C38" s="388" t="s">
        <v>1202</v>
      </c>
      <c r="D38" s="613">
        <v>51865.9</v>
      </c>
      <c r="E38" s="613">
        <v>192456.83</v>
      </c>
      <c r="F38" s="613">
        <v>191242.15</v>
      </c>
      <c r="G38" s="613">
        <v>191242.15</v>
      </c>
      <c r="H38" s="613">
        <v>205751.73</v>
      </c>
      <c r="I38" s="613">
        <v>198554.65</v>
      </c>
      <c r="J38" s="613">
        <v>214014.15</v>
      </c>
      <c r="K38" s="613">
        <v>394073.47</v>
      </c>
      <c r="L38" s="613">
        <v>30367.15</v>
      </c>
      <c r="M38" s="613">
        <v>55212.4</v>
      </c>
      <c r="N38" s="613">
        <v>411675.2</v>
      </c>
      <c r="O38" s="613">
        <v>23592.959999999999</v>
      </c>
      <c r="P38" s="513">
        <f>SUM(D38:O38)</f>
        <v>2160048.7399999998</v>
      </c>
    </row>
    <row r="39" spans="2:16" ht="56.25" x14ac:dyDescent="0.25">
      <c r="B39" s="388" t="s">
        <v>1203</v>
      </c>
      <c r="C39" s="611" t="s">
        <v>1204</v>
      </c>
      <c r="D39" s="486">
        <v>199100.08</v>
      </c>
      <c r="E39" s="486">
        <v>855890.56</v>
      </c>
      <c r="F39" s="613">
        <v>82055.91</v>
      </c>
      <c r="G39" s="613">
        <v>234508.21</v>
      </c>
      <c r="H39" s="613">
        <v>10282.700000000001</v>
      </c>
      <c r="I39" s="613">
        <v>162997.85999999999</v>
      </c>
      <c r="J39" s="613">
        <v>246034.62</v>
      </c>
      <c r="K39" s="613">
        <v>9374.31</v>
      </c>
      <c r="L39" s="613">
        <v>168654.27</v>
      </c>
      <c r="M39" s="613">
        <v>9374.31</v>
      </c>
      <c r="N39" s="613">
        <v>17707.64</v>
      </c>
      <c r="O39" s="613">
        <v>80106.789999999994</v>
      </c>
      <c r="P39" s="513">
        <f t="shared" ref="P39:P41" si="2">SUM(D39:O39)</f>
        <v>2076087.26</v>
      </c>
    </row>
    <row r="40" spans="2:16" ht="22.5" x14ac:dyDescent="0.25">
      <c r="B40" s="388" t="s">
        <v>1205</v>
      </c>
      <c r="C40" s="388" t="s">
        <v>1206</v>
      </c>
      <c r="D40" s="560">
        <v>0</v>
      </c>
      <c r="E40" s="389">
        <v>153712.98000000001</v>
      </c>
      <c r="F40" s="389">
        <v>116594.72</v>
      </c>
      <c r="G40" s="389">
        <v>135153.85</v>
      </c>
      <c r="H40" s="389">
        <v>138093.38</v>
      </c>
      <c r="I40" s="486">
        <v>138702.75</v>
      </c>
      <c r="J40" s="486">
        <v>136846.82999999999</v>
      </c>
      <c r="K40" s="486">
        <v>305092.42</v>
      </c>
      <c r="L40" s="486">
        <v>0</v>
      </c>
      <c r="M40" s="389">
        <v>0</v>
      </c>
      <c r="N40" s="389">
        <v>141642.38</v>
      </c>
      <c r="O40" s="613">
        <v>0</v>
      </c>
      <c r="P40" s="513">
        <f t="shared" si="2"/>
        <v>1265839.31</v>
      </c>
    </row>
    <row r="41" spans="2:16" ht="56.25" x14ac:dyDescent="0.25">
      <c r="B41" s="561" t="s">
        <v>1207</v>
      </c>
      <c r="C41" s="561" t="s">
        <v>1208</v>
      </c>
      <c r="D41" s="718">
        <v>3875</v>
      </c>
      <c r="E41" s="718">
        <v>0</v>
      </c>
      <c r="F41" s="613">
        <v>27321.85</v>
      </c>
      <c r="G41" s="613">
        <v>0</v>
      </c>
      <c r="H41" s="612">
        <v>0</v>
      </c>
      <c r="I41" s="613">
        <v>0</v>
      </c>
      <c r="J41" s="613">
        <v>0</v>
      </c>
      <c r="K41" s="613">
        <v>0</v>
      </c>
      <c r="L41" s="613">
        <v>0</v>
      </c>
      <c r="M41" s="613">
        <v>0</v>
      </c>
      <c r="N41" s="613">
        <v>0</v>
      </c>
      <c r="O41" s="613">
        <v>0</v>
      </c>
      <c r="P41" s="513">
        <f t="shared" si="2"/>
        <v>31196.85</v>
      </c>
    </row>
    <row r="42" spans="2:16" x14ac:dyDescent="0.25">
      <c r="B42" s="551"/>
      <c r="C42" s="552"/>
      <c r="D42" s="552"/>
      <c r="E42" s="552"/>
      <c r="F42" s="552"/>
      <c r="G42" s="552"/>
      <c r="H42" s="552"/>
      <c r="I42" s="552"/>
      <c r="J42" s="558" t="s">
        <v>192</v>
      </c>
      <c r="K42" s="552"/>
      <c r="L42" s="552"/>
      <c r="M42" s="552"/>
      <c r="N42" s="552"/>
      <c r="O42" s="552"/>
      <c r="P42" s="562">
        <f>SUM(P38:P41)</f>
        <v>5533172.1600000001</v>
      </c>
    </row>
    <row r="43" spans="2:16" x14ac:dyDescent="0.25">
      <c r="B43" s="224"/>
      <c r="C43" s="224"/>
      <c r="D43" s="224"/>
      <c r="E43" s="224"/>
      <c r="F43" s="224"/>
      <c r="G43" s="224"/>
      <c r="H43" s="224"/>
      <c r="I43" s="224"/>
      <c r="J43" s="224"/>
      <c r="K43" s="224"/>
      <c r="L43" s="224"/>
      <c r="M43" s="224"/>
      <c r="N43" s="224"/>
      <c r="O43" s="224"/>
      <c r="P43" s="224"/>
    </row>
    <row r="44" spans="2:16" ht="15.75" thickBot="1" x14ac:dyDescent="0.3">
      <c r="B44" s="224"/>
      <c r="C44" s="224"/>
      <c r="D44" s="224"/>
      <c r="E44" s="224"/>
      <c r="F44" s="224"/>
      <c r="G44" s="224"/>
      <c r="H44" s="224"/>
      <c r="I44" s="224"/>
      <c r="J44" s="224"/>
      <c r="K44" s="224"/>
      <c r="L44" s="224"/>
      <c r="M44" s="224"/>
      <c r="N44" s="224"/>
      <c r="O44" s="224"/>
      <c r="P44" s="224"/>
    </row>
    <row r="45" spans="2:16" x14ac:dyDescent="0.25">
      <c r="B45" s="1110" t="s">
        <v>1178</v>
      </c>
      <c r="C45" s="1111"/>
      <c r="D45" s="542">
        <v>45292</v>
      </c>
      <c r="E45" s="542">
        <v>45323</v>
      </c>
      <c r="F45" s="542">
        <v>45352</v>
      </c>
      <c r="G45" s="542">
        <v>45383</v>
      </c>
      <c r="H45" s="542">
        <v>45413</v>
      </c>
      <c r="I45" s="542">
        <v>45444</v>
      </c>
      <c r="J45" s="542">
        <v>45474</v>
      </c>
      <c r="K45" s="542">
        <v>45505</v>
      </c>
      <c r="L45" s="542">
        <v>45536</v>
      </c>
      <c r="M45" s="542">
        <v>45566</v>
      </c>
      <c r="N45" s="542">
        <v>45597</v>
      </c>
      <c r="O45" s="542">
        <v>45627</v>
      </c>
      <c r="P45" s="1112" t="s">
        <v>96</v>
      </c>
    </row>
    <row r="46" spans="2:16" ht="34.5" x14ac:dyDescent="0.25">
      <c r="B46" s="514" t="s">
        <v>1180</v>
      </c>
      <c r="C46" s="515" t="s">
        <v>1142</v>
      </c>
      <c r="D46" s="516" t="s">
        <v>1181</v>
      </c>
      <c r="E46" s="517" t="s">
        <v>1181</v>
      </c>
      <c r="F46" s="517" t="s">
        <v>1181</v>
      </c>
      <c r="G46" s="517" t="s">
        <v>1181</v>
      </c>
      <c r="H46" s="517" t="s">
        <v>1181</v>
      </c>
      <c r="I46" s="517" t="s">
        <v>1181</v>
      </c>
      <c r="J46" s="516" t="s">
        <v>1181</v>
      </c>
      <c r="K46" s="516" t="s">
        <v>1181</v>
      </c>
      <c r="L46" s="516" t="s">
        <v>1181</v>
      </c>
      <c r="M46" s="516" t="s">
        <v>1181</v>
      </c>
      <c r="N46" s="516" t="s">
        <v>1181</v>
      </c>
      <c r="O46" s="516" t="s">
        <v>1181</v>
      </c>
      <c r="P46" s="1113"/>
    </row>
    <row r="47" spans="2:16" ht="33.75" x14ac:dyDescent="0.25">
      <c r="B47" s="388">
        <v>33903001</v>
      </c>
      <c r="C47" s="388" t="s">
        <v>1209</v>
      </c>
      <c r="D47" s="557">
        <v>0</v>
      </c>
      <c r="E47" s="613">
        <v>3456.31</v>
      </c>
      <c r="F47" s="613">
        <v>20000</v>
      </c>
      <c r="G47" s="613">
        <v>14842.45</v>
      </c>
      <c r="H47" s="613">
        <v>27745.63</v>
      </c>
      <c r="I47" s="613">
        <v>7540.76</v>
      </c>
      <c r="J47" s="613">
        <v>5645.78</v>
      </c>
      <c r="K47" s="613">
        <v>34428.75</v>
      </c>
      <c r="L47" s="613">
        <v>17803.830000000002</v>
      </c>
      <c r="M47" s="613">
        <v>27980.6</v>
      </c>
      <c r="N47" s="613">
        <v>21886.34</v>
      </c>
      <c r="O47" s="613">
        <v>11143.55</v>
      </c>
      <c r="P47" s="513">
        <f t="shared" ref="P47:P50" si="3">SUM(D47:O47)</f>
        <v>192474</v>
      </c>
    </row>
    <row r="48" spans="2:16" ht="33.75" x14ac:dyDescent="0.25">
      <c r="B48" s="388" t="s">
        <v>1210</v>
      </c>
      <c r="C48" s="388" t="s">
        <v>1211</v>
      </c>
      <c r="D48" s="560">
        <v>0</v>
      </c>
      <c r="E48" s="390">
        <v>0</v>
      </c>
      <c r="F48" s="613">
        <v>0</v>
      </c>
      <c r="G48" s="613">
        <v>0</v>
      </c>
      <c r="H48" s="613">
        <v>864</v>
      </c>
      <c r="I48" s="613">
        <v>239.9</v>
      </c>
      <c r="J48" s="486">
        <v>0</v>
      </c>
      <c r="K48" s="486">
        <v>638.73</v>
      </c>
      <c r="L48" s="486">
        <v>0</v>
      </c>
      <c r="M48" s="613">
        <v>0</v>
      </c>
      <c r="N48" s="613">
        <v>0</v>
      </c>
      <c r="O48" s="613">
        <v>219</v>
      </c>
      <c r="P48" s="513">
        <f t="shared" si="3"/>
        <v>1961.63</v>
      </c>
    </row>
    <row r="49" spans="2:18" ht="33.75" x14ac:dyDescent="0.25">
      <c r="B49" s="388" t="s">
        <v>1212</v>
      </c>
      <c r="C49" s="388" t="s">
        <v>1213</v>
      </c>
      <c r="D49" s="718">
        <v>24298.86</v>
      </c>
      <c r="E49" s="718">
        <v>0</v>
      </c>
      <c r="F49" s="613">
        <v>3255.98</v>
      </c>
      <c r="G49" s="613">
        <v>14950.32</v>
      </c>
      <c r="H49" s="612">
        <v>5952</v>
      </c>
      <c r="I49" s="613">
        <v>29257.16</v>
      </c>
      <c r="J49" s="613">
        <v>0</v>
      </c>
      <c r="K49" s="613">
        <v>2630.08</v>
      </c>
      <c r="L49" s="613">
        <v>4959.13</v>
      </c>
      <c r="M49" s="613">
        <v>17094.990000000002</v>
      </c>
      <c r="N49" s="613">
        <v>21442.71</v>
      </c>
      <c r="O49" s="613">
        <v>46966.81</v>
      </c>
      <c r="P49" s="513">
        <f t="shared" si="3"/>
        <v>170808.04</v>
      </c>
    </row>
    <row r="50" spans="2:18" ht="57" customHeight="1" x14ac:dyDescent="0.25">
      <c r="B50" s="388" t="s">
        <v>1214</v>
      </c>
      <c r="C50" s="388" t="s">
        <v>1215</v>
      </c>
      <c r="D50" s="557">
        <v>0</v>
      </c>
      <c r="E50" s="557">
        <v>14958.5</v>
      </c>
      <c r="F50" s="557">
        <v>0</v>
      </c>
      <c r="G50" s="557">
        <v>0</v>
      </c>
      <c r="H50" s="557">
        <v>0</v>
      </c>
      <c r="I50" s="557">
        <v>0</v>
      </c>
      <c r="J50" s="557">
        <v>0</v>
      </c>
      <c r="K50" s="557">
        <v>0</v>
      </c>
      <c r="L50" s="557">
        <v>0</v>
      </c>
      <c r="M50" s="557">
        <v>0</v>
      </c>
      <c r="N50" s="557">
        <v>0</v>
      </c>
      <c r="O50" s="613">
        <v>0</v>
      </c>
      <c r="P50" s="513">
        <f t="shared" si="3"/>
        <v>14958.5</v>
      </c>
      <c r="Q50" s="678" t="s">
        <v>1216</v>
      </c>
    </row>
    <row r="51" spans="2:18" ht="56.25" x14ac:dyDescent="0.25">
      <c r="B51" s="391" t="s">
        <v>1214</v>
      </c>
      <c r="C51" s="391" t="s">
        <v>1215</v>
      </c>
      <c r="D51" s="557">
        <v>2278.8200000000002</v>
      </c>
      <c r="E51" s="557">
        <v>0</v>
      </c>
      <c r="F51" s="557">
        <v>0</v>
      </c>
      <c r="G51" s="557">
        <v>0</v>
      </c>
      <c r="H51" s="557">
        <v>0</v>
      </c>
      <c r="I51" s="557">
        <v>0</v>
      </c>
      <c r="J51" s="557">
        <v>0</v>
      </c>
      <c r="K51" s="557">
        <v>0</v>
      </c>
      <c r="L51" s="557">
        <v>0</v>
      </c>
      <c r="M51" s="557">
        <v>0</v>
      </c>
      <c r="N51" s="557">
        <v>0</v>
      </c>
      <c r="O51" s="613">
        <v>0</v>
      </c>
      <c r="P51" s="513">
        <v>2043.32</v>
      </c>
      <c r="Q51" s="678" t="s">
        <v>1216</v>
      </c>
      <c r="R51" s="678" t="s">
        <v>1217</v>
      </c>
    </row>
    <row r="52" spans="2:18" x14ac:dyDescent="0.25">
      <c r="B52" s="547"/>
      <c r="C52" s="559"/>
      <c r="D52" s="559"/>
      <c r="E52" s="559"/>
      <c r="F52" s="559"/>
      <c r="G52" s="559"/>
      <c r="H52" s="559"/>
      <c r="I52" s="492" t="s">
        <v>192</v>
      </c>
      <c r="J52" s="559"/>
      <c r="K52" s="559"/>
      <c r="L52" s="559"/>
      <c r="M52" s="559"/>
      <c r="N52" s="559"/>
      <c r="O52" s="559"/>
      <c r="P52" s="563">
        <f>SUM(P47:P51)</f>
        <v>382245.49000000005</v>
      </c>
    </row>
    <row r="53" spans="2:18" ht="123.75" x14ac:dyDescent="0.25">
      <c r="C53" s="687" t="s">
        <v>1218</v>
      </c>
    </row>
    <row r="54" spans="2:18" ht="15.75" thickBot="1" x14ac:dyDescent="0.3"/>
    <row r="55" spans="2:18" ht="15.75" thickBot="1" x14ac:dyDescent="0.3">
      <c r="O55" s="485"/>
    </row>
  </sheetData>
  <mergeCells count="9">
    <mergeCell ref="B45:C45"/>
    <mergeCell ref="P45:P46"/>
    <mergeCell ref="B7:C7"/>
    <mergeCell ref="P7:P8"/>
    <mergeCell ref="B29:C29"/>
    <mergeCell ref="P29:P30"/>
    <mergeCell ref="B36:C36"/>
    <mergeCell ref="P36:P37"/>
    <mergeCell ref="P15:P16"/>
  </mergeCells>
  <pageMargins left="0.511811024" right="0.511811024" top="0.78740157499999996" bottom="0.78740157499999996" header="0.31496062000000002" footer="0.31496062000000002"/>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D8"/>
  <sheetViews>
    <sheetView workbookViewId="0">
      <selection activeCell="B9" sqref="B9"/>
    </sheetView>
  </sheetViews>
  <sheetFormatPr defaultColWidth="8.85546875" defaultRowHeight="15" x14ac:dyDescent="0.25"/>
  <cols>
    <col min="2" max="2" width="46.7109375" customWidth="1"/>
    <col min="3" max="3" width="30.140625" customWidth="1"/>
    <col min="4" max="4" width="47.140625" customWidth="1"/>
  </cols>
  <sheetData>
    <row r="2" spans="2:4" x14ac:dyDescent="0.25">
      <c r="B2" s="1114" t="s">
        <v>1219</v>
      </c>
      <c r="C2" s="1114"/>
      <c r="D2" s="1114"/>
    </row>
    <row r="3" spans="2:4" x14ac:dyDescent="0.25">
      <c r="B3" s="672" t="s">
        <v>1220</v>
      </c>
      <c r="C3" s="253">
        <v>42400.01</v>
      </c>
      <c r="D3" s="673" t="s">
        <v>986</v>
      </c>
    </row>
    <row r="4" spans="2:4" x14ac:dyDescent="0.25">
      <c r="B4" s="672" t="s">
        <v>1221</v>
      </c>
      <c r="C4" s="253">
        <v>19800.8</v>
      </c>
      <c r="D4" s="673" t="s">
        <v>986</v>
      </c>
    </row>
    <row r="5" spans="2:4" x14ac:dyDescent="0.25">
      <c r="B5" s="672" t="s">
        <v>1222</v>
      </c>
      <c r="C5" s="120">
        <v>21146.2</v>
      </c>
      <c r="D5" s="673" t="s">
        <v>986</v>
      </c>
    </row>
    <row r="6" spans="2:4" x14ac:dyDescent="0.25">
      <c r="B6" s="672" t="s">
        <v>1223</v>
      </c>
      <c r="C6" s="120">
        <v>11634</v>
      </c>
      <c r="D6" s="673" t="s">
        <v>986</v>
      </c>
    </row>
    <row r="7" spans="2:4" x14ac:dyDescent="0.25">
      <c r="B7" s="672" t="s">
        <v>1224</v>
      </c>
      <c r="C7" s="120">
        <v>0</v>
      </c>
      <c r="D7" s="673" t="s">
        <v>986</v>
      </c>
    </row>
    <row r="8" spans="2:4" x14ac:dyDescent="0.25">
      <c r="B8" s="672" t="s">
        <v>1225</v>
      </c>
      <c r="C8" s="120">
        <v>0</v>
      </c>
      <c r="D8" s="673" t="s">
        <v>986</v>
      </c>
    </row>
  </sheetData>
  <mergeCells count="1">
    <mergeCell ref="B2:D2"/>
  </mergeCells>
  <pageMargins left="0.511811024" right="0.511811024" top="0.78740157499999996" bottom="0.78740157499999996" header="0.31496062000000002" footer="0.3149606200000000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6:T150"/>
  <sheetViews>
    <sheetView topLeftCell="A35" zoomScale="98" zoomScaleNormal="98" workbookViewId="0">
      <selection activeCell="B9" sqref="B9"/>
    </sheetView>
  </sheetViews>
  <sheetFormatPr defaultColWidth="8.85546875" defaultRowHeight="15" x14ac:dyDescent="0.25"/>
  <cols>
    <col min="4" max="4" width="42.85546875" customWidth="1"/>
    <col min="5" max="5" width="16" customWidth="1"/>
    <col min="7" max="7" width="29.28515625" customWidth="1"/>
    <col min="10" max="10" width="36.42578125" customWidth="1"/>
    <col min="13" max="13" width="64" bestFit="1" customWidth="1"/>
    <col min="14" max="14" width="42.140625" bestFit="1" customWidth="1"/>
  </cols>
  <sheetData>
    <row r="6" spans="3:11" x14ac:dyDescent="0.25">
      <c r="D6" s="2" t="s">
        <v>1226</v>
      </c>
      <c r="E6" s="2"/>
      <c r="F6" s="2"/>
    </row>
    <row r="9" spans="3:11" x14ac:dyDescent="0.25">
      <c r="C9" s="2" t="s">
        <v>1227</v>
      </c>
      <c r="D9" s="2"/>
      <c r="F9" s="2" t="s">
        <v>1228</v>
      </c>
      <c r="G9" s="2"/>
      <c r="I9" s="2" t="s">
        <v>1229</v>
      </c>
      <c r="J9" s="2"/>
      <c r="K9" s="2"/>
    </row>
    <row r="10" spans="3:11" ht="15.75" thickBot="1" x14ac:dyDescent="0.3"/>
    <row r="11" spans="3:11" x14ac:dyDescent="0.25">
      <c r="C11" s="233" t="s">
        <v>1230</v>
      </c>
      <c r="D11" s="307" t="s">
        <v>1231</v>
      </c>
      <c r="F11" s="232" t="s">
        <v>1230</v>
      </c>
      <c r="G11" s="677" t="s">
        <v>1231</v>
      </c>
      <c r="I11" s="232" t="s">
        <v>1230</v>
      </c>
      <c r="J11" s="677" t="s">
        <v>1231</v>
      </c>
    </row>
    <row r="12" spans="3:11" ht="17.25" x14ac:dyDescent="0.25">
      <c r="C12" s="723" t="s">
        <v>1232</v>
      </c>
      <c r="D12" s="724">
        <v>9065.9500000000007</v>
      </c>
      <c r="F12" s="723" t="s">
        <v>1233</v>
      </c>
      <c r="G12" s="724">
        <v>3648.7</v>
      </c>
      <c r="I12" s="723" t="s">
        <v>1234</v>
      </c>
      <c r="J12" s="724">
        <v>1685.55</v>
      </c>
    </row>
    <row r="13" spans="3:11" ht="17.25" x14ac:dyDescent="0.25">
      <c r="C13" s="725" t="s">
        <v>1235</v>
      </c>
      <c r="D13" s="726">
        <v>9360.52</v>
      </c>
      <c r="F13" s="725" t="s">
        <v>1236</v>
      </c>
      <c r="G13" s="726">
        <v>3767.31</v>
      </c>
      <c r="I13" s="725" t="s">
        <v>1237</v>
      </c>
      <c r="J13" s="726">
        <v>1740.3</v>
      </c>
    </row>
    <row r="14" spans="3:11" ht="17.25" x14ac:dyDescent="0.25">
      <c r="C14" s="725" t="s">
        <v>1238</v>
      </c>
      <c r="D14" s="726">
        <v>9664.8700000000008</v>
      </c>
      <c r="F14" s="725" t="s">
        <v>1239</v>
      </c>
      <c r="G14" s="726">
        <v>3889.79</v>
      </c>
      <c r="I14" s="725" t="s">
        <v>1240</v>
      </c>
      <c r="J14" s="726">
        <v>1796.87</v>
      </c>
    </row>
    <row r="15" spans="3:11" ht="17.25" x14ac:dyDescent="0.25">
      <c r="C15" s="725" t="s">
        <v>1241</v>
      </c>
      <c r="D15" s="726">
        <v>9978.9500000000007</v>
      </c>
      <c r="F15" s="725" t="s">
        <v>1242</v>
      </c>
      <c r="G15" s="726">
        <v>4016.15</v>
      </c>
      <c r="I15" s="725" t="s">
        <v>1243</v>
      </c>
      <c r="J15" s="726">
        <v>1855.24</v>
      </c>
    </row>
    <row r="16" spans="3:11" ht="18.75" x14ac:dyDescent="0.3">
      <c r="C16" s="725" t="s">
        <v>1244</v>
      </c>
      <c r="D16" s="726">
        <v>10303.280000000001</v>
      </c>
      <c r="F16" s="727" t="s">
        <v>1245</v>
      </c>
      <c r="G16" s="728">
        <v>4146.68</v>
      </c>
      <c r="I16" s="725" t="s">
        <v>1246</v>
      </c>
      <c r="J16" s="726">
        <v>1915.55</v>
      </c>
    </row>
    <row r="17" spans="3:10" ht="18.75" x14ac:dyDescent="0.3">
      <c r="C17" s="725" t="s">
        <v>1247</v>
      </c>
      <c r="D17" s="726">
        <v>10638.17</v>
      </c>
      <c r="F17" s="725" t="s">
        <v>1248</v>
      </c>
      <c r="G17" s="726">
        <v>4281.45</v>
      </c>
      <c r="I17" s="727" t="s">
        <v>1249</v>
      </c>
      <c r="J17" s="728">
        <v>1977.8</v>
      </c>
    </row>
    <row r="18" spans="3:10" ht="17.25" x14ac:dyDescent="0.25">
      <c r="C18" s="725" t="s">
        <v>1250</v>
      </c>
      <c r="D18" s="726">
        <v>10983.89</v>
      </c>
      <c r="F18" s="725" t="s">
        <v>1251</v>
      </c>
      <c r="G18" s="726">
        <v>4420.66</v>
      </c>
      <c r="I18" s="725" t="s">
        <v>1252</v>
      </c>
      <c r="J18" s="726">
        <v>2042.05</v>
      </c>
    </row>
    <row r="19" spans="3:10" ht="17.25" x14ac:dyDescent="0.25">
      <c r="C19" s="725" t="s">
        <v>1253</v>
      </c>
      <c r="D19" s="726">
        <v>11340.92</v>
      </c>
      <c r="F19" s="725" t="s">
        <v>1254</v>
      </c>
      <c r="G19" s="726">
        <v>4564.26</v>
      </c>
      <c r="I19" s="725" t="s">
        <v>1255</v>
      </c>
      <c r="J19" s="726">
        <v>2108.4499999999998</v>
      </c>
    </row>
    <row r="20" spans="3:10" ht="18.75" x14ac:dyDescent="0.3">
      <c r="C20" s="727" t="s">
        <v>1256</v>
      </c>
      <c r="D20" s="728">
        <v>11709.45</v>
      </c>
      <c r="F20" s="725" t="s">
        <v>1257</v>
      </c>
      <c r="G20" s="726">
        <v>4712.62</v>
      </c>
      <c r="I20" s="725" t="s">
        <v>1258</v>
      </c>
      <c r="J20" s="726">
        <v>2176.9699999999998</v>
      </c>
    </row>
    <row r="21" spans="3:10" ht="17.25" x14ac:dyDescent="0.25">
      <c r="C21" s="725" t="s">
        <v>1259</v>
      </c>
      <c r="D21" s="726">
        <v>12089.99</v>
      </c>
      <c r="F21" s="725" t="s">
        <v>1260</v>
      </c>
      <c r="G21" s="726">
        <v>4865.79</v>
      </c>
      <c r="I21" s="725" t="s">
        <v>1261</v>
      </c>
      <c r="J21" s="726">
        <v>2247.73</v>
      </c>
    </row>
    <row r="22" spans="3:10" ht="18.75" x14ac:dyDescent="0.3">
      <c r="C22" s="727" t="s">
        <v>1262</v>
      </c>
      <c r="D22" s="728">
        <v>12482.95</v>
      </c>
      <c r="F22" s="725" t="s">
        <v>1263</v>
      </c>
      <c r="G22" s="726">
        <v>5023.91</v>
      </c>
      <c r="I22" s="725" t="s">
        <v>1264</v>
      </c>
      <c r="J22" s="726">
        <v>2320.79</v>
      </c>
    </row>
    <row r="23" spans="3:10" ht="17.25" x14ac:dyDescent="0.25">
      <c r="C23" s="725" t="s">
        <v>1265</v>
      </c>
      <c r="D23" s="726">
        <v>12888.6</v>
      </c>
      <c r="F23" s="725" t="s">
        <v>1266</v>
      </c>
      <c r="G23" s="726">
        <v>5187.2299999999996</v>
      </c>
      <c r="I23" s="729" t="s">
        <v>1267</v>
      </c>
      <c r="J23" s="730">
        <v>2396.1999999999998</v>
      </c>
    </row>
    <row r="24" spans="3:10" ht="17.25" x14ac:dyDescent="0.25">
      <c r="C24" s="725" t="s">
        <v>1268</v>
      </c>
      <c r="D24" s="726">
        <v>13307.51</v>
      </c>
      <c r="F24" s="725" t="s">
        <v>1269</v>
      </c>
      <c r="G24" s="726">
        <v>5355.81</v>
      </c>
      <c r="I24" s="725" t="s">
        <v>1270</v>
      </c>
      <c r="J24" s="726">
        <v>2474.11</v>
      </c>
    </row>
    <row r="25" spans="3:10" ht="17.25" x14ac:dyDescent="0.25">
      <c r="C25" s="725" t="s">
        <v>1271</v>
      </c>
      <c r="D25" s="726">
        <v>13739.98</v>
      </c>
      <c r="F25" s="725" t="s">
        <v>1272</v>
      </c>
      <c r="G25" s="726">
        <v>5529.83</v>
      </c>
      <c r="I25" s="725" t="s">
        <v>1273</v>
      </c>
      <c r="J25" s="726">
        <v>2554.5</v>
      </c>
    </row>
    <row r="26" spans="3:10" ht="18.75" x14ac:dyDescent="0.3">
      <c r="C26" s="727" t="s">
        <v>1274</v>
      </c>
      <c r="D26" s="728">
        <v>14186.48</v>
      </c>
      <c r="F26" s="725" t="s">
        <v>1275</v>
      </c>
      <c r="G26" s="726">
        <v>5709.59</v>
      </c>
      <c r="I26" s="725" t="s">
        <v>1276</v>
      </c>
      <c r="J26" s="726">
        <v>2637.53</v>
      </c>
    </row>
    <row r="27" spans="3:10" ht="17.25" x14ac:dyDescent="0.25">
      <c r="C27" s="725" t="s">
        <v>1277</v>
      </c>
      <c r="D27" s="726">
        <v>14647.58</v>
      </c>
      <c r="F27" s="725" t="s">
        <v>1278</v>
      </c>
      <c r="G27" s="726">
        <v>5895.16</v>
      </c>
      <c r="I27" s="725" t="s">
        <v>1279</v>
      </c>
      <c r="J27" s="726">
        <v>2723.25</v>
      </c>
    </row>
    <row r="28" spans="3:10" ht="17.25" x14ac:dyDescent="0.25">
      <c r="C28" s="725" t="s">
        <v>1280</v>
      </c>
      <c r="D28" s="726">
        <v>15123.65</v>
      </c>
      <c r="F28" s="725" t="s">
        <v>1281</v>
      </c>
      <c r="G28" s="726">
        <v>6086.73</v>
      </c>
      <c r="I28" s="725" t="s">
        <v>1282</v>
      </c>
      <c r="J28" s="726">
        <v>2811.75</v>
      </c>
    </row>
    <row r="29" spans="3:10" ht="17.25" x14ac:dyDescent="0.25">
      <c r="C29" s="725" t="s">
        <v>1283</v>
      </c>
      <c r="D29" s="726">
        <v>15615.13</v>
      </c>
      <c r="F29" s="725" t="s">
        <v>1284</v>
      </c>
      <c r="G29" s="726">
        <v>6284.56</v>
      </c>
      <c r="I29" s="725" t="s">
        <v>1285</v>
      </c>
      <c r="J29" s="726">
        <v>2903.1</v>
      </c>
    </row>
    <row r="30" spans="3:10" ht="17.25" x14ac:dyDescent="0.25">
      <c r="C30" s="725" t="s">
        <v>1286</v>
      </c>
      <c r="D30" s="726">
        <v>16122.64</v>
      </c>
      <c r="F30" s="725" t="s">
        <v>1287</v>
      </c>
      <c r="G30" s="726">
        <v>6488.85</v>
      </c>
      <c r="I30" s="725" t="s">
        <v>1288</v>
      </c>
      <c r="J30" s="726">
        <v>2997.45</v>
      </c>
    </row>
    <row r="31" spans="3:10" ht="17.25" x14ac:dyDescent="0.25">
      <c r="C31" s="725" t="s">
        <v>1289</v>
      </c>
      <c r="D31" s="726">
        <v>16646.650000000001</v>
      </c>
      <c r="F31" s="725" t="s">
        <v>1290</v>
      </c>
      <c r="G31" s="726">
        <v>6699.74</v>
      </c>
      <c r="I31" s="725" t="s">
        <v>1291</v>
      </c>
      <c r="J31" s="726">
        <v>3094.87</v>
      </c>
    </row>
    <row r="32" spans="3:10" ht="17.25" x14ac:dyDescent="0.25">
      <c r="C32" s="725" t="s">
        <v>1292</v>
      </c>
      <c r="D32" s="726">
        <v>17187.64</v>
      </c>
      <c r="F32" s="725" t="s">
        <v>1293</v>
      </c>
      <c r="G32" s="726">
        <v>6917.5</v>
      </c>
      <c r="I32" s="725" t="s">
        <v>1294</v>
      </c>
      <c r="J32" s="726">
        <v>3195.47</v>
      </c>
    </row>
    <row r="33" spans="3:14" ht="17.25" x14ac:dyDescent="0.25">
      <c r="C33" s="725" t="s">
        <v>1295</v>
      </c>
      <c r="D33" s="726">
        <v>17746.25</v>
      </c>
      <c r="F33" s="725" t="s">
        <v>1296</v>
      </c>
      <c r="G33" s="726">
        <v>7142.28</v>
      </c>
      <c r="I33" s="725" t="s">
        <v>1297</v>
      </c>
      <c r="J33" s="726">
        <v>3299.32</v>
      </c>
    </row>
    <row r="34" spans="3:14" ht="17.25" x14ac:dyDescent="0.25">
      <c r="C34" s="725" t="s">
        <v>1298</v>
      </c>
      <c r="D34" s="726">
        <v>18323</v>
      </c>
      <c r="F34" s="725" t="s">
        <v>1299</v>
      </c>
      <c r="G34" s="726">
        <v>7374.4</v>
      </c>
    </row>
    <row r="35" spans="3:14" ht="18.75" x14ac:dyDescent="0.3">
      <c r="C35" s="727" t="s">
        <v>1300</v>
      </c>
      <c r="D35" s="728">
        <v>18918.47</v>
      </c>
      <c r="F35" s="725" t="s">
        <v>1301</v>
      </c>
      <c r="G35" s="726">
        <v>7614.1</v>
      </c>
    </row>
    <row r="36" spans="3:14" ht="18.75" x14ac:dyDescent="0.3">
      <c r="C36" s="727" t="s">
        <v>1302</v>
      </c>
      <c r="D36" s="728">
        <v>19533.34</v>
      </c>
      <c r="F36" s="725" t="s">
        <v>1303</v>
      </c>
      <c r="G36" s="726">
        <v>7861.56</v>
      </c>
    </row>
    <row r="37" spans="3:14" ht="17.25" x14ac:dyDescent="0.25">
      <c r="C37" s="725" t="s">
        <v>1304</v>
      </c>
      <c r="D37" s="726">
        <v>20168.169999999998</v>
      </c>
      <c r="F37" s="725" t="s">
        <v>1305</v>
      </c>
      <c r="G37" s="726">
        <v>8117.03</v>
      </c>
    </row>
    <row r="38" spans="3:14" ht="17.25" x14ac:dyDescent="0.25">
      <c r="C38" s="725" t="s">
        <v>1306</v>
      </c>
      <c r="D38" s="726">
        <v>20823.650000000001</v>
      </c>
      <c r="F38" s="725" t="s">
        <v>1307</v>
      </c>
      <c r="G38" s="726">
        <v>8380.86</v>
      </c>
    </row>
    <row r="39" spans="3:14" ht="17.25" x14ac:dyDescent="0.25">
      <c r="C39" s="725" t="s">
        <v>1308</v>
      </c>
      <c r="D39" s="726">
        <v>21500.41</v>
      </c>
      <c r="F39" s="725" t="s">
        <v>1309</v>
      </c>
      <c r="G39" s="726">
        <v>8653.23</v>
      </c>
    </row>
    <row r="40" spans="3:14" x14ac:dyDescent="0.25">
      <c r="C40" s="564" t="s">
        <v>1310</v>
      </c>
    </row>
    <row r="41" spans="3:14" x14ac:dyDescent="0.25">
      <c r="C41" t="s">
        <v>1311</v>
      </c>
    </row>
    <row r="44" spans="3:14" ht="15.75" x14ac:dyDescent="0.25">
      <c r="C44" s="342"/>
      <c r="D44" s="343" t="s">
        <v>1312</v>
      </c>
      <c r="E44" s="343"/>
      <c r="F44" s="343"/>
      <c r="G44" s="342"/>
      <c r="H44" s="342"/>
      <c r="I44" s="342"/>
      <c r="J44" s="342"/>
      <c r="K44" s="342"/>
      <c r="L44" s="342"/>
      <c r="M44" s="342"/>
      <c r="N44" s="342"/>
    </row>
    <row r="45" spans="3:14" ht="15.75" x14ac:dyDescent="0.25">
      <c r="C45" s="342"/>
      <c r="D45" s="342"/>
      <c r="E45" s="342"/>
      <c r="F45" s="342"/>
      <c r="G45" s="342"/>
      <c r="H45" s="342"/>
      <c r="I45" s="342"/>
      <c r="J45" s="342"/>
      <c r="K45" s="342"/>
      <c r="L45" s="342"/>
      <c r="M45" s="342"/>
      <c r="N45" s="342"/>
    </row>
    <row r="46" spans="3:14" ht="15.75" x14ac:dyDescent="0.25">
      <c r="C46" s="342"/>
      <c r="D46" s="342"/>
      <c r="E46" s="342"/>
      <c r="F46" s="342"/>
      <c r="G46" s="342"/>
      <c r="H46" s="342"/>
      <c r="I46" s="342"/>
      <c r="J46" s="342"/>
      <c r="K46" s="342"/>
      <c r="L46" s="342"/>
      <c r="M46" s="342"/>
      <c r="N46" s="342"/>
    </row>
    <row r="47" spans="3:14" ht="16.5" thickBot="1" x14ac:dyDescent="0.3">
      <c r="C47" s="342"/>
      <c r="D47" s="342"/>
      <c r="E47" s="342"/>
      <c r="F47" s="342"/>
      <c r="G47" s="342"/>
      <c r="H47" s="342"/>
      <c r="I47" s="342"/>
      <c r="J47" s="342" t="s">
        <v>1313</v>
      </c>
      <c r="K47" s="342"/>
      <c r="L47" s="342"/>
      <c r="M47" s="342"/>
      <c r="N47" s="342"/>
    </row>
    <row r="48" spans="3:14" ht="16.5" thickBot="1" x14ac:dyDescent="0.3">
      <c r="C48" s="344" t="s">
        <v>1314</v>
      </c>
      <c r="D48" s="345" t="s">
        <v>1315</v>
      </c>
      <c r="E48" s="345" t="s">
        <v>1316</v>
      </c>
      <c r="F48" s="345" t="s">
        <v>1317</v>
      </c>
      <c r="G48" s="346" t="s">
        <v>1318</v>
      </c>
      <c r="H48" s="342"/>
      <c r="I48" s="342"/>
      <c r="J48" s="1129" t="s">
        <v>1142</v>
      </c>
      <c r="K48" s="1131" t="s">
        <v>534</v>
      </c>
      <c r="L48" s="1132"/>
      <c r="M48" s="1135" t="s">
        <v>1143</v>
      </c>
      <c r="N48" s="1129" t="s">
        <v>1144</v>
      </c>
    </row>
    <row r="49" spans="3:20" ht="15.75" x14ac:dyDescent="0.25">
      <c r="C49" s="1121" t="s">
        <v>1319</v>
      </c>
      <c r="D49" s="347" t="s">
        <v>1320</v>
      </c>
      <c r="E49" s="348" t="s">
        <v>1321</v>
      </c>
      <c r="F49" s="348">
        <v>2</v>
      </c>
      <c r="G49" s="1115">
        <v>24799.02</v>
      </c>
      <c r="H49" s="342"/>
      <c r="I49" s="342"/>
      <c r="J49" s="1130"/>
      <c r="K49" s="1131" t="s">
        <v>1150</v>
      </c>
      <c r="L49" s="1132"/>
      <c r="M49" s="1136"/>
      <c r="N49" s="1130"/>
    </row>
    <row r="50" spans="3:20" ht="15.75" x14ac:dyDescent="0.25">
      <c r="C50" s="1117"/>
      <c r="D50" s="349" t="s">
        <v>1322</v>
      </c>
      <c r="E50" s="350" t="s">
        <v>1321</v>
      </c>
      <c r="F50" s="350">
        <v>1</v>
      </c>
      <c r="G50" s="1116"/>
      <c r="H50" s="342"/>
      <c r="I50" s="342"/>
      <c r="J50" s="351" t="s">
        <v>1153</v>
      </c>
      <c r="K50" s="1138">
        <v>1903</v>
      </c>
      <c r="L50" s="1139"/>
      <c r="M50" s="353" t="s">
        <v>1323</v>
      </c>
      <c r="N50" s="351" t="s">
        <v>1324</v>
      </c>
    </row>
    <row r="51" spans="3:20" ht="15.75" x14ac:dyDescent="0.25">
      <c r="C51" s="1118"/>
      <c r="D51" s="354" t="s">
        <v>1325</v>
      </c>
      <c r="E51" s="355" t="s">
        <v>1321</v>
      </c>
      <c r="F51" s="355">
        <v>16</v>
      </c>
      <c r="G51" s="1122"/>
      <c r="H51" s="342"/>
      <c r="I51" s="342"/>
      <c r="J51" s="351" t="s">
        <v>1158</v>
      </c>
      <c r="K51" s="1140">
        <v>280</v>
      </c>
      <c r="L51" s="1141"/>
      <c r="M51" s="352">
        <v>516.72</v>
      </c>
      <c r="N51" s="351" t="s">
        <v>1324</v>
      </c>
    </row>
    <row r="52" spans="3:20" ht="15.75" x14ac:dyDescent="0.25">
      <c r="C52" s="357" t="s">
        <v>1326</v>
      </c>
      <c r="D52" s="358" t="s">
        <v>1327</v>
      </c>
      <c r="E52" s="359" t="s">
        <v>1321</v>
      </c>
      <c r="F52" s="359">
        <v>4</v>
      </c>
      <c r="G52" s="731">
        <v>22319.69</v>
      </c>
      <c r="H52" s="342"/>
      <c r="I52" s="342"/>
      <c r="J52" s="351" t="s">
        <v>1161</v>
      </c>
      <c r="K52" s="1140">
        <v>10</v>
      </c>
      <c r="L52" s="1141"/>
      <c r="M52" s="628">
        <v>300</v>
      </c>
      <c r="N52" s="351" t="s">
        <v>1328</v>
      </c>
    </row>
    <row r="53" spans="3:20" ht="15.75" x14ac:dyDescent="0.25">
      <c r="C53" s="1121" t="s">
        <v>1329</v>
      </c>
      <c r="D53" s="347" t="s">
        <v>1330</v>
      </c>
      <c r="E53" s="348" t="s">
        <v>1331</v>
      </c>
      <c r="F53" s="348">
        <v>14</v>
      </c>
      <c r="G53" s="1115">
        <v>19838.490000000002</v>
      </c>
      <c r="H53" s="342"/>
      <c r="I53" s="342"/>
      <c r="J53" s="351" t="s">
        <v>1066</v>
      </c>
      <c r="K53" s="1142">
        <v>2107</v>
      </c>
      <c r="L53" s="1143"/>
      <c r="M53" s="628">
        <v>113.15</v>
      </c>
      <c r="N53" s="351" t="s">
        <v>1168</v>
      </c>
      <c r="O53" s="351"/>
      <c r="P53" s="351"/>
      <c r="Q53" s="351"/>
      <c r="R53" s="351"/>
      <c r="S53" s="351"/>
      <c r="T53" s="351"/>
    </row>
    <row r="54" spans="3:20" ht="15.75" x14ac:dyDescent="0.25">
      <c r="C54" s="1117"/>
      <c r="D54" s="349" t="s">
        <v>1332</v>
      </c>
      <c r="E54" s="350" t="s">
        <v>1331</v>
      </c>
      <c r="F54" s="350">
        <v>16</v>
      </c>
      <c r="G54" s="1116"/>
      <c r="H54" s="342"/>
      <c r="I54" s="342"/>
      <c r="J54" s="351" t="s">
        <v>1169</v>
      </c>
      <c r="K54" s="1142">
        <v>2883</v>
      </c>
      <c r="L54" s="1143"/>
      <c r="M54" s="352">
        <v>413.33</v>
      </c>
      <c r="N54" s="351" t="s">
        <v>1172</v>
      </c>
    </row>
    <row r="55" spans="3:20" ht="17.100000000000001" customHeight="1" x14ac:dyDescent="0.25">
      <c r="C55" s="1117"/>
      <c r="D55" s="349" t="s">
        <v>1333</v>
      </c>
      <c r="E55" s="350" t="s">
        <v>1331</v>
      </c>
      <c r="F55" s="350">
        <v>4</v>
      </c>
      <c r="G55" s="1116"/>
      <c r="H55" s="342"/>
      <c r="I55" s="342"/>
      <c r="J55" s="351"/>
      <c r="K55" s="356"/>
      <c r="L55" s="352"/>
      <c r="M55" s="352"/>
      <c r="N55" s="351"/>
    </row>
    <row r="56" spans="3:20" ht="17.100000000000001" customHeight="1" x14ac:dyDescent="0.25">
      <c r="C56" s="1117"/>
      <c r="D56" s="349" t="s">
        <v>1334</v>
      </c>
      <c r="E56" s="350" t="s">
        <v>1321</v>
      </c>
      <c r="F56" s="350">
        <v>1</v>
      </c>
      <c r="G56" s="1116"/>
      <c r="H56" s="342"/>
      <c r="I56" s="342"/>
      <c r="J56" s="360"/>
      <c r="K56" s="1133"/>
      <c r="L56" s="1134"/>
      <c r="M56" s="361"/>
      <c r="N56" s="362"/>
    </row>
    <row r="57" spans="3:20" ht="17.100000000000001" customHeight="1" x14ac:dyDescent="0.25">
      <c r="C57" s="1117"/>
      <c r="D57" s="349" t="s">
        <v>1335</v>
      </c>
      <c r="E57" s="350" t="s">
        <v>1321</v>
      </c>
      <c r="F57" s="350">
        <v>1</v>
      </c>
      <c r="G57" s="1116"/>
      <c r="H57" s="342"/>
      <c r="I57" s="342"/>
      <c r="J57" s="548"/>
      <c r="K57" s="732"/>
      <c r="L57" s="732"/>
      <c r="M57" s="342"/>
      <c r="N57" s="733"/>
    </row>
    <row r="58" spans="3:20" ht="15.95" customHeight="1" x14ac:dyDescent="0.25">
      <c r="C58" s="1117"/>
      <c r="D58" s="349" t="s">
        <v>1336</v>
      </c>
      <c r="E58" s="350" t="s">
        <v>1337</v>
      </c>
      <c r="F58" s="350">
        <v>1</v>
      </c>
      <c r="G58" s="1116"/>
      <c r="H58" s="342"/>
      <c r="I58" s="342"/>
      <c r="J58" s="548"/>
      <c r="K58" s="549"/>
      <c r="L58" s="549"/>
      <c r="M58" s="342"/>
      <c r="N58" s="342"/>
    </row>
    <row r="59" spans="3:20" ht="15.95" customHeight="1" x14ac:dyDescent="0.25">
      <c r="C59" s="1117"/>
      <c r="D59" s="349" t="s">
        <v>1338</v>
      </c>
      <c r="E59" s="350" t="s">
        <v>1321</v>
      </c>
      <c r="F59" s="350">
        <v>3</v>
      </c>
      <c r="G59" s="1116"/>
      <c r="H59" s="342"/>
      <c r="I59" s="342"/>
      <c r="J59" s="342" t="s">
        <v>1176</v>
      </c>
      <c r="K59" s="342"/>
      <c r="L59" s="342"/>
      <c r="M59" s="342"/>
      <c r="N59" s="342"/>
    </row>
    <row r="60" spans="3:20" ht="15.95" customHeight="1" x14ac:dyDescent="0.25">
      <c r="C60" s="1117"/>
      <c r="D60" s="349" t="s">
        <v>1339</v>
      </c>
      <c r="E60" s="350" t="s">
        <v>1321</v>
      </c>
      <c r="F60" s="350">
        <v>3</v>
      </c>
      <c r="G60" s="1116"/>
      <c r="H60" s="342"/>
      <c r="I60" s="342"/>
      <c r="J60" s="342"/>
      <c r="K60" s="342"/>
      <c r="L60" s="342"/>
      <c r="M60" s="342"/>
      <c r="N60" s="342"/>
    </row>
    <row r="61" spans="3:20" ht="15.95" customHeight="1" x14ac:dyDescent="0.25">
      <c r="C61" s="1117"/>
      <c r="D61" s="349" t="s">
        <v>1340</v>
      </c>
      <c r="E61" s="350" t="s">
        <v>1321</v>
      </c>
      <c r="F61" s="350">
        <v>21</v>
      </c>
      <c r="G61" s="1116"/>
      <c r="H61" s="342"/>
      <c r="I61" s="342"/>
      <c r="J61" s="342"/>
      <c r="K61" s="342"/>
      <c r="L61" s="342"/>
      <c r="M61" s="342"/>
      <c r="N61" s="342"/>
    </row>
    <row r="62" spans="3:20" ht="17.100000000000001" customHeight="1" x14ac:dyDescent="0.25">
      <c r="C62" s="1117"/>
      <c r="D62" s="349" t="s">
        <v>1341</v>
      </c>
      <c r="E62" s="350" t="s">
        <v>1321</v>
      </c>
      <c r="F62" s="350">
        <v>16</v>
      </c>
      <c r="G62" s="1122"/>
      <c r="H62" s="342"/>
      <c r="I62" s="342"/>
      <c r="J62" s="342" t="s">
        <v>1342</v>
      </c>
      <c r="K62" s="342"/>
      <c r="L62" s="342"/>
      <c r="M62" s="342"/>
      <c r="N62" s="342"/>
    </row>
    <row r="63" spans="3:20" ht="15.75" x14ac:dyDescent="0.25">
      <c r="C63" s="1121" t="s">
        <v>1343</v>
      </c>
      <c r="D63" s="347" t="s">
        <v>1344</v>
      </c>
      <c r="E63" s="348" t="s">
        <v>1321</v>
      </c>
      <c r="F63" s="348">
        <v>49</v>
      </c>
      <c r="G63" s="1115">
        <v>15623.96</v>
      </c>
      <c r="H63" s="342"/>
      <c r="I63" s="342"/>
      <c r="J63" s="342"/>
      <c r="K63" s="342"/>
      <c r="L63" s="342"/>
      <c r="M63" s="342"/>
      <c r="N63" s="342"/>
    </row>
    <row r="64" spans="3:20" ht="15.75" x14ac:dyDescent="0.25">
      <c r="C64" s="1117"/>
      <c r="D64" s="349" t="s">
        <v>1345</v>
      </c>
      <c r="E64" s="350" t="s">
        <v>1331</v>
      </c>
      <c r="F64" s="350">
        <v>1</v>
      </c>
      <c r="G64" s="1116"/>
      <c r="H64" s="342"/>
      <c r="I64" s="342"/>
      <c r="J64" s="342"/>
      <c r="K64" s="342"/>
      <c r="L64" s="342"/>
      <c r="M64" s="342"/>
      <c r="N64" s="342"/>
    </row>
    <row r="65" spans="3:14" ht="15.75" x14ac:dyDescent="0.25">
      <c r="C65" s="1117"/>
      <c r="D65" s="349" t="s">
        <v>1346</v>
      </c>
      <c r="E65" s="350" t="s">
        <v>1321</v>
      </c>
      <c r="F65" s="350">
        <v>3</v>
      </c>
      <c r="G65" s="1116"/>
      <c r="H65" s="342"/>
      <c r="I65" s="342"/>
      <c r="J65" s="342"/>
      <c r="K65" s="342"/>
      <c r="L65" s="342"/>
      <c r="M65" s="342"/>
      <c r="N65" s="342"/>
    </row>
    <row r="66" spans="3:14" ht="15.75" x14ac:dyDescent="0.25">
      <c r="C66" s="1117"/>
      <c r="D66" s="349" t="s">
        <v>1347</v>
      </c>
      <c r="E66" s="350" t="s">
        <v>1331</v>
      </c>
      <c r="F66" s="350">
        <v>16</v>
      </c>
      <c r="G66" s="1116"/>
      <c r="H66" s="342"/>
      <c r="I66" s="342"/>
      <c r="J66" s="1137"/>
      <c r="K66" s="1137"/>
      <c r="L66" s="342"/>
      <c r="M66" s="342"/>
      <c r="N66" s="342"/>
    </row>
    <row r="67" spans="3:14" ht="15.75" x14ac:dyDescent="0.25">
      <c r="C67" s="1117"/>
      <c r="D67" s="349" t="s">
        <v>1348</v>
      </c>
      <c r="E67" s="350" t="s">
        <v>1321</v>
      </c>
      <c r="F67" s="350">
        <v>1</v>
      </c>
      <c r="G67" s="1116"/>
      <c r="H67" s="342"/>
      <c r="I67" s="342"/>
      <c r="J67" s="548"/>
      <c r="K67" s="548"/>
      <c r="L67" s="342"/>
      <c r="M67" s="342"/>
      <c r="N67" s="342"/>
    </row>
    <row r="68" spans="3:14" ht="15.75" x14ac:dyDescent="0.25">
      <c r="C68" s="1117"/>
      <c r="D68" s="349" t="s">
        <v>1349</v>
      </c>
      <c r="E68" s="350" t="s">
        <v>1321</v>
      </c>
      <c r="F68" s="350">
        <v>24</v>
      </c>
      <c r="G68" s="1116"/>
      <c r="H68" s="342"/>
      <c r="I68" s="342"/>
      <c r="J68" s="342"/>
      <c r="K68" s="363"/>
      <c r="L68" s="342"/>
      <c r="M68" s="342"/>
      <c r="N68" s="342"/>
    </row>
    <row r="69" spans="3:14" ht="15.75" x14ac:dyDescent="0.25">
      <c r="C69" s="1117"/>
      <c r="D69" s="349" t="s">
        <v>1350</v>
      </c>
      <c r="E69" s="350" t="s">
        <v>1321</v>
      </c>
      <c r="F69" s="350">
        <v>16</v>
      </c>
      <c r="G69" s="1116"/>
      <c r="H69" s="342"/>
      <c r="I69" s="342"/>
      <c r="J69" s="342"/>
      <c r="K69" s="363"/>
      <c r="L69" s="342"/>
      <c r="M69" s="342"/>
      <c r="N69" s="342"/>
    </row>
    <row r="70" spans="3:14" ht="16.5" thickBot="1" x14ac:dyDescent="0.3">
      <c r="C70" s="1117"/>
      <c r="D70" s="354" t="s">
        <v>1351</v>
      </c>
      <c r="E70" s="355" t="s">
        <v>1321</v>
      </c>
      <c r="F70" s="355">
        <v>56</v>
      </c>
      <c r="G70" s="1116"/>
      <c r="H70" s="342"/>
      <c r="I70" s="342"/>
      <c r="J70" s="342"/>
      <c r="K70" s="363"/>
      <c r="L70" s="342"/>
      <c r="M70" s="342"/>
      <c r="N70" s="342"/>
    </row>
    <row r="71" spans="3:14" ht="15.75" x14ac:dyDescent="0.25">
      <c r="C71" s="1121" t="s">
        <v>1352</v>
      </c>
      <c r="D71" s="347" t="s">
        <v>1353</v>
      </c>
      <c r="E71" s="348" t="s">
        <v>1321</v>
      </c>
      <c r="F71" s="348">
        <v>128</v>
      </c>
      <c r="G71" s="1115">
        <v>12400.44</v>
      </c>
      <c r="H71" s="342"/>
      <c r="I71" s="342"/>
      <c r="J71" s="342"/>
      <c r="K71" s="342"/>
      <c r="L71" s="342"/>
      <c r="M71" s="342"/>
      <c r="N71" s="342"/>
    </row>
    <row r="72" spans="3:14" ht="15.75" x14ac:dyDescent="0.25">
      <c r="C72" s="1117"/>
      <c r="D72" s="349" t="s">
        <v>1354</v>
      </c>
      <c r="E72" s="350" t="s">
        <v>1321</v>
      </c>
      <c r="F72" s="350">
        <v>22</v>
      </c>
      <c r="G72" s="1116"/>
      <c r="H72" s="342"/>
      <c r="I72" s="342"/>
      <c r="J72" s="342"/>
      <c r="K72" s="342"/>
      <c r="L72" s="342"/>
      <c r="M72" s="342"/>
      <c r="N72" s="342"/>
    </row>
    <row r="73" spans="3:14" ht="15.75" x14ac:dyDescent="0.25">
      <c r="C73" s="1118"/>
      <c r="D73" s="354" t="s">
        <v>1355</v>
      </c>
      <c r="E73" s="355" t="s">
        <v>1321</v>
      </c>
      <c r="F73" s="355">
        <v>0</v>
      </c>
      <c r="G73" s="1122"/>
      <c r="H73" s="342"/>
      <c r="I73" s="342"/>
      <c r="J73" s="342"/>
      <c r="K73" s="342"/>
      <c r="L73" s="342"/>
      <c r="M73" s="342"/>
      <c r="N73" s="342"/>
    </row>
    <row r="74" spans="3:14" ht="15.75" x14ac:dyDescent="0.25">
      <c r="C74" s="1121" t="s">
        <v>1356</v>
      </c>
      <c r="D74" s="347" t="s">
        <v>1357</v>
      </c>
      <c r="E74" s="348" t="s">
        <v>1321</v>
      </c>
      <c r="F74" s="348">
        <v>8</v>
      </c>
      <c r="G74" s="1115">
        <v>6944.38</v>
      </c>
      <c r="H74" s="342"/>
      <c r="I74" s="342"/>
      <c r="J74" s="343"/>
      <c r="K74" s="343"/>
      <c r="L74" s="343"/>
      <c r="M74" s="343"/>
      <c r="N74" s="342"/>
    </row>
    <row r="75" spans="3:14" ht="15.75" x14ac:dyDescent="0.25">
      <c r="C75" s="1117"/>
      <c r="D75" s="349" t="s">
        <v>1358</v>
      </c>
      <c r="E75" s="350" t="s">
        <v>1359</v>
      </c>
      <c r="F75" s="350">
        <v>2</v>
      </c>
      <c r="G75" s="1116"/>
      <c r="H75" s="342"/>
      <c r="I75" s="342"/>
      <c r="J75" s="343"/>
      <c r="K75" s="343"/>
      <c r="L75" s="343"/>
      <c r="M75" s="343"/>
      <c r="N75" s="342"/>
    </row>
    <row r="76" spans="3:14" ht="16.5" thickBot="1" x14ac:dyDescent="0.3">
      <c r="C76" s="1117"/>
      <c r="D76" s="349" t="s">
        <v>1360</v>
      </c>
      <c r="E76" s="350" t="s">
        <v>1359</v>
      </c>
      <c r="F76" s="350">
        <v>8</v>
      </c>
      <c r="G76" s="1116"/>
      <c r="H76" s="342"/>
      <c r="I76" s="342"/>
      <c r="J76" s="342"/>
      <c r="K76" s="342"/>
      <c r="L76" s="342"/>
      <c r="M76" s="342"/>
      <c r="N76" s="342"/>
    </row>
    <row r="77" spans="3:14" ht="15.75" x14ac:dyDescent="0.25">
      <c r="C77" s="1123" t="s">
        <v>1361</v>
      </c>
      <c r="D77" s="347" t="s">
        <v>1362</v>
      </c>
      <c r="E77" s="348" t="s">
        <v>1359</v>
      </c>
      <c r="F77" s="348">
        <v>4</v>
      </c>
      <c r="G77" s="1115">
        <v>6200.2</v>
      </c>
      <c r="H77" s="342"/>
      <c r="I77" s="342"/>
      <c r="J77" s="342"/>
      <c r="K77" s="363"/>
      <c r="L77" s="342"/>
      <c r="M77" s="342"/>
      <c r="N77" s="342"/>
    </row>
    <row r="78" spans="3:14" ht="15.75" x14ac:dyDescent="0.25">
      <c r="C78" s="1124"/>
      <c r="D78" s="349" t="s">
        <v>1363</v>
      </c>
      <c r="E78" s="350" t="s">
        <v>1359</v>
      </c>
      <c r="F78" s="350">
        <v>2</v>
      </c>
      <c r="G78" s="1116"/>
      <c r="H78" s="342"/>
      <c r="I78" s="342"/>
      <c r="J78" s="342"/>
      <c r="K78" s="363"/>
      <c r="L78" s="342"/>
      <c r="M78" s="342"/>
      <c r="N78" s="342"/>
    </row>
    <row r="79" spans="3:14" ht="16.5" thickBot="1" x14ac:dyDescent="0.3">
      <c r="C79" s="1125"/>
      <c r="D79" s="354" t="s">
        <v>1364</v>
      </c>
      <c r="E79" s="355" t="s">
        <v>1359</v>
      </c>
      <c r="F79" s="355">
        <v>8</v>
      </c>
      <c r="G79" s="1122"/>
      <c r="H79" s="342"/>
      <c r="I79" s="342"/>
      <c r="J79" s="342"/>
      <c r="K79" s="363"/>
      <c r="L79" s="342"/>
      <c r="M79" s="342"/>
      <c r="N79" s="342"/>
    </row>
    <row r="80" spans="3:14" ht="15.75" x14ac:dyDescent="0.25">
      <c r="C80" s="342" t="s">
        <v>1365</v>
      </c>
      <c r="D80" s="342"/>
      <c r="E80" s="342"/>
      <c r="F80" s="342"/>
      <c r="G80" s="342"/>
      <c r="H80" s="342"/>
      <c r="I80" s="342"/>
      <c r="J80" s="342"/>
      <c r="K80" s="342"/>
      <c r="L80" s="342"/>
      <c r="M80" s="342"/>
      <c r="N80" s="342"/>
    </row>
    <row r="81" spans="3:14" ht="15.75" x14ac:dyDescent="0.25">
      <c r="C81" t="s">
        <v>1311</v>
      </c>
      <c r="D81" s="342"/>
      <c r="E81" s="342"/>
      <c r="F81" s="342"/>
      <c r="G81" s="342"/>
      <c r="H81" s="342"/>
      <c r="I81" s="342"/>
      <c r="J81" s="342"/>
      <c r="K81" s="342"/>
      <c r="L81" s="342"/>
      <c r="M81" s="342"/>
      <c r="N81" s="342"/>
    </row>
    <row r="82" spans="3:14" ht="15.75" x14ac:dyDescent="0.25">
      <c r="C82" s="342"/>
      <c r="D82" s="342"/>
      <c r="E82" s="342"/>
      <c r="F82" s="342"/>
      <c r="G82" s="342"/>
      <c r="H82" s="342"/>
      <c r="I82" s="342"/>
      <c r="J82" s="342"/>
      <c r="K82" s="342"/>
      <c r="L82" s="342"/>
      <c r="M82" s="342"/>
      <c r="N82" s="342"/>
    </row>
    <row r="83" spans="3:14" ht="15.75" x14ac:dyDescent="0.25">
      <c r="C83" s="342"/>
      <c r="D83" s="342"/>
      <c r="E83" s="342"/>
      <c r="F83" s="342"/>
      <c r="G83" s="342"/>
      <c r="H83" s="342"/>
      <c r="I83" s="342"/>
      <c r="J83" s="342"/>
      <c r="K83" s="342"/>
      <c r="L83" s="342"/>
      <c r="M83" s="342"/>
      <c r="N83" s="342"/>
    </row>
    <row r="84" spans="3:14" ht="15.75" x14ac:dyDescent="0.25">
      <c r="C84" s="342"/>
      <c r="D84" s="343" t="s">
        <v>1366</v>
      </c>
      <c r="E84" s="342"/>
      <c r="F84" s="342"/>
      <c r="G84" s="342"/>
      <c r="H84" s="342"/>
      <c r="I84" s="342"/>
      <c r="J84" s="342"/>
      <c r="K84" s="342"/>
      <c r="L84" s="342"/>
      <c r="M84" s="342"/>
      <c r="N84" s="342"/>
    </row>
    <row r="85" spans="3:14" ht="16.5" thickBot="1" x14ac:dyDescent="0.3">
      <c r="C85" s="342"/>
      <c r="D85" s="342"/>
      <c r="E85" s="342"/>
      <c r="F85" s="342"/>
      <c r="G85" s="342"/>
      <c r="H85" s="342"/>
      <c r="I85" s="342"/>
      <c r="J85" s="342"/>
      <c r="K85" s="342"/>
      <c r="L85" s="342"/>
      <c r="M85" s="342"/>
      <c r="N85" s="342"/>
    </row>
    <row r="86" spans="3:14" ht="15.75" x14ac:dyDescent="0.25">
      <c r="C86" s="360" t="s">
        <v>1314</v>
      </c>
      <c r="D86" s="364" t="s">
        <v>1315</v>
      </c>
      <c r="E86" s="345" t="s">
        <v>1316</v>
      </c>
      <c r="F86" s="365" t="s">
        <v>1317</v>
      </c>
      <c r="G86" s="360" t="s">
        <v>1318</v>
      </c>
      <c r="H86" s="342"/>
      <c r="I86" s="342"/>
      <c r="J86" s="342"/>
      <c r="K86" s="342"/>
      <c r="L86" s="342"/>
      <c r="M86" s="342"/>
      <c r="N86" s="342"/>
    </row>
    <row r="87" spans="3:14" ht="15.75" x14ac:dyDescent="0.25">
      <c r="C87" s="540" t="s">
        <v>1367</v>
      </c>
      <c r="D87" s="347" t="s">
        <v>1368</v>
      </c>
      <c r="E87" s="348" t="s">
        <v>1369</v>
      </c>
      <c r="F87" s="348">
        <v>25</v>
      </c>
      <c r="G87" s="1115">
        <v>4191.79</v>
      </c>
      <c r="H87" s="342"/>
      <c r="I87" s="342"/>
      <c r="J87" s="342"/>
      <c r="K87" s="342"/>
      <c r="L87" s="342"/>
      <c r="M87" s="342"/>
      <c r="N87" s="342"/>
    </row>
    <row r="88" spans="3:14" ht="15.75" x14ac:dyDescent="0.25">
      <c r="C88" s="540" t="s">
        <v>1367</v>
      </c>
      <c r="D88" s="349" t="s">
        <v>1370</v>
      </c>
      <c r="E88" s="350" t="s">
        <v>1369</v>
      </c>
      <c r="F88" s="350">
        <v>25</v>
      </c>
      <c r="G88" s="1116"/>
      <c r="H88" s="342"/>
      <c r="I88" s="342"/>
      <c r="J88" s="342"/>
      <c r="K88" s="342"/>
      <c r="L88" s="342"/>
      <c r="M88" s="342"/>
      <c r="N88" s="342"/>
    </row>
    <row r="89" spans="3:14" ht="15.75" x14ac:dyDescent="0.25">
      <c r="C89" s="540" t="s">
        <v>1371</v>
      </c>
      <c r="D89" s="354" t="s">
        <v>1372</v>
      </c>
      <c r="E89" s="355" t="s">
        <v>1373</v>
      </c>
      <c r="F89" s="355">
        <v>29</v>
      </c>
      <c r="G89" s="1122"/>
      <c r="H89" s="342"/>
      <c r="I89" s="342"/>
      <c r="J89" s="342"/>
      <c r="K89" s="342"/>
      <c r="L89" s="342"/>
      <c r="M89" s="342"/>
      <c r="N89" s="342"/>
    </row>
    <row r="90" spans="3:14" ht="15.75" x14ac:dyDescent="0.25">
      <c r="C90" s="366" t="s">
        <v>1374</v>
      </c>
      <c r="D90" s="358" t="s">
        <v>1375</v>
      </c>
      <c r="E90" s="355" t="s">
        <v>1373</v>
      </c>
      <c r="F90" s="359">
        <v>11</v>
      </c>
      <c r="G90" s="634">
        <v>4761.24</v>
      </c>
      <c r="H90" s="342"/>
      <c r="I90" s="342"/>
      <c r="J90" s="342"/>
      <c r="K90" s="342"/>
      <c r="L90" s="342"/>
      <c r="M90" s="342"/>
      <c r="N90" s="342"/>
    </row>
    <row r="91" spans="3:14" ht="15.75" x14ac:dyDescent="0.25">
      <c r="C91" s="631" t="s">
        <v>1376</v>
      </c>
      <c r="D91" s="367" t="s">
        <v>1377</v>
      </c>
      <c r="E91" s="355" t="s">
        <v>1373</v>
      </c>
      <c r="F91" s="368">
        <v>34</v>
      </c>
      <c r="G91" s="635">
        <v>3967.68</v>
      </c>
      <c r="H91" s="342"/>
      <c r="I91" s="342"/>
      <c r="J91" s="342"/>
      <c r="K91" s="342"/>
      <c r="L91" s="342"/>
      <c r="M91" s="342"/>
      <c r="N91" s="342"/>
    </row>
    <row r="92" spans="3:14" ht="15.75" x14ac:dyDescent="0.25">
      <c r="C92" s="1126" t="s">
        <v>1378</v>
      </c>
      <c r="D92" s="629" t="s">
        <v>1379</v>
      </c>
      <c r="E92" s="348" t="s">
        <v>1373</v>
      </c>
      <c r="F92" s="348">
        <v>15</v>
      </c>
      <c r="G92" s="1115">
        <v>1983.84</v>
      </c>
      <c r="H92" s="342"/>
      <c r="I92" s="342"/>
      <c r="J92" s="342"/>
      <c r="K92" s="342"/>
      <c r="L92" s="342"/>
      <c r="M92" s="342"/>
      <c r="N92" s="342"/>
    </row>
    <row r="93" spans="3:14" ht="15.75" x14ac:dyDescent="0.25">
      <c r="C93" s="1127"/>
      <c r="D93" s="674" t="s">
        <v>1380</v>
      </c>
      <c r="E93" s="350" t="s">
        <v>1373</v>
      </c>
      <c r="F93" s="350">
        <v>60</v>
      </c>
      <c r="G93" s="1116"/>
      <c r="H93" s="342"/>
      <c r="I93" s="342"/>
      <c r="J93" s="342"/>
      <c r="K93" s="342"/>
      <c r="L93" s="342"/>
      <c r="M93" s="342"/>
      <c r="N93" s="342"/>
    </row>
    <row r="94" spans="3:14" ht="16.5" customHeight="1" x14ac:dyDescent="0.25">
      <c r="C94" s="1127"/>
      <c r="D94" s="630" t="s">
        <v>1381</v>
      </c>
      <c r="E94" s="355" t="s">
        <v>1373</v>
      </c>
      <c r="F94" s="355">
        <v>24</v>
      </c>
      <c r="G94" s="1122"/>
      <c r="H94" s="342"/>
      <c r="I94" s="342"/>
      <c r="J94" s="342"/>
      <c r="K94" s="342"/>
      <c r="L94" s="342"/>
      <c r="M94" s="342"/>
      <c r="N94" s="342"/>
    </row>
    <row r="95" spans="3:14" ht="15.75" x14ac:dyDescent="0.25">
      <c r="C95" s="632" t="s">
        <v>1382</v>
      </c>
      <c r="D95" s="633" t="s">
        <v>1383</v>
      </c>
      <c r="E95" s="359" t="s">
        <v>1384</v>
      </c>
      <c r="F95" s="359">
        <v>80</v>
      </c>
      <c r="G95" s="634">
        <v>1676.67</v>
      </c>
      <c r="H95" s="342"/>
      <c r="I95" s="342"/>
      <c r="J95" s="342"/>
      <c r="K95" s="342"/>
      <c r="L95" s="342"/>
      <c r="M95" s="342"/>
      <c r="N95" s="342"/>
    </row>
    <row r="96" spans="3:14" ht="15.75" x14ac:dyDescent="0.25">
      <c r="C96" s="1126" t="s">
        <v>1385</v>
      </c>
      <c r="D96" s="629" t="s">
        <v>1386</v>
      </c>
      <c r="E96" s="348" t="s">
        <v>1384</v>
      </c>
      <c r="F96" s="348">
        <v>38</v>
      </c>
      <c r="G96" s="1115">
        <v>992.73</v>
      </c>
      <c r="H96" s="342"/>
      <c r="I96" s="342"/>
      <c r="J96" s="342"/>
      <c r="K96" s="342"/>
      <c r="L96" s="342"/>
      <c r="M96" s="342"/>
      <c r="N96" s="342"/>
    </row>
    <row r="97" spans="3:14" ht="16.5" customHeight="1" x14ac:dyDescent="0.25">
      <c r="C97" s="1128"/>
      <c r="D97" s="630" t="s">
        <v>1384</v>
      </c>
      <c r="E97" s="355" t="s">
        <v>1384</v>
      </c>
      <c r="F97" s="355">
        <v>12</v>
      </c>
      <c r="G97" s="1122"/>
      <c r="H97" s="342"/>
      <c r="I97" s="342"/>
      <c r="J97" s="342"/>
      <c r="K97" s="342"/>
      <c r="L97" s="342"/>
      <c r="M97" s="342"/>
      <c r="N97" s="342"/>
    </row>
    <row r="98" spans="3:14" ht="15.75" x14ac:dyDescent="0.25">
      <c r="C98" s="342" t="s">
        <v>1365</v>
      </c>
      <c r="D98" s="342"/>
      <c r="E98" s="342"/>
      <c r="F98" s="342"/>
      <c r="G98" s="342"/>
      <c r="H98" s="342"/>
      <c r="I98" s="342"/>
      <c r="J98" s="342"/>
      <c r="K98" s="342"/>
      <c r="L98" s="342"/>
      <c r="M98" s="342"/>
      <c r="N98" s="342"/>
    </row>
    <row r="99" spans="3:14" ht="15.75" x14ac:dyDescent="0.25">
      <c r="C99" t="s">
        <v>1311</v>
      </c>
      <c r="D99" s="342"/>
      <c r="E99" s="342"/>
      <c r="F99" s="342"/>
      <c r="G99" s="342"/>
      <c r="H99" s="342"/>
      <c r="I99" s="342"/>
      <c r="J99" s="342"/>
      <c r="K99" s="342"/>
      <c r="L99" s="342"/>
      <c r="M99" s="342"/>
      <c r="N99" s="342"/>
    </row>
    <row r="100" spans="3:14" ht="15.75" x14ac:dyDescent="0.25">
      <c r="C100" s="342"/>
      <c r="D100" s="342"/>
      <c r="E100" s="342"/>
      <c r="F100" s="342"/>
      <c r="G100" s="342"/>
      <c r="H100" s="342"/>
      <c r="I100" s="342"/>
      <c r="J100" s="342"/>
      <c r="K100" s="342"/>
      <c r="L100" s="342"/>
      <c r="M100" s="342"/>
      <c r="N100" s="342"/>
    </row>
    <row r="101" spans="3:14" ht="15.75" x14ac:dyDescent="0.25">
      <c r="C101" s="342"/>
      <c r="D101" s="342"/>
      <c r="E101" s="342"/>
      <c r="F101" s="342"/>
      <c r="G101" s="342"/>
      <c r="H101" s="342"/>
      <c r="I101" s="342"/>
      <c r="J101" s="342"/>
      <c r="K101" s="342"/>
      <c r="L101" s="342"/>
      <c r="M101" s="342"/>
      <c r="N101" s="342"/>
    </row>
    <row r="102" spans="3:14" ht="15.75" x14ac:dyDescent="0.25">
      <c r="C102" s="342"/>
      <c r="D102" s="343" t="s">
        <v>1387</v>
      </c>
      <c r="E102" s="342"/>
      <c r="F102" s="342"/>
      <c r="G102" s="342"/>
      <c r="H102" s="342"/>
      <c r="I102" s="342"/>
      <c r="J102" s="342"/>
      <c r="K102" s="342"/>
      <c r="L102" s="342"/>
      <c r="M102" s="342"/>
      <c r="N102" s="342"/>
    </row>
    <row r="103" spans="3:14" ht="16.5" thickBot="1" x14ac:dyDescent="0.3">
      <c r="C103" s="342"/>
      <c r="D103" s="342"/>
      <c r="E103" s="342"/>
      <c r="F103" s="342"/>
      <c r="G103" s="342"/>
      <c r="H103" s="342"/>
      <c r="I103" s="342"/>
      <c r="J103" s="342"/>
      <c r="K103" s="342"/>
      <c r="L103" s="342"/>
      <c r="M103" s="342"/>
      <c r="N103" s="342"/>
    </row>
    <row r="104" spans="3:14" ht="16.5" thickBot="1" x14ac:dyDescent="0.3">
      <c r="C104" s="344" t="s">
        <v>1314</v>
      </c>
      <c r="D104" s="345" t="s">
        <v>1315</v>
      </c>
      <c r="E104" s="345" t="s">
        <v>1316</v>
      </c>
      <c r="F104" s="345" t="s">
        <v>1317</v>
      </c>
      <c r="G104" s="346" t="s">
        <v>1318</v>
      </c>
      <c r="H104" s="342"/>
      <c r="I104" s="342"/>
      <c r="J104" s="342"/>
      <c r="K104" s="342"/>
      <c r="L104" s="342"/>
      <c r="M104" s="342"/>
      <c r="N104" s="342"/>
    </row>
    <row r="105" spans="3:14" ht="15.75" x14ac:dyDescent="0.25">
      <c r="C105" s="1121" t="s">
        <v>1388</v>
      </c>
      <c r="D105" s="347" t="s">
        <v>1320</v>
      </c>
      <c r="E105" s="348" t="s">
        <v>1321</v>
      </c>
      <c r="F105" s="348">
        <v>1</v>
      </c>
      <c r="G105" s="1115">
        <v>24799.02</v>
      </c>
      <c r="H105" s="342"/>
      <c r="I105" s="342"/>
      <c r="J105" s="342"/>
      <c r="K105" s="342"/>
      <c r="L105" s="342"/>
      <c r="M105" s="342"/>
      <c r="N105" s="342"/>
    </row>
    <row r="106" spans="3:14" ht="15.75" x14ac:dyDescent="0.25">
      <c r="C106" s="1117"/>
      <c r="D106" s="349" t="s">
        <v>1322</v>
      </c>
      <c r="E106" s="350" t="s">
        <v>1321</v>
      </c>
      <c r="F106" s="350">
        <v>1</v>
      </c>
      <c r="G106" s="1116"/>
      <c r="H106" s="342"/>
      <c r="I106" s="342"/>
      <c r="J106" s="342"/>
      <c r="K106" s="342"/>
      <c r="L106" s="342"/>
      <c r="M106" s="342"/>
      <c r="N106" s="342"/>
    </row>
    <row r="107" spans="3:14" ht="15.75" x14ac:dyDescent="0.25">
      <c r="C107" s="1118"/>
      <c r="D107" s="354" t="s">
        <v>1325</v>
      </c>
      <c r="E107" s="355" t="s">
        <v>1321</v>
      </c>
      <c r="F107" s="355">
        <v>16</v>
      </c>
      <c r="G107" s="1122"/>
      <c r="H107" s="342"/>
      <c r="I107" s="342"/>
      <c r="J107" s="342"/>
      <c r="K107" s="342"/>
      <c r="L107" s="342"/>
      <c r="M107" s="342"/>
      <c r="N107" s="342"/>
    </row>
    <row r="108" spans="3:14" ht="15.75" x14ac:dyDescent="0.25">
      <c r="C108" s="1121" t="s">
        <v>1389</v>
      </c>
      <c r="D108" s="347" t="s">
        <v>1330</v>
      </c>
      <c r="E108" s="348" t="s">
        <v>1331</v>
      </c>
      <c r="F108" s="348">
        <v>8</v>
      </c>
      <c r="G108" s="1115">
        <v>19838.490000000002</v>
      </c>
      <c r="H108" s="342"/>
      <c r="I108" s="342"/>
      <c r="J108" s="342"/>
      <c r="K108" s="342"/>
      <c r="L108" s="342"/>
      <c r="M108" s="342"/>
      <c r="N108" s="342"/>
    </row>
    <row r="109" spans="3:14" ht="15.75" x14ac:dyDescent="0.25">
      <c r="C109" s="1117"/>
      <c r="D109" s="349" t="s">
        <v>1332</v>
      </c>
      <c r="E109" s="350" t="s">
        <v>1331</v>
      </c>
      <c r="F109" s="350">
        <v>8</v>
      </c>
      <c r="G109" s="1116"/>
      <c r="H109" s="342"/>
      <c r="I109" s="342"/>
      <c r="J109" s="342"/>
      <c r="K109" s="342"/>
      <c r="L109" s="342"/>
      <c r="M109" s="342"/>
      <c r="N109" s="342"/>
    </row>
    <row r="110" spans="3:14" ht="15.75" x14ac:dyDescent="0.25">
      <c r="C110" s="1117"/>
      <c r="D110" s="349" t="s">
        <v>1333</v>
      </c>
      <c r="E110" s="350" t="s">
        <v>1331</v>
      </c>
      <c r="F110" s="350">
        <v>2</v>
      </c>
      <c r="G110" s="1116"/>
      <c r="H110" s="342"/>
      <c r="I110" s="342"/>
      <c r="J110" s="342"/>
      <c r="K110" s="342"/>
      <c r="L110" s="342"/>
      <c r="M110" s="342"/>
      <c r="N110" s="342"/>
    </row>
    <row r="111" spans="3:14" ht="15.75" x14ac:dyDescent="0.25">
      <c r="C111" s="1117"/>
      <c r="D111" s="349" t="s">
        <v>1334</v>
      </c>
      <c r="E111" s="350" t="s">
        <v>1321</v>
      </c>
      <c r="F111" s="350">
        <v>1</v>
      </c>
      <c r="G111" s="1116"/>
      <c r="H111" s="342"/>
      <c r="I111" s="342"/>
      <c r="J111" s="342"/>
      <c r="K111" s="342"/>
      <c r="L111" s="342"/>
      <c r="M111" s="342"/>
      <c r="N111" s="342"/>
    </row>
    <row r="112" spans="3:14" ht="15.75" x14ac:dyDescent="0.25">
      <c r="C112" s="1117"/>
      <c r="D112" s="349" t="s">
        <v>1335</v>
      </c>
      <c r="E112" s="350" t="s">
        <v>1321</v>
      </c>
      <c r="F112" s="350">
        <v>1</v>
      </c>
      <c r="G112" s="1116"/>
      <c r="H112" s="342"/>
      <c r="I112" s="342"/>
      <c r="J112" s="342"/>
      <c r="K112" s="342"/>
      <c r="L112" s="342"/>
      <c r="M112" s="342"/>
      <c r="N112" s="342"/>
    </row>
    <row r="113" spans="3:14" ht="15.75" x14ac:dyDescent="0.25">
      <c r="C113" s="1118"/>
      <c r="D113" s="349" t="s">
        <v>1338</v>
      </c>
      <c r="E113" s="350" t="s">
        <v>1321</v>
      </c>
      <c r="F113" s="350">
        <v>3</v>
      </c>
      <c r="G113" s="1116"/>
      <c r="H113" s="342"/>
      <c r="I113" s="342"/>
      <c r="J113" s="342"/>
      <c r="K113" s="342"/>
      <c r="L113" s="342"/>
      <c r="M113" s="342"/>
      <c r="N113" s="342"/>
    </row>
    <row r="114" spans="3:14" ht="15.75" x14ac:dyDescent="0.25">
      <c r="C114" s="627" t="s">
        <v>1390</v>
      </c>
      <c r="D114" s="349" t="s">
        <v>1347</v>
      </c>
      <c r="E114" s="350" t="s">
        <v>1321</v>
      </c>
      <c r="F114" s="675">
        <v>16</v>
      </c>
      <c r="G114" s="636">
        <v>15623.96</v>
      </c>
      <c r="H114" s="342"/>
      <c r="I114" s="342"/>
      <c r="J114" s="342"/>
      <c r="K114" s="342"/>
      <c r="L114" s="342"/>
      <c r="M114" s="342"/>
      <c r="N114" s="342"/>
    </row>
    <row r="115" spans="3:14" ht="15.75" x14ac:dyDescent="0.25">
      <c r="C115" s="1117" t="s">
        <v>1391</v>
      </c>
      <c r="D115" s="349" t="s">
        <v>1358</v>
      </c>
      <c r="E115" s="350" t="s">
        <v>1359</v>
      </c>
      <c r="F115" s="675">
        <v>2</v>
      </c>
      <c r="G115" s="1119">
        <v>6944.38</v>
      </c>
      <c r="H115" s="342"/>
      <c r="I115" s="342"/>
      <c r="J115" s="342"/>
      <c r="K115" s="342"/>
      <c r="L115" s="342"/>
      <c r="M115" s="342"/>
      <c r="N115" s="342"/>
    </row>
    <row r="116" spans="3:14" ht="15.75" x14ac:dyDescent="0.25">
      <c r="C116" s="1118"/>
      <c r="D116" s="354" t="s">
        <v>1360</v>
      </c>
      <c r="E116" s="355" t="s">
        <v>1359</v>
      </c>
      <c r="F116" s="370">
        <v>8</v>
      </c>
      <c r="G116" s="1120"/>
      <c r="H116" s="342"/>
      <c r="I116" s="342"/>
      <c r="J116" s="342"/>
      <c r="K116" s="342"/>
      <c r="L116" s="342"/>
      <c r="M116" s="342"/>
      <c r="N116" s="342"/>
    </row>
    <row r="117" spans="3:14" ht="15.75" x14ac:dyDescent="0.25">
      <c r="C117" s="1121" t="s">
        <v>1392</v>
      </c>
      <c r="D117" s="347" t="s">
        <v>1362</v>
      </c>
      <c r="E117" s="348" t="s">
        <v>1359</v>
      </c>
      <c r="F117" s="348">
        <v>2</v>
      </c>
      <c r="G117" s="1115">
        <v>6200.2</v>
      </c>
      <c r="H117" s="342"/>
      <c r="I117" s="342"/>
      <c r="J117" s="342"/>
      <c r="K117" s="342"/>
      <c r="L117" s="342"/>
      <c r="M117" s="342"/>
      <c r="N117" s="342"/>
    </row>
    <row r="118" spans="3:14" ht="16.5" thickBot="1" x14ac:dyDescent="0.3">
      <c r="C118" s="1118"/>
      <c r="D118" s="354" t="s">
        <v>1363</v>
      </c>
      <c r="E118" s="355" t="s">
        <v>1359</v>
      </c>
      <c r="F118" s="355">
        <v>1</v>
      </c>
      <c r="G118" s="1122"/>
      <c r="H118" s="342"/>
      <c r="I118" s="342"/>
      <c r="J118" s="342"/>
      <c r="K118" s="342"/>
      <c r="L118" s="342"/>
      <c r="M118" s="342"/>
      <c r="N118" s="342"/>
    </row>
    <row r="119" spans="3:14" ht="15.75" x14ac:dyDescent="0.25">
      <c r="C119" s="342" t="s">
        <v>1365</v>
      </c>
      <c r="D119" s="342"/>
      <c r="E119" s="342"/>
      <c r="F119" s="342"/>
      <c r="G119" s="342"/>
      <c r="H119" s="342"/>
      <c r="I119" s="342"/>
      <c r="J119" s="342"/>
      <c r="K119" s="342"/>
      <c r="L119" s="342"/>
      <c r="M119" s="342"/>
      <c r="N119" s="342"/>
    </row>
    <row r="120" spans="3:14" ht="15.75" x14ac:dyDescent="0.25">
      <c r="C120" t="s">
        <v>1311</v>
      </c>
      <c r="D120" s="342"/>
      <c r="E120" s="342"/>
      <c r="F120" s="342"/>
      <c r="G120" s="342"/>
      <c r="H120" s="342"/>
      <c r="I120" s="342"/>
      <c r="J120" s="342"/>
      <c r="K120" s="342"/>
      <c r="L120" s="342"/>
      <c r="M120" s="342"/>
      <c r="N120" s="342"/>
    </row>
    <row r="121" spans="3:14" ht="16.5" thickBot="1" x14ac:dyDescent="0.3">
      <c r="C121" s="342"/>
      <c r="D121" s="342"/>
      <c r="E121" s="342"/>
      <c r="F121" s="342"/>
      <c r="G121" s="342"/>
      <c r="H121" s="342"/>
      <c r="I121" s="342"/>
      <c r="J121" s="342"/>
      <c r="K121" s="342"/>
      <c r="L121" s="342"/>
      <c r="M121" s="342"/>
      <c r="N121" s="342"/>
    </row>
    <row r="122" spans="3:14" ht="16.5" thickBot="1" x14ac:dyDescent="0.3">
      <c r="C122" s="344" t="s">
        <v>1314</v>
      </c>
      <c r="D122" s="345" t="s">
        <v>1315</v>
      </c>
      <c r="E122" s="345" t="s">
        <v>1316</v>
      </c>
      <c r="F122" s="345" t="s">
        <v>1317</v>
      </c>
      <c r="G122" s="346" t="s">
        <v>1318</v>
      </c>
      <c r="H122" s="342"/>
      <c r="I122" s="342"/>
      <c r="J122" s="342"/>
      <c r="K122" s="342"/>
      <c r="L122" s="342"/>
      <c r="M122" s="342"/>
      <c r="N122" s="342"/>
    </row>
    <row r="123" spans="3:14" ht="15.75" x14ac:dyDescent="0.25">
      <c r="C123" s="369" t="s">
        <v>1393</v>
      </c>
      <c r="D123" s="358" t="s">
        <v>1394</v>
      </c>
      <c r="E123" s="359" t="s">
        <v>1321</v>
      </c>
      <c r="F123" s="359">
        <v>1</v>
      </c>
      <c r="G123" s="743">
        <v>36021.699999999997</v>
      </c>
      <c r="H123" s="342"/>
      <c r="I123" s="342"/>
      <c r="J123" s="342"/>
      <c r="K123" s="342"/>
      <c r="L123" s="342"/>
      <c r="M123" s="342"/>
      <c r="N123" s="342"/>
    </row>
    <row r="124" spans="3:14" ht="15.75" x14ac:dyDescent="0.25">
      <c r="C124" s="342" t="s">
        <v>1365</v>
      </c>
      <c r="D124" s="342"/>
      <c r="E124" s="342"/>
      <c r="F124" s="342"/>
      <c r="G124" s="342"/>
      <c r="H124" s="342"/>
      <c r="I124" s="342"/>
      <c r="J124" s="342"/>
      <c r="K124" s="342"/>
      <c r="L124" s="342"/>
      <c r="M124" s="342"/>
      <c r="N124" s="342"/>
    </row>
    <row r="125" spans="3:14" ht="15.75" x14ac:dyDescent="0.25">
      <c r="C125" t="s">
        <v>1311</v>
      </c>
      <c r="D125" s="342"/>
      <c r="E125" s="342"/>
      <c r="F125" s="342"/>
      <c r="G125" s="342"/>
      <c r="H125" s="342"/>
      <c r="I125" s="342"/>
      <c r="J125" s="342"/>
      <c r="K125" s="342"/>
      <c r="L125" s="342"/>
      <c r="M125" s="342"/>
      <c r="N125" s="342"/>
    </row>
    <row r="126" spans="3:14" ht="15.75" x14ac:dyDescent="0.25">
      <c r="C126" s="342"/>
      <c r="D126" s="342"/>
      <c r="E126" s="342"/>
      <c r="F126" s="342"/>
      <c r="G126" s="342"/>
      <c r="H126" s="342"/>
      <c r="I126" s="342"/>
      <c r="J126" s="342"/>
      <c r="K126" s="342"/>
      <c r="L126" s="342"/>
      <c r="M126" s="342"/>
      <c r="N126" s="342"/>
    </row>
    <row r="127" spans="3:14" ht="15.75" x14ac:dyDescent="0.25">
      <c r="C127" s="342"/>
      <c r="D127" s="342"/>
      <c r="E127" s="342"/>
      <c r="F127" s="342"/>
      <c r="G127" s="342"/>
      <c r="H127" s="342"/>
      <c r="I127" s="342"/>
      <c r="J127" s="342"/>
      <c r="K127" s="342"/>
      <c r="L127" s="342"/>
      <c r="M127" s="342"/>
      <c r="N127" s="342"/>
    </row>
    <row r="131" spans="1:8" x14ac:dyDescent="0.25">
      <c r="A131" s="2" t="s">
        <v>1395</v>
      </c>
      <c r="B131" s="2" t="s">
        <v>1396</v>
      </c>
      <c r="C131" s="2" t="s">
        <v>1397</v>
      </c>
      <c r="D131" t="s">
        <v>1398</v>
      </c>
      <c r="E131" s="2" t="s">
        <v>533</v>
      </c>
      <c r="F131" s="2" t="s">
        <v>1317</v>
      </c>
      <c r="G131" s="2" t="s">
        <v>1318</v>
      </c>
    </row>
    <row r="132" spans="1:8" x14ac:dyDescent="0.25">
      <c r="A132">
        <v>1</v>
      </c>
      <c r="B132" t="s">
        <v>1266</v>
      </c>
      <c r="C132" t="s">
        <v>1399</v>
      </c>
      <c r="D132" t="s">
        <v>1400</v>
      </c>
      <c r="E132" s="125" t="s">
        <v>1401</v>
      </c>
      <c r="G132" s="4">
        <f>$G$23</f>
        <v>5187.2299999999996</v>
      </c>
    </row>
    <row r="133" spans="1:8" x14ac:dyDescent="0.25">
      <c r="A133">
        <v>1</v>
      </c>
      <c r="B133" t="s">
        <v>1261</v>
      </c>
      <c r="C133" t="s">
        <v>1402</v>
      </c>
      <c r="D133" t="s">
        <v>1400</v>
      </c>
      <c r="E133" t="s">
        <v>1403</v>
      </c>
      <c r="G133" s="4">
        <f>$J$21</f>
        <v>2247.73</v>
      </c>
    </row>
    <row r="134" spans="1:8" x14ac:dyDescent="0.25">
      <c r="A134">
        <v>1</v>
      </c>
      <c r="B134" t="s">
        <v>1283</v>
      </c>
      <c r="C134" t="s">
        <v>1404</v>
      </c>
      <c r="D134" t="s">
        <v>1405</v>
      </c>
      <c r="E134" t="s">
        <v>1406</v>
      </c>
      <c r="G134" s="4">
        <f>$D$29</f>
        <v>15615.13</v>
      </c>
    </row>
    <row r="135" spans="1:8" x14ac:dyDescent="0.25">
      <c r="A135">
        <v>2</v>
      </c>
      <c r="B135" t="s">
        <v>1259</v>
      </c>
      <c r="C135" t="s">
        <v>1407</v>
      </c>
      <c r="D135" t="s">
        <v>1405</v>
      </c>
      <c r="E135" t="s">
        <v>1408</v>
      </c>
      <c r="G135" s="4">
        <f>$D$21</f>
        <v>12089.99</v>
      </c>
    </row>
    <row r="136" spans="1:8" x14ac:dyDescent="0.25">
      <c r="A136">
        <v>3</v>
      </c>
      <c r="B136" t="s">
        <v>1280</v>
      </c>
      <c r="C136" t="s">
        <v>1409</v>
      </c>
      <c r="D136" t="s">
        <v>1405</v>
      </c>
      <c r="E136" t="s">
        <v>1410</v>
      </c>
      <c r="G136" s="4">
        <f>$D$28</f>
        <v>15123.65</v>
      </c>
    </row>
    <row r="137" spans="1:8" x14ac:dyDescent="0.25">
      <c r="A137">
        <v>1</v>
      </c>
      <c r="B137" t="s">
        <v>1244</v>
      </c>
      <c r="C137" t="s">
        <v>1411</v>
      </c>
      <c r="D137" t="s">
        <v>1405</v>
      </c>
      <c r="E137" t="s">
        <v>1412</v>
      </c>
      <c r="G137" s="4">
        <f>$D$16</f>
        <v>10303.280000000001</v>
      </c>
      <c r="H137" t="s">
        <v>1413</v>
      </c>
    </row>
    <row r="138" spans="1:8" x14ac:dyDescent="0.25">
      <c r="A138">
        <v>1</v>
      </c>
      <c r="B138" t="s">
        <v>1245</v>
      </c>
      <c r="C138" t="s">
        <v>1414</v>
      </c>
      <c r="D138" t="s">
        <v>1415</v>
      </c>
      <c r="E138" t="s">
        <v>1416</v>
      </c>
      <c r="G138" s="4">
        <f>$G$16</f>
        <v>4146.68</v>
      </c>
    </row>
    <row r="139" spans="1:8" x14ac:dyDescent="0.25">
      <c r="A139">
        <v>1</v>
      </c>
      <c r="B139" t="s">
        <v>1233</v>
      </c>
      <c r="C139" t="s">
        <v>1417</v>
      </c>
      <c r="D139" t="s">
        <v>1415</v>
      </c>
      <c r="E139" t="s">
        <v>1415</v>
      </c>
      <c r="G139" s="4">
        <f>$G$12</f>
        <v>3648.7</v>
      </c>
    </row>
    <row r="140" spans="1:8" x14ac:dyDescent="0.25">
      <c r="A140">
        <v>1</v>
      </c>
      <c r="B140" t="s">
        <v>1232</v>
      </c>
      <c r="C140" t="s">
        <v>1418</v>
      </c>
      <c r="D140" t="s">
        <v>1405</v>
      </c>
      <c r="E140" t="s">
        <v>1419</v>
      </c>
      <c r="G140" s="4">
        <f>$D$12</f>
        <v>9065.9500000000007</v>
      </c>
    </row>
    <row r="141" spans="1:8" x14ac:dyDescent="0.25">
      <c r="A141">
        <v>3</v>
      </c>
      <c r="B141" t="s">
        <v>1280</v>
      </c>
      <c r="C141" t="s">
        <v>1420</v>
      </c>
      <c r="D141" t="s">
        <v>1405</v>
      </c>
      <c r="E141" t="s">
        <v>1421</v>
      </c>
      <c r="G141" s="4">
        <f>D28</f>
        <v>15123.65</v>
      </c>
    </row>
    <row r="142" spans="1:8" x14ac:dyDescent="0.25">
      <c r="A142">
        <v>2</v>
      </c>
      <c r="B142" t="s">
        <v>1244</v>
      </c>
      <c r="C142" t="s">
        <v>1422</v>
      </c>
      <c r="D142" t="s">
        <v>1405</v>
      </c>
      <c r="E142" t="s">
        <v>1423</v>
      </c>
      <c r="G142" s="4">
        <f>$D$16</f>
        <v>10303.280000000001</v>
      </c>
    </row>
    <row r="143" spans="1:8" x14ac:dyDescent="0.25">
      <c r="A143">
        <v>3</v>
      </c>
      <c r="B143" t="s">
        <v>1280</v>
      </c>
      <c r="C143" t="s">
        <v>1424</v>
      </c>
      <c r="D143" t="s">
        <v>1405</v>
      </c>
      <c r="E143" t="s">
        <v>1425</v>
      </c>
      <c r="G143" s="4">
        <f>D28</f>
        <v>15123.65</v>
      </c>
    </row>
    <row r="144" spans="1:8" x14ac:dyDescent="0.25">
      <c r="A144">
        <v>1</v>
      </c>
      <c r="B144" t="s">
        <v>1232</v>
      </c>
      <c r="C144" t="s">
        <v>1426</v>
      </c>
      <c r="D144" t="s">
        <v>1405</v>
      </c>
      <c r="E144" t="s">
        <v>1427</v>
      </c>
      <c r="G144" s="4">
        <f>$D$12</f>
        <v>9065.9500000000007</v>
      </c>
    </row>
    <row r="145" spans="1:7" x14ac:dyDescent="0.25">
      <c r="A145">
        <v>1</v>
      </c>
      <c r="B145" t="s">
        <v>1242</v>
      </c>
      <c r="C145" t="s">
        <v>1428</v>
      </c>
      <c r="D145" t="s">
        <v>1415</v>
      </c>
      <c r="E145" t="s">
        <v>1429</v>
      </c>
      <c r="G145" s="4">
        <f>$G$15</f>
        <v>4016.15</v>
      </c>
    </row>
    <row r="146" spans="1:7" x14ac:dyDescent="0.25">
      <c r="A146">
        <v>1</v>
      </c>
      <c r="B146" t="s">
        <v>1232</v>
      </c>
      <c r="C146" t="s">
        <v>1430</v>
      </c>
      <c r="D146" t="s">
        <v>1405</v>
      </c>
      <c r="E146" t="s">
        <v>1431</v>
      </c>
      <c r="G146" s="4">
        <f>$D$12</f>
        <v>9065.9500000000007</v>
      </c>
    </row>
    <row r="147" spans="1:7" x14ac:dyDescent="0.25">
      <c r="A147">
        <v>3</v>
      </c>
      <c r="B147" t="s">
        <v>1280</v>
      </c>
      <c r="C147" t="s">
        <v>1432</v>
      </c>
      <c r="D147" t="s">
        <v>1405</v>
      </c>
      <c r="E147" t="s">
        <v>1433</v>
      </c>
      <c r="G147" s="4">
        <f>$D$28</f>
        <v>15123.65</v>
      </c>
    </row>
    <row r="148" spans="1:7" x14ac:dyDescent="0.25">
      <c r="B148" t="s">
        <v>1238</v>
      </c>
      <c r="C148" t="s">
        <v>1434</v>
      </c>
      <c r="D148" t="s">
        <v>1405</v>
      </c>
      <c r="E148" s="125" t="s">
        <v>1435</v>
      </c>
      <c r="G148" s="4">
        <f>$D$14</f>
        <v>9664.8700000000008</v>
      </c>
    </row>
    <row r="149" spans="1:7" x14ac:dyDescent="0.25">
      <c r="B149" t="s">
        <v>1232</v>
      </c>
      <c r="C149" t="s">
        <v>1436</v>
      </c>
      <c r="D149" t="s">
        <v>1405</v>
      </c>
      <c r="E149" t="s">
        <v>1437</v>
      </c>
      <c r="G149" s="4">
        <f>$D$12</f>
        <v>9065.9500000000007</v>
      </c>
    </row>
    <row r="150" spans="1:7" x14ac:dyDescent="0.25">
      <c r="B150" t="s">
        <v>1254</v>
      </c>
      <c r="C150" t="s">
        <v>1438</v>
      </c>
      <c r="D150" t="s">
        <v>1415</v>
      </c>
      <c r="E150" t="s">
        <v>1439</v>
      </c>
      <c r="G150" s="4">
        <f>$G$19</f>
        <v>4564.26</v>
      </c>
    </row>
  </sheetData>
  <mergeCells count="37">
    <mergeCell ref="C63:C70"/>
    <mergeCell ref="G63:G70"/>
    <mergeCell ref="J66:K66"/>
    <mergeCell ref="J48:J49"/>
    <mergeCell ref="K48:L48"/>
    <mergeCell ref="K50:L50"/>
    <mergeCell ref="K51:L51"/>
    <mergeCell ref="K52:L52"/>
    <mergeCell ref="K53:L53"/>
    <mergeCell ref="K54:L54"/>
    <mergeCell ref="N48:N49"/>
    <mergeCell ref="C49:C51"/>
    <mergeCell ref="G49:G51"/>
    <mergeCell ref="K49:L49"/>
    <mergeCell ref="C53:C62"/>
    <mergeCell ref="G53:G62"/>
    <mergeCell ref="K56:L56"/>
    <mergeCell ref="M48:M49"/>
    <mergeCell ref="C105:C107"/>
    <mergeCell ref="G105:G107"/>
    <mergeCell ref="C71:C73"/>
    <mergeCell ref="G71:G73"/>
    <mergeCell ref="C74:C76"/>
    <mergeCell ref="G74:G76"/>
    <mergeCell ref="C77:C79"/>
    <mergeCell ref="G77:G79"/>
    <mergeCell ref="C92:C94"/>
    <mergeCell ref="G92:G94"/>
    <mergeCell ref="C96:C97"/>
    <mergeCell ref="G96:G97"/>
    <mergeCell ref="G87:G89"/>
    <mergeCell ref="G108:G113"/>
    <mergeCell ref="C115:C116"/>
    <mergeCell ref="G115:G116"/>
    <mergeCell ref="C117:C118"/>
    <mergeCell ref="G117:G118"/>
    <mergeCell ref="C108:C113"/>
  </mergeCells>
  <pageMargins left="0.511811024" right="0.511811024" top="0.78740157499999996" bottom="0.78740157499999996" header="0.31496062000000002" footer="0.3149606200000000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116"/>
  <sheetViews>
    <sheetView workbookViewId="0"/>
  </sheetViews>
  <sheetFormatPr defaultColWidth="8.85546875" defaultRowHeight="15" x14ac:dyDescent="0.25"/>
  <cols>
    <col min="3" max="3" width="51.7109375" customWidth="1"/>
    <col min="4" max="4" width="23.7109375" customWidth="1"/>
    <col min="5" max="5" width="18.28515625" customWidth="1"/>
    <col min="6" max="6" width="15.85546875" customWidth="1"/>
    <col min="7" max="7" width="16.42578125" customWidth="1"/>
    <col min="8" max="8" width="17.7109375" customWidth="1"/>
    <col min="9" max="9" width="30.28515625" customWidth="1"/>
  </cols>
  <sheetData>
    <row r="1" spans="1:10" x14ac:dyDescent="0.25">
      <c r="C1" s="2" t="s">
        <v>119</v>
      </c>
    </row>
    <row r="2" spans="1:10" x14ac:dyDescent="0.25">
      <c r="C2" s="194"/>
      <c r="D2" s="678" t="s">
        <v>1440</v>
      </c>
    </row>
    <row r="3" spans="1:10" x14ac:dyDescent="0.25">
      <c r="C3" s="224"/>
      <c r="D3" s="224"/>
      <c r="E3" s="224"/>
      <c r="F3" s="224"/>
      <c r="G3" s="227" t="s">
        <v>1441</v>
      </c>
      <c r="H3" s="686">
        <v>0.39832899999999999</v>
      </c>
      <c r="I3" s="303"/>
      <c r="J3" s="224"/>
    </row>
    <row r="4" spans="1:10" ht="25.5" customHeight="1" x14ac:dyDescent="0.25">
      <c r="B4" s="158"/>
      <c r="C4" s="1146" t="s">
        <v>1442</v>
      </c>
      <c r="D4" s="676" t="s">
        <v>1033</v>
      </c>
      <c r="E4" s="1149" t="s">
        <v>1443</v>
      </c>
      <c r="F4" s="1149" t="s">
        <v>1444</v>
      </c>
      <c r="G4" s="1149" t="s">
        <v>1445</v>
      </c>
      <c r="H4" s="1149" t="s">
        <v>1446</v>
      </c>
      <c r="I4" s="1152" t="s">
        <v>1447</v>
      </c>
      <c r="J4" s="224"/>
    </row>
    <row r="5" spans="1:10" x14ac:dyDescent="0.25">
      <c r="B5" s="158"/>
      <c r="C5" s="1147"/>
      <c r="D5" s="572" t="s">
        <v>1448</v>
      </c>
      <c r="E5" s="1150"/>
      <c r="F5" s="1150"/>
      <c r="G5" s="1150"/>
      <c r="H5" s="1150"/>
      <c r="I5" s="1153"/>
      <c r="J5" s="224"/>
    </row>
    <row r="6" spans="1:10" x14ac:dyDescent="0.25">
      <c r="B6" s="158"/>
      <c r="C6" s="1148"/>
      <c r="D6" s="571" t="s">
        <v>1449</v>
      </c>
      <c r="E6" s="1151"/>
      <c r="F6" s="1151"/>
      <c r="G6" s="1151"/>
      <c r="H6" s="1151"/>
      <c r="I6" s="1154"/>
      <c r="J6" s="224"/>
    </row>
    <row r="7" spans="1:10" x14ac:dyDescent="0.25">
      <c r="A7" t="s">
        <v>1397</v>
      </c>
      <c r="B7" s="160" t="s">
        <v>1450</v>
      </c>
      <c r="C7" s="1155" t="s">
        <v>1451</v>
      </c>
      <c r="D7" s="1156"/>
      <c r="E7" s="1156"/>
      <c r="F7" s="1156"/>
      <c r="G7" s="1156"/>
      <c r="H7" s="1156"/>
      <c r="I7" s="1156"/>
      <c r="J7" s="224"/>
    </row>
    <row r="8" spans="1:10" x14ac:dyDescent="0.25">
      <c r="A8" t="s">
        <v>1393</v>
      </c>
      <c r="B8" s="160" t="s">
        <v>1452</v>
      </c>
      <c r="C8" s="565" t="s">
        <v>1453</v>
      </c>
      <c r="D8" s="742">
        <f>IFERROR(VLOOKUP(A8,'TABELA SALARIAL CODEVASF'!C:G,5,0),"")</f>
        <v>36021.699999999997</v>
      </c>
      <c r="E8" s="566">
        <v>1</v>
      </c>
      <c r="F8" s="567">
        <f>1/6</f>
        <v>0.16666666666666666</v>
      </c>
      <c r="G8" s="306">
        <f t="shared" ref="G8:G13" si="0">D8*(1+$H$3)*E8*F8</f>
        <v>8395.0312898833326</v>
      </c>
      <c r="H8" s="306">
        <f t="shared" ref="H8:H13" si="1">G8*12</f>
        <v>100740.37547859999</v>
      </c>
      <c r="I8" s="568">
        <f>H8</f>
        <v>100740.37547859999</v>
      </c>
      <c r="J8" s="301"/>
    </row>
    <row r="9" spans="1:10" x14ac:dyDescent="0.25">
      <c r="A9" t="s">
        <v>1329</v>
      </c>
      <c r="B9" s="160" t="s">
        <v>1452</v>
      </c>
      <c r="C9" s="125" t="s">
        <v>1454</v>
      </c>
      <c r="D9" s="742">
        <f>IFERROR(VLOOKUP(A9,'TABELA SALARIAL CODEVASF'!C:G,5,0),"")</f>
        <v>19838.490000000002</v>
      </c>
      <c r="E9" s="124">
        <v>1</v>
      </c>
      <c r="F9" s="569">
        <v>1</v>
      </c>
      <c r="G9" s="306">
        <f t="shared" si="0"/>
        <v>27740.73588321</v>
      </c>
      <c r="H9" s="306">
        <f t="shared" si="1"/>
        <v>332888.83059852</v>
      </c>
      <c r="I9" s="570">
        <f>H9+D9*(1+1/3)</f>
        <v>359340.15059852001</v>
      </c>
      <c r="J9" s="302"/>
    </row>
    <row r="10" spans="1:10" x14ac:dyDescent="0.25">
      <c r="A10" t="s">
        <v>1326</v>
      </c>
      <c r="B10" s="160" t="s">
        <v>1452</v>
      </c>
      <c r="C10" s="125" t="s">
        <v>1455</v>
      </c>
      <c r="D10" s="742">
        <f>IFERROR(VLOOKUP(A10,'TABELA SALARIAL CODEVASF'!C:G,5,0),"")</f>
        <v>22319.69</v>
      </c>
      <c r="E10" s="124">
        <v>3</v>
      </c>
      <c r="F10" s="569">
        <v>0.3</v>
      </c>
      <c r="G10" s="306">
        <f t="shared" si="0"/>
        <v>28089.242818208997</v>
      </c>
      <c r="H10" s="306">
        <f t="shared" si="1"/>
        <v>337070.91381850798</v>
      </c>
      <c r="I10" s="570">
        <f t="shared" ref="I10:I61" si="2">H10+D10*(1+1/3)</f>
        <v>366830.50048517465</v>
      </c>
      <c r="J10" s="224"/>
    </row>
    <row r="11" spans="1:10" x14ac:dyDescent="0.25">
      <c r="A11" t="s">
        <v>1399</v>
      </c>
      <c r="B11" s="160" t="s">
        <v>1452</v>
      </c>
      <c r="C11" s="125" t="s">
        <v>1401</v>
      </c>
      <c r="D11" s="742">
        <f>IFERROR(VLOOKUP(A11,'TABELA SALARIAL CODEVASF'!C:G,5,0),"")</f>
        <v>5187.2299999999996</v>
      </c>
      <c r="E11" s="124">
        <v>1</v>
      </c>
      <c r="F11" s="569">
        <v>0.3</v>
      </c>
      <c r="G11" s="306">
        <f t="shared" si="0"/>
        <v>2176.0362416009998</v>
      </c>
      <c r="H11" s="306">
        <f t="shared" si="1"/>
        <v>26112.434899211999</v>
      </c>
      <c r="I11" s="570">
        <f t="shared" si="2"/>
        <v>33028.741565878663</v>
      </c>
      <c r="J11" s="224"/>
    </row>
    <row r="12" spans="1:10" x14ac:dyDescent="0.25">
      <c r="A12" t="s">
        <v>1402</v>
      </c>
      <c r="B12" s="160" t="s">
        <v>1452</v>
      </c>
      <c r="C12" s="125" t="s">
        <v>1403</v>
      </c>
      <c r="D12" s="742">
        <f>IFERROR(VLOOKUP(A12,'TABELA SALARIAL CODEVASF'!C:G,5,0),"")</f>
        <v>2247.73</v>
      </c>
      <c r="E12" s="124">
        <v>1</v>
      </c>
      <c r="F12" s="569">
        <v>0.3</v>
      </c>
      <c r="G12" s="306">
        <f t="shared" si="0"/>
        <v>942.91981295099993</v>
      </c>
      <c r="H12" s="306">
        <f t="shared" si="1"/>
        <v>11315.037755411999</v>
      </c>
      <c r="I12" s="570">
        <f t="shared" si="2"/>
        <v>14312.011088745332</v>
      </c>
      <c r="J12" s="224"/>
    </row>
    <row r="13" spans="1:10" x14ac:dyDescent="0.25">
      <c r="A13" t="s">
        <v>1404</v>
      </c>
      <c r="B13" s="160" t="s">
        <v>1452</v>
      </c>
      <c r="C13" s="125" t="s">
        <v>1456</v>
      </c>
      <c r="D13" s="742">
        <f>IFERROR(VLOOKUP(A13,'TABELA SALARIAL CODEVASF'!C:G,5,0),"")</f>
        <v>15615.13</v>
      </c>
      <c r="E13" s="124">
        <v>1</v>
      </c>
      <c r="F13" s="569">
        <v>1</v>
      </c>
      <c r="G13" s="306">
        <f t="shared" si="0"/>
        <v>21835.08911777</v>
      </c>
      <c r="H13" s="306">
        <f t="shared" si="1"/>
        <v>262021.06941324001</v>
      </c>
      <c r="I13" s="570">
        <f t="shared" si="2"/>
        <v>282841.24274657335</v>
      </c>
      <c r="J13" s="224"/>
    </row>
    <row r="14" spans="1:10" x14ac:dyDescent="0.25">
      <c r="B14" s="160" t="s">
        <v>1452</v>
      </c>
      <c r="C14" s="1144" t="s">
        <v>1457</v>
      </c>
      <c r="D14" s="1145"/>
      <c r="E14" s="1145"/>
      <c r="F14" s="1145"/>
      <c r="G14" s="1145"/>
      <c r="H14" s="1145"/>
      <c r="I14" s="1145"/>
      <c r="J14" s="224"/>
    </row>
    <row r="15" spans="1:10" x14ac:dyDescent="0.25">
      <c r="A15" t="s">
        <v>1319</v>
      </c>
      <c r="B15" s="160" t="s">
        <v>1452</v>
      </c>
      <c r="C15" s="565" t="s">
        <v>1458</v>
      </c>
      <c r="D15" s="742">
        <f>IFERROR(VLOOKUP(A15,'TABELA SALARIAL CODEVASF'!C:G,5,0),"")</f>
        <v>24799.02</v>
      </c>
      <c r="E15" s="124">
        <v>1</v>
      </c>
      <c r="F15" s="569">
        <v>0.5</v>
      </c>
      <c r="G15" s="306">
        <f t="shared" ref="G15:G46" si="3">D15*(1+$H$3)*E15*F15</f>
        <v>17338.594418789999</v>
      </c>
      <c r="H15" s="306">
        <f t="shared" ref="H15:H46" si="4">G15*12</f>
        <v>208063.13302547997</v>
      </c>
      <c r="I15" s="568">
        <f>H15</f>
        <v>208063.13302547997</v>
      </c>
      <c r="J15" s="224"/>
    </row>
    <row r="16" spans="1:10" x14ac:dyDescent="0.25">
      <c r="A16" t="s">
        <v>1399</v>
      </c>
      <c r="B16" s="160" t="s">
        <v>1452</v>
      </c>
      <c r="C16" s="125" t="s">
        <v>1401</v>
      </c>
      <c r="D16" s="742">
        <f>IFERROR(VLOOKUP(A16,'TABELA SALARIAL CODEVASF'!C:G,5,0),"")</f>
        <v>5187.2299999999996</v>
      </c>
      <c r="E16" s="124">
        <v>2</v>
      </c>
      <c r="F16" s="569">
        <v>0.4</v>
      </c>
      <c r="G16" s="306">
        <f t="shared" si="3"/>
        <v>5802.7633109359995</v>
      </c>
      <c r="H16" s="306">
        <f t="shared" si="4"/>
        <v>69633.159731231994</v>
      </c>
      <c r="I16" s="570">
        <f t="shared" si="2"/>
        <v>76549.466397898665</v>
      </c>
      <c r="J16" s="224"/>
    </row>
    <row r="17" spans="1:10" x14ac:dyDescent="0.25">
      <c r="A17" t="s">
        <v>1407</v>
      </c>
      <c r="B17" s="160" t="s">
        <v>1452</v>
      </c>
      <c r="C17" s="125" t="s">
        <v>1459</v>
      </c>
      <c r="D17" s="742">
        <f>IFERROR(VLOOKUP(A17,'TABELA SALARIAL CODEVASF'!C:G,5,0),"")</f>
        <v>12089.99</v>
      </c>
      <c r="E17" s="124">
        <v>2</v>
      </c>
      <c r="F17" s="569">
        <v>1</v>
      </c>
      <c r="G17" s="306">
        <f t="shared" si="3"/>
        <v>33811.567253419998</v>
      </c>
      <c r="H17" s="306">
        <f t="shared" si="4"/>
        <v>405738.80704103998</v>
      </c>
      <c r="I17" s="570">
        <f t="shared" si="2"/>
        <v>421858.79370770667</v>
      </c>
      <c r="J17" s="224"/>
    </row>
    <row r="18" spans="1:10" x14ac:dyDescent="0.25">
      <c r="A18" t="s">
        <v>1409</v>
      </c>
      <c r="B18" s="160" t="s">
        <v>1452</v>
      </c>
      <c r="C18" s="125" t="s">
        <v>1460</v>
      </c>
      <c r="D18" s="742">
        <f>IFERROR(VLOOKUP(A18,'TABELA SALARIAL CODEVASF'!C:G,5,0),"")</f>
        <v>15123.65</v>
      </c>
      <c r="E18" s="124">
        <v>3</v>
      </c>
      <c r="F18" s="569">
        <v>1</v>
      </c>
      <c r="G18" s="306">
        <f t="shared" si="3"/>
        <v>63443.515142550001</v>
      </c>
      <c r="H18" s="306">
        <f t="shared" si="4"/>
        <v>761322.18171060004</v>
      </c>
      <c r="I18" s="570">
        <f t="shared" si="2"/>
        <v>781487.04837726674</v>
      </c>
      <c r="J18" s="224"/>
    </row>
    <row r="19" spans="1:10" x14ac:dyDescent="0.25">
      <c r="A19" t="s">
        <v>1407</v>
      </c>
      <c r="B19" s="160" t="s">
        <v>1452</v>
      </c>
      <c r="C19" s="125" t="s">
        <v>1461</v>
      </c>
      <c r="D19" s="742">
        <f>IFERROR(VLOOKUP(A19,'TABELA SALARIAL CODEVASF'!C:G,5,0),"")</f>
        <v>12089.99</v>
      </c>
      <c r="E19" s="124">
        <v>1</v>
      </c>
      <c r="F19" s="569">
        <v>1</v>
      </c>
      <c r="G19" s="306">
        <f t="shared" si="3"/>
        <v>16905.783626709999</v>
      </c>
      <c r="H19" s="306">
        <f t="shared" si="4"/>
        <v>202869.40352051999</v>
      </c>
      <c r="I19" s="570">
        <f t="shared" si="2"/>
        <v>218989.39018718665</v>
      </c>
      <c r="J19" s="224"/>
    </row>
    <row r="20" spans="1:10" x14ac:dyDescent="0.25">
      <c r="A20" t="s">
        <v>1407</v>
      </c>
      <c r="B20" s="160" t="s">
        <v>1452</v>
      </c>
      <c r="C20" s="125" t="s">
        <v>1462</v>
      </c>
      <c r="D20" s="742">
        <f>IFERROR(VLOOKUP(A20,'TABELA SALARIAL CODEVASF'!C:G,5,0),"")</f>
        <v>12089.99</v>
      </c>
      <c r="E20" s="124">
        <v>1</v>
      </c>
      <c r="F20" s="569">
        <v>1</v>
      </c>
      <c r="G20" s="306">
        <f t="shared" si="3"/>
        <v>16905.783626709999</v>
      </c>
      <c r="H20" s="306">
        <f t="shared" si="4"/>
        <v>202869.40352051999</v>
      </c>
      <c r="I20" s="570">
        <f t="shared" si="2"/>
        <v>218989.39018718665</v>
      </c>
      <c r="J20" s="224"/>
    </row>
    <row r="21" spans="1:10" x14ac:dyDescent="0.25">
      <c r="A21" t="s">
        <v>1409</v>
      </c>
      <c r="B21" s="160" t="s">
        <v>1452</v>
      </c>
      <c r="C21" s="125" t="s">
        <v>1463</v>
      </c>
      <c r="D21" s="742">
        <f>IFERROR(VLOOKUP(A21,'TABELA SALARIAL CODEVASF'!C:G,5,0),"")</f>
        <v>15123.65</v>
      </c>
      <c r="E21" s="124">
        <v>4</v>
      </c>
      <c r="F21" s="569">
        <v>1</v>
      </c>
      <c r="G21" s="306">
        <f t="shared" si="3"/>
        <v>84591.353523400001</v>
      </c>
      <c r="H21" s="306">
        <f t="shared" si="4"/>
        <v>1015096.2422808</v>
      </c>
      <c r="I21" s="570">
        <f t="shared" si="2"/>
        <v>1035261.1089474667</v>
      </c>
      <c r="J21" s="224"/>
    </row>
    <row r="22" spans="1:10" x14ac:dyDescent="0.25">
      <c r="A22" t="s">
        <v>1409</v>
      </c>
      <c r="B22" s="160" t="s">
        <v>1464</v>
      </c>
      <c r="C22" s="125" t="s">
        <v>1463</v>
      </c>
      <c r="D22" s="742">
        <f>IFERROR(VLOOKUP(A22,'TABELA SALARIAL CODEVASF'!C:G,5,0),"")</f>
        <v>15123.65</v>
      </c>
      <c r="E22" s="124">
        <v>1</v>
      </c>
      <c r="F22" s="569">
        <v>1</v>
      </c>
      <c r="G22" s="306">
        <f t="shared" si="3"/>
        <v>21147.83838085</v>
      </c>
      <c r="H22" s="306">
        <f t="shared" si="4"/>
        <v>253774.0605702</v>
      </c>
      <c r="I22" s="570">
        <f t="shared" si="2"/>
        <v>273938.92723686667</v>
      </c>
      <c r="J22" s="224"/>
    </row>
    <row r="23" spans="1:10" x14ac:dyDescent="0.25">
      <c r="A23" t="s">
        <v>1407</v>
      </c>
      <c r="B23" s="160" t="s">
        <v>1464</v>
      </c>
      <c r="C23" s="125" t="s">
        <v>1465</v>
      </c>
      <c r="D23" s="742">
        <f>IFERROR(VLOOKUP(A23,'TABELA SALARIAL CODEVASF'!C:G,5,0),"")</f>
        <v>12089.99</v>
      </c>
      <c r="E23" s="124">
        <v>1</v>
      </c>
      <c r="F23" s="569">
        <v>1</v>
      </c>
      <c r="G23" s="306">
        <f t="shared" si="3"/>
        <v>16905.783626709999</v>
      </c>
      <c r="H23" s="306">
        <f t="shared" si="4"/>
        <v>202869.40352051999</v>
      </c>
      <c r="I23" s="570">
        <f t="shared" si="2"/>
        <v>218989.39018718665</v>
      </c>
      <c r="J23" s="224"/>
    </row>
    <row r="24" spans="1:10" x14ac:dyDescent="0.25">
      <c r="A24" t="s">
        <v>1411</v>
      </c>
      <c r="B24" s="160" t="s">
        <v>1464</v>
      </c>
      <c r="C24" s="125" t="s">
        <v>1466</v>
      </c>
      <c r="D24" s="742">
        <f>IFERROR(VLOOKUP(A24,'TABELA SALARIAL CODEVASF'!C:G,5,0),"")</f>
        <v>10303.280000000001</v>
      </c>
      <c r="E24" s="124">
        <v>1</v>
      </c>
      <c r="F24" s="569">
        <v>1</v>
      </c>
      <c r="G24" s="306">
        <f t="shared" si="3"/>
        <v>14407.37521912</v>
      </c>
      <c r="H24" s="306">
        <f t="shared" si="4"/>
        <v>172888.50262943999</v>
      </c>
      <c r="I24" s="570">
        <f t="shared" si="2"/>
        <v>186626.20929610665</v>
      </c>
      <c r="J24" s="224"/>
    </row>
    <row r="25" spans="1:10" x14ac:dyDescent="0.25">
      <c r="A25" t="s">
        <v>1409</v>
      </c>
      <c r="B25" s="160" t="s">
        <v>1464</v>
      </c>
      <c r="C25" s="125" t="s">
        <v>1467</v>
      </c>
      <c r="D25" s="742">
        <f>IFERROR(VLOOKUP(A25,'TABELA SALARIAL CODEVASF'!C:G,5,0),"")</f>
        <v>15123.65</v>
      </c>
      <c r="E25" s="124">
        <v>1</v>
      </c>
      <c r="F25" s="569">
        <v>1</v>
      </c>
      <c r="G25" s="306">
        <f t="shared" si="3"/>
        <v>21147.83838085</v>
      </c>
      <c r="H25" s="306">
        <f t="shared" si="4"/>
        <v>253774.0605702</v>
      </c>
      <c r="I25" s="570">
        <f t="shared" si="2"/>
        <v>273938.92723686667</v>
      </c>
      <c r="J25" s="224"/>
    </row>
    <row r="26" spans="1:10" x14ac:dyDescent="0.25">
      <c r="A26" t="s">
        <v>1407</v>
      </c>
      <c r="B26" s="160" t="s">
        <v>1464</v>
      </c>
      <c r="C26" s="125" t="s">
        <v>1468</v>
      </c>
      <c r="D26" s="742">
        <f>IFERROR(VLOOKUP(A26,'TABELA SALARIAL CODEVASF'!C:G,5,0),"")</f>
        <v>12089.99</v>
      </c>
      <c r="E26" s="124">
        <v>1</v>
      </c>
      <c r="F26" s="569">
        <v>1</v>
      </c>
      <c r="G26" s="306">
        <f t="shared" si="3"/>
        <v>16905.783626709999</v>
      </c>
      <c r="H26" s="306">
        <f t="shared" si="4"/>
        <v>202869.40352051999</v>
      </c>
      <c r="I26" s="570">
        <f t="shared" si="2"/>
        <v>218989.39018718665</v>
      </c>
      <c r="J26" s="224"/>
    </row>
    <row r="27" spans="1:10" x14ac:dyDescent="0.25">
      <c r="A27" t="s">
        <v>1414</v>
      </c>
      <c r="B27" s="160" t="s">
        <v>1464</v>
      </c>
      <c r="C27" s="125" t="s">
        <v>1469</v>
      </c>
      <c r="D27" s="742">
        <f>IFERROR(VLOOKUP(A27,'TABELA SALARIAL CODEVASF'!C:G,5,0),"")</f>
        <v>4146.68</v>
      </c>
      <c r="E27" s="124">
        <v>2</v>
      </c>
      <c r="F27" s="569">
        <v>1</v>
      </c>
      <c r="G27" s="306">
        <f t="shared" si="3"/>
        <v>11596.84579544</v>
      </c>
      <c r="H27" s="306">
        <f t="shared" si="4"/>
        <v>139162.14954528</v>
      </c>
      <c r="I27" s="570">
        <f t="shared" si="2"/>
        <v>144691.05621194668</v>
      </c>
      <c r="J27" s="224"/>
    </row>
    <row r="28" spans="1:10" x14ac:dyDescent="0.25">
      <c r="A28" t="s">
        <v>1407</v>
      </c>
      <c r="B28" s="160" t="s">
        <v>1464</v>
      </c>
      <c r="C28" s="125" t="s">
        <v>1465</v>
      </c>
      <c r="D28" s="742">
        <f>IFERROR(VLOOKUP(A28,'TABELA SALARIAL CODEVASF'!C:G,5,0),"")</f>
        <v>12089.99</v>
      </c>
      <c r="E28" s="124">
        <v>1</v>
      </c>
      <c r="F28" s="569">
        <v>1</v>
      </c>
      <c r="G28" s="306">
        <f t="shared" si="3"/>
        <v>16905.783626709999</v>
      </c>
      <c r="H28" s="306">
        <f t="shared" si="4"/>
        <v>202869.40352051999</v>
      </c>
      <c r="I28" s="570">
        <f t="shared" si="2"/>
        <v>218989.39018718665</v>
      </c>
      <c r="J28" s="224"/>
    </row>
    <row r="29" spans="1:10" x14ac:dyDescent="0.25">
      <c r="A29" t="s">
        <v>1411</v>
      </c>
      <c r="B29" s="160" t="s">
        <v>1464</v>
      </c>
      <c r="C29" s="125" t="s">
        <v>1466</v>
      </c>
      <c r="D29" s="742">
        <f>IFERROR(VLOOKUP(A29,'TABELA SALARIAL CODEVASF'!C:G,5,0),"")</f>
        <v>10303.280000000001</v>
      </c>
      <c r="E29" s="124">
        <v>1</v>
      </c>
      <c r="F29" s="569">
        <v>1</v>
      </c>
      <c r="G29" s="306">
        <f t="shared" si="3"/>
        <v>14407.37521912</v>
      </c>
      <c r="H29" s="306">
        <f t="shared" si="4"/>
        <v>172888.50262943999</v>
      </c>
      <c r="I29" s="570">
        <f t="shared" si="2"/>
        <v>186626.20929610665</v>
      </c>
      <c r="J29" s="224"/>
    </row>
    <row r="30" spans="1:10" x14ac:dyDescent="0.25">
      <c r="A30" t="s">
        <v>1407</v>
      </c>
      <c r="B30" s="160" t="s">
        <v>1464</v>
      </c>
      <c r="C30" s="125" t="s">
        <v>1459</v>
      </c>
      <c r="D30" s="742">
        <f>IFERROR(VLOOKUP(A30,'TABELA SALARIAL CODEVASF'!C:G,5,0),"")</f>
        <v>12089.99</v>
      </c>
      <c r="E30" s="124">
        <v>2</v>
      </c>
      <c r="F30" s="569">
        <v>1</v>
      </c>
      <c r="G30" s="306">
        <f t="shared" si="3"/>
        <v>33811.567253419998</v>
      </c>
      <c r="H30" s="306">
        <f t="shared" si="4"/>
        <v>405738.80704103998</v>
      </c>
      <c r="I30" s="570">
        <f t="shared" si="2"/>
        <v>421858.79370770667</v>
      </c>
      <c r="J30" s="224"/>
    </row>
    <row r="31" spans="1:10" x14ac:dyDescent="0.25">
      <c r="A31" t="s">
        <v>1411</v>
      </c>
      <c r="B31" s="160" t="s">
        <v>1464</v>
      </c>
      <c r="C31" s="125" t="s">
        <v>1470</v>
      </c>
      <c r="D31" s="742">
        <f>IFERROR(VLOOKUP(A31,'TABELA SALARIAL CODEVASF'!C:G,5,0),"")</f>
        <v>10303.280000000001</v>
      </c>
      <c r="E31" s="124">
        <v>1</v>
      </c>
      <c r="F31" s="569">
        <v>1</v>
      </c>
      <c r="G31" s="306">
        <f t="shared" si="3"/>
        <v>14407.37521912</v>
      </c>
      <c r="H31" s="306">
        <f t="shared" si="4"/>
        <v>172888.50262943999</v>
      </c>
      <c r="I31" s="570">
        <f t="shared" si="2"/>
        <v>186626.20929610665</v>
      </c>
      <c r="J31" s="224"/>
    </row>
    <row r="32" spans="1:10" x14ac:dyDescent="0.25">
      <c r="A32" t="s">
        <v>1407</v>
      </c>
      <c r="B32" s="160" t="s">
        <v>1464</v>
      </c>
      <c r="C32" s="125" t="s">
        <v>1461</v>
      </c>
      <c r="D32" s="742">
        <f>IFERROR(VLOOKUP(A32,'TABELA SALARIAL CODEVASF'!C:G,5,0),"")</f>
        <v>12089.99</v>
      </c>
      <c r="E32" s="124">
        <v>1</v>
      </c>
      <c r="F32" s="569">
        <v>1</v>
      </c>
      <c r="G32" s="306">
        <f t="shared" si="3"/>
        <v>16905.783626709999</v>
      </c>
      <c r="H32" s="306">
        <f t="shared" si="4"/>
        <v>202869.40352051999</v>
      </c>
      <c r="I32" s="570">
        <f t="shared" si="2"/>
        <v>218989.39018718665</v>
      </c>
      <c r="J32" s="224"/>
    </row>
    <row r="33" spans="1:11" x14ac:dyDescent="0.25">
      <c r="A33" t="s">
        <v>1407</v>
      </c>
      <c r="B33" s="160" t="s">
        <v>1464</v>
      </c>
      <c r="C33" s="125" t="s">
        <v>1462</v>
      </c>
      <c r="D33" s="742">
        <f>IFERROR(VLOOKUP(A33,'TABELA SALARIAL CODEVASF'!C:G,5,0),"")</f>
        <v>12089.99</v>
      </c>
      <c r="E33" s="124">
        <v>1</v>
      </c>
      <c r="F33" s="569">
        <v>1</v>
      </c>
      <c r="G33" s="306">
        <f t="shared" si="3"/>
        <v>16905.783626709999</v>
      </c>
      <c r="H33" s="306">
        <f t="shared" si="4"/>
        <v>202869.40352051999</v>
      </c>
      <c r="I33" s="570">
        <f t="shared" si="2"/>
        <v>218989.39018718665</v>
      </c>
      <c r="J33" s="224"/>
    </row>
    <row r="34" spans="1:11" x14ac:dyDescent="0.25">
      <c r="A34" t="s">
        <v>1407</v>
      </c>
      <c r="B34" s="160" t="s">
        <v>1464</v>
      </c>
      <c r="C34" s="125" t="s">
        <v>1471</v>
      </c>
      <c r="D34" s="742">
        <f>IFERROR(VLOOKUP(A34,'TABELA SALARIAL CODEVASF'!C:G,5,0),"")</f>
        <v>12089.99</v>
      </c>
      <c r="E34" s="124">
        <v>2</v>
      </c>
      <c r="F34" s="569">
        <v>1</v>
      </c>
      <c r="G34" s="306">
        <f t="shared" si="3"/>
        <v>33811.567253419998</v>
      </c>
      <c r="H34" s="306">
        <f t="shared" si="4"/>
        <v>405738.80704103998</v>
      </c>
      <c r="I34" s="570">
        <f t="shared" si="2"/>
        <v>421858.79370770667</v>
      </c>
      <c r="J34" s="224"/>
    </row>
    <row r="35" spans="1:11" x14ac:dyDescent="0.25">
      <c r="A35" t="s">
        <v>1411</v>
      </c>
      <c r="B35" s="160" t="s">
        <v>1464</v>
      </c>
      <c r="C35" s="125" t="s">
        <v>1472</v>
      </c>
      <c r="D35" s="742">
        <f>IFERROR(VLOOKUP(A35,'TABELA SALARIAL CODEVASF'!C:G,5,0),"")</f>
        <v>10303.280000000001</v>
      </c>
      <c r="E35" s="124">
        <v>2</v>
      </c>
      <c r="F35" s="569">
        <v>1</v>
      </c>
      <c r="G35" s="306">
        <f t="shared" si="3"/>
        <v>28814.75043824</v>
      </c>
      <c r="H35" s="306">
        <f t="shared" si="4"/>
        <v>345777.00525887997</v>
      </c>
      <c r="I35" s="570">
        <f t="shared" si="2"/>
        <v>359514.71192554664</v>
      </c>
      <c r="J35" s="224"/>
      <c r="K35" s="19"/>
    </row>
    <row r="36" spans="1:11" x14ac:dyDescent="0.25">
      <c r="A36" t="s">
        <v>1417</v>
      </c>
      <c r="B36" s="160" t="s">
        <v>1464</v>
      </c>
      <c r="C36" s="125" t="s">
        <v>1473</v>
      </c>
      <c r="D36" s="742">
        <f>IFERROR(VLOOKUP(A36,'TABELA SALARIAL CODEVASF'!C:G,5,0),"")</f>
        <v>3648.7</v>
      </c>
      <c r="E36" s="124">
        <v>2</v>
      </c>
      <c r="F36" s="569">
        <v>1</v>
      </c>
      <c r="G36" s="306">
        <f t="shared" si="3"/>
        <v>10204.166044599999</v>
      </c>
      <c r="H36" s="306">
        <f t="shared" si="4"/>
        <v>122449.99253519998</v>
      </c>
      <c r="I36" s="570">
        <f t="shared" si="2"/>
        <v>127314.92586853332</v>
      </c>
      <c r="J36" s="224"/>
      <c r="K36" s="19"/>
    </row>
    <row r="37" spans="1:11" x14ac:dyDescent="0.25">
      <c r="A37" t="s">
        <v>1417</v>
      </c>
      <c r="B37" s="160" t="s">
        <v>1464</v>
      </c>
      <c r="C37" s="125" t="s">
        <v>1474</v>
      </c>
      <c r="D37" s="742">
        <f>IFERROR(VLOOKUP(A37,'TABELA SALARIAL CODEVASF'!C:G,5,0),"")</f>
        <v>3648.7</v>
      </c>
      <c r="E37" s="124">
        <v>4</v>
      </c>
      <c r="F37" s="569">
        <v>1</v>
      </c>
      <c r="G37" s="306">
        <f t="shared" si="3"/>
        <v>20408.332089199997</v>
      </c>
      <c r="H37" s="306">
        <f t="shared" si="4"/>
        <v>244899.98507039997</v>
      </c>
      <c r="I37" s="570">
        <f t="shared" si="2"/>
        <v>249764.91840373329</v>
      </c>
      <c r="J37" s="224"/>
      <c r="K37" s="19"/>
    </row>
    <row r="38" spans="1:11" x14ac:dyDescent="0.25">
      <c r="A38" t="s">
        <v>1417</v>
      </c>
      <c r="B38" s="160" t="s">
        <v>1464</v>
      </c>
      <c r="C38" s="125" t="s">
        <v>1475</v>
      </c>
      <c r="D38" s="742">
        <f>IFERROR(VLOOKUP(A38,'TABELA SALARIAL CODEVASF'!C:G,5,0),"")</f>
        <v>3648.7</v>
      </c>
      <c r="E38" s="124">
        <v>2</v>
      </c>
      <c r="F38" s="569">
        <v>1</v>
      </c>
      <c r="G38" s="306">
        <f t="shared" si="3"/>
        <v>10204.166044599999</v>
      </c>
      <c r="H38" s="306">
        <f t="shared" si="4"/>
        <v>122449.99253519998</v>
      </c>
      <c r="I38" s="570">
        <f t="shared" si="2"/>
        <v>127314.92586853332</v>
      </c>
      <c r="J38" s="224"/>
      <c r="K38" s="19"/>
    </row>
    <row r="39" spans="1:11" x14ac:dyDescent="0.25">
      <c r="A39" t="s">
        <v>1407</v>
      </c>
      <c r="B39" s="160" t="s">
        <v>1464</v>
      </c>
      <c r="C39" s="125" t="s">
        <v>1476</v>
      </c>
      <c r="D39" s="742">
        <f>IFERROR(VLOOKUP(A39,'TABELA SALARIAL CODEVASF'!C:G,5,0),"")</f>
        <v>12089.99</v>
      </c>
      <c r="E39" s="124">
        <v>1</v>
      </c>
      <c r="F39" s="569">
        <v>0.4</v>
      </c>
      <c r="G39" s="306">
        <f t="shared" si="3"/>
        <v>6762.3134506839997</v>
      </c>
      <c r="H39" s="306">
        <f t="shared" si="4"/>
        <v>81147.761408207996</v>
      </c>
      <c r="I39" s="570">
        <f t="shared" si="2"/>
        <v>97267.74807487466</v>
      </c>
      <c r="J39" s="224"/>
      <c r="K39" s="19"/>
    </row>
    <row r="40" spans="1:11" x14ac:dyDescent="0.25">
      <c r="A40" t="s">
        <v>1414</v>
      </c>
      <c r="B40" s="160" t="s">
        <v>1464</v>
      </c>
      <c r="C40" s="125" t="s">
        <v>1469</v>
      </c>
      <c r="D40" s="742">
        <f>IFERROR(VLOOKUP(A40,'TABELA SALARIAL CODEVASF'!C:G,5,0),"")</f>
        <v>4146.68</v>
      </c>
      <c r="E40" s="124">
        <v>1</v>
      </c>
      <c r="F40" s="569">
        <v>1</v>
      </c>
      <c r="G40" s="306">
        <f t="shared" si="3"/>
        <v>5798.42289772</v>
      </c>
      <c r="H40" s="306">
        <f t="shared" si="4"/>
        <v>69581.07477264</v>
      </c>
      <c r="I40" s="570">
        <f t="shared" si="2"/>
        <v>75109.981439306663</v>
      </c>
      <c r="J40" s="224"/>
      <c r="K40" s="19"/>
    </row>
    <row r="41" spans="1:11" x14ac:dyDescent="0.25">
      <c r="A41" t="s">
        <v>1432</v>
      </c>
      <c r="B41" s="160" t="s">
        <v>1464</v>
      </c>
      <c r="C41" s="125" t="s">
        <v>1433</v>
      </c>
      <c r="D41" s="742">
        <f>IFERROR(VLOOKUP(A41,'TABELA SALARIAL CODEVASF'!C:G,5,0),"")</f>
        <v>15123.65</v>
      </c>
      <c r="E41" s="124">
        <v>1</v>
      </c>
      <c r="F41" s="569">
        <v>1</v>
      </c>
      <c r="G41" s="306">
        <f t="shared" si="3"/>
        <v>21147.83838085</v>
      </c>
      <c r="H41" s="306">
        <f t="shared" si="4"/>
        <v>253774.0605702</v>
      </c>
      <c r="I41" s="570">
        <f t="shared" si="2"/>
        <v>273938.92723686667</v>
      </c>
      <c r="J41" s="224"/>
      <c r="K41" s="19"/>
    </row>
    <row r="42" spans="1:11" x14ac:dyDescent="0.25">
      <c r="A42" t="s">
        <v>1417</v>
      </c>
      <c r="B42" s="160" t="s">
        <v>1464</v>
      </c>
      <c r="C42" s="125" t="s">
        <v>1477</v>
      </c>
      <c r="D42" s="742">
        <f>IFERROR(VLOOKUP(A42,'TABELA SALARIAL CODEVASF'!C:G,5,0),"")</f>
        <v>3648.7</v>
      </c>
      <c r="E42" s="124">
        <v>4</v>
      </c>
      <c r="F42" s="569">
        <v>1</v>
      </c>
      <c r="G42" s="306">
        <f t="shared" si="3"/>
        <v>20408.332089199997</v>
      </c>
      <c r="H42" s="306">
        <f t="shared" si="4"/>
        <v>244899.98507039997</v>
      </c>
      <c r="I42" s="570">
        <f t="shared" si="2"/>
        <v>249764.91840373329</v>
      </c>
      <c r="J42" s="224"/>
    </row>
    <row r="43" spans="1:11" x14ac:dyDescent="0.25">
      <c r="A43" t="s">
        <v>1402</v>
      </c>
      <c r="B43" s="160" t="s">
        <v>1464</v>
      </c>
      <c r="C43" s="125" t="s">
        <v>1403</v>
      </c>
      <c r="D43" s="742">
        <f>IFERROR(VLOOKUP(A43,'TABELA SALARIAL CODEVASF'!C:G,5,0),"")</f>
        <v>2247.73</v>
      </c>
      <c r="E43" s="124">
        <v>4</v>
      </c>
      <c r="F43" s="569">
        <v>1</v>
      </c>
      <c r="G43" s="306">
        <f t="shared" si="3"/>
        <v>12572.264172679999</v>
      </c>
      <c r="H43" s="306">
        <f t="shared" si="4"/>
        <v>150867.17007215999</v>
      </c>
      <c r="I43" s="570">
        <f t="shared" si="2"/>
        <v>153864.14340549332</v>
      </c>
      <c r="J43" s="224"/>
    </row>
    <row r="44" spans="1:11" x14ac:dyDescent="0.25">
      <c r="A44" t="s">
        <v>1356</v>
      </c>
      <c r="B44" s="160" t="s">
        <v>1464</v>
      </c>
      <c r="C44" s="125" t="s">
        <v>1478</v>
      </c>
      <c r="D44" s="742">
        <f>IFERROR(VLOOKUP(A44,'TABELA SALARIAL CODEVASF'!C:G,5,0),"")</f>
        <v>6944.38</v>
      </c>
      <c r="E44" s="124">
        <v>2</v>
      </c>
      <c r="F44" s="569">
        <v>1</v>
      </c>
      <c r="G44" s="306">
        <f t="shared" si="3"/>
        <v>19421.05588204</v>
      </c>
      <c r="H44" s="306">
        <f t="shared" si="4"/>
        <v>233052.67058447999</v>
      </c>
      <c r="I44" s="570">
        <f t="shared" si="2"/>
        <v>242311.84391781333</v>
      </c>
      <c r="J44" s="224"/>
    </row>
    <row r="45" spans="1:11" x14ac:dyDescent="0.25">
      <c r="A45" t="s">
        <v>1418</v>
      </c>
      <c r="B45" s="160" t="s">
        <v>1464</v>
      </c>
      <c r="C45" s="125" t="s">
        <v>1419</v>
      </c>
      <c r="D45" s="742">
        <f>IFERROR(VLOOKUP(A45,'TABELA SALARIAL CODEVASF'!C:G,5,0),"")</f>
        <v>9065.9500000000007</v>
      </c>
      <c r="E45" s="124">
        <v>2</v>
      </c>
      <c r="F45" s="569">
        <v>1</v>
      </c>
      <c r="G45" s="306">
        <f t="shared" si="3"/>
        <v>25354.361595099999</v>
      </c>
      <c r="H45" s="306">
        <f t="shared" si="4"/>
        <v>304252.33914120001</v>
      </c>
      <c r="I45" s="570">
        <f t="shared" si="2"/>
        <v>316340.27247453335</v>
      </c>
      <c r="J45" s="224"/>
    </row>
    <row r="46" spans="1:11" x14ac:dyDescent="0.25">
      <c r="A46" t="s">
        <v>1399</v>
      </c>
      <c r="B46" s="160" t="s">
        <v>1464</v>
      </c>
      <c r="C46" s="125" t="s">
        <v>1401</v>
      </c>
      <c r="D46" s="742">
        <f>IFERROR(VLOOKUP(A46,'TABELA SALARIAL CODEVASF'!C:G,5,0),"")</f>
        <v>5187.2299999999996</v>
      </c>
      <c r="E46" s="124">
        <v>1</v>
      </c>
      <c r="F46" s="569">
        <v>1</v>
      </c>
      <c r="G46" s="306">
        <f t="shared" si="3"/>
        <v>7253.4541386699993</v>
      </c>
      <c r="H46" s="306">
        <f t="shared" si="4"/>
        <v>87041.449664039988</v>
      </c>
      <c r="I46" s="570">
        <f t="shared" si="2"/>
        <v>93957.756330706659</v>
      </c>
      <c r="J46" s="224"/>
    </row>
    <row r="47" spans="1:11" x14ac:dyDescent="0.25">
      <c r="B47" s="160" t="s">
        <v>1452</v>
      </c>
      <c r="C47" s="1144" t="s">
        <v>1479</v>
      </c>
      <c r="D47" s="1145"/>
      <c r="E47" s="1145"/>
      <c r="F47" s="1145"/>
      <c r="G47" s="1145"/>
      <c r="H47" s="1145"/>
      <c r="I47" s="1145"/>
      <c r="J47" s="224"/>
    </row>
    <row r="48" spans="1:11" x14ac:dyDescent="0.25">
      <c r="A48" t="s">
        <v>1319</v>
      </c>
      <c r="B48" s="160" t="s">
        <v>1452</v>
      </c>
      <c r="C48" s="125" t="s">
        <v>1480</v>
      </c>
      <c r="D48" s="742">
        <f>IFERROR(VLOOKUP(A48,'TABELA SALARIAL CODEVASF'!C:G,5,0),"")</f>
        <v>24799.02</v>
      </c>
      <c r="E48" s="124">
        <v>1</v>
      </c>
      <c r="F48" s="569">
        <v>0.5</v>
      </c>
      <c r="G48" s="306">
        <f t="shared" ref="G48:G53" si="5">D48*(1+$H$3)*E48*F48</f>
        <v>17338.594418789999</v>
      </c>
      <c r="H48" s="306">
        <f t="shared" ref="H48:H53" si="6">G48*12</f>
        <v>208063.13302547997</v>
      </c>
      <c r="I48" s="568">
        <f>H48</f>
        <v>208063.13302547997</v>
      </c>
      <c r="J48" s="224"/>
    </row>
    <row r="49" spans="1:11" x14ac:dyDescent="0.25">
      <c r="A49" t="s">
        <v>1329</v>
      </c>
      <c r="B49" s="160" t="s">
        <v>1452</v>
      </c>
      <c r="C49" s="125" t="s">
        <v>1481</v>
      </c>
      <c r="D49" s="742">
        <f>IFERROR(VLOOKUP(A49,'TABELA SALARIAL CODEVASF'!C:G,5,0),"")</f>
        <v>19838.490000000002</v>
      </c>
      <c r="E49" s="124">
        <v>1</v>
      </c>
      <c r="F49" s="569">
        <v>0.5</v>
      </c>
      <c r="G49" s="306">
        <f t="shared" si="5"/>
        <v>13870.367941605</v>
      </c>
      <c r="H49" s="306">
        <f t="shared" si="6"/>
        <v>166444.41529926</v>
      </c>
      <c r="I49" s="570">
        <f t="shared" si="2"/>
        <v>192895.73529926001</v>
      </c>
      <c r="J49" s="224"/>
      <c r="K49" s="19"/>
    </row>
    <row r="50" spans="1:11" x14ac:dyDescent="0.25">
      <c r="A50" t="s">
        <v>1407</v>
      </c>
      <c r="B50" s="160" t="s">
        <v>1452</v>
      </c>
      <c r="C50" s="125" t="s">
        <v>1482</v>
      </c>
      <c r="D50" s="742">
        <f>IFERROR(VLOOKUP(A50,'TABELA SALARIAL CODEVASF'!C:G,5,0),"")</f>
        <v>12089.99</v>
      </c>
      <c r="E50" s="124">
        <v>2</v>
      </c>
      <c r="F50" s="569">
        <v>1</v>
      </c>
      <c r="G50" s="306">
        <f t="shared" si="5"/>
        <v>33811.567253419998</v>
      </c>
      <c r="H50" s="306">
        <f t="shared" si="6"/>
        <v>405738.80704103998</v>
      </c>
      <c r="I50" s="570">
        <f t="shared" si="2"/>
        <v>421858.79370770667</v>
      </c>
      <c r="J50" s="224"/>
      <c r="K50" s="19"/>
    </row>
    <row r="51" spans="1:11" x14ac:dyDescent="0.25">
      <c r="A51" t="s">
        <v>1407</v>
      </c>
      <c r="B51" s="160" t="s">
        <v>1464</v>
      </c>
      <c r="C51" s="125" t="s">
        <v>1482</v>
      </c>
      <c r="D51" s="742">
        <f>IFERROR(VLOOKUP(A51,'TABELA SALARIAL CODEVASF'!C:G,5,0),"")</f>
        <v>12089.99</v>
      </c>
      <c r="E51" s="124">
        <v>1</v>
      </c>
      <c r="F51" s="569">
        <v>1</v>
      </c>
      <c r="G51" s="306">
        <f t="shared" si="5"/>
        <v>16905.783626709999</v>
      </c>
      <c r="H51" s="306">
        <f t="shared" si="6"/>
        <v>202869.40352051999</v>
      </c>
      <c r="I51" s="570">
        <f t="shared" si="2"/>
        <v>218989.39018718665</v>
      </c>
      <c r="J51" s="224"/>
      <c r="K51" s="19"/>
    </row>
    <row r="52" spans="1:11" x14ac:dyDescent="0.25">
      <c r="A52" t="s">
        <v>1407</v>
      </c>
      <c r="B52" s="160" t="s">
        <v>1464</v>
      </c>
      <c r="C52" s="125" t="s">
        <v>1483</v>
      </c>
      <c r="D52" s="742">
        <f>IFERROR(VLOOKUP(A52,'TABELA SALARIAL CODEVASF'!C:G,5,0),"")</f>
        <v>12089.99</v>
      </c>
      <c r="E52" s="124">
        <v>1</v>
      </c>
      <c r="F52" s="569">
        <v>1</v>
      </c>
      <c r="G52" s="306">
        <f t="shared" si="5"/>
        <v>16905.783626709999</v>
      </c>
      <c r="H52" s="306">
        <f t="shared" si="6"/>
        <v>202869.40352051999</v>
      </c>
      <c r="I52" s="570">
        <f t="shared" si="2"/>
        <v>218989.39018718665</v>
      </c>
      <c r="J52" s="224"/>
      <c r="K52" s="19"/>
    </row>
    <row r="53" spans="1:11" x14ac:dyDescent="0.25">
      <c r="A53" t="s">
        <v>1436</v>
      </c>
      <c r="B53" s="160" t="s">
        <v>1464</v>
      </c>
      <c r="C53" s="125" t="s">
        <v>1437</v>
      </c>
      <c r="D53" s="742">
        <f>IFERROR(VLOOKUP(A53,'TABELA SALARIAL CODEVASF'!C:G,5,0),"")</f>
        <v>9065.9500000000007</v>
      </c>
      <c r="E53" s="124">
        <v>1</v>
      </c>
      <c r="F53" s="569">
        <v>1</v>
      </c>
      <c r="G53" s="306">
        <f t="shared" si="5"/>
        <v>12677.18079755</v>
      </c>
      <c r="H53" s="306">
        <f t="shared" si="6"/>
        <v>152126.1695706</v>
      </c>
      <c r="I53" s="570">
        <f t="shared" si="2"/>
        <v>164214.10290393332</v>
      </c>
      <c r="J53" s="224"/>
      <c r="K53" s="19"/>
    </row>
    <row r="54" spans="1:11" x14ac:dyDescent="0.25">
      <c r="B54" s="160" t="s">
        <v>1452</v>
      </c>
      <c r="C54" s="1144" t="s">
        <v>1484</v>
      </c>
      <c r="D54" s="1145"/>
      <c r="E54" s="1145"/>
      <c r="F54" s="1145"/>
      <c r="G54" s="1145"/>
      <c r="H54" s="1145"/>
      <c r="I54" s="1145"/>
      <c r="J54" s="224"/>
      <c r="K54" s="19"/>
    </row>
    <row r="55" spans="1:11" x14ac:dyDescent="0.25">
      <c r="A55" t="s">
        <v>1319</v>
      </c>
      <c r="B55" s="160" t="s">
        <v>1452</v>
      </c>
      <c r="C55" s="125" t="s">
        <v>1485</v>
      </c>
      <c r="D55" s="742">
        <f>IFERROR(VLOOKUP(A55,'TABELA SALARIAL CODEVASF'!C:G,5,0),"")</f>
        <v>24799.02</v>
      </c>
      <c r="E55" s="124">
        <v>1</v>
      </c>
      <c r="F55" s="569">
        <v>1</v>
      </c>
      <c r="G55" s="306">
        <f t="shared" ref="G55:G61" si="7">D55*(1+$H$3)*E55*F55</f>
        <v>34677.188837579997</v>
      </c>
      <c r="H55" s="306">
        <f t="shared" ref="H55:H61" si="8">G55*12</f>
        <v>416126.26605095994</v>
      </c>
      <c r="I55" s="568">
        <f>H55</f>
        <v>416126.26605095994</v>
      </c>
      <c r="J55" s="224"/>
      <c r="K55" s="19"/>
    </row>
    <row r="56" spans="1:11" x14ac:dyDescent="0.25">
      <c r="A56" t="s">
        <v>1356</v>
      </c>
      <c r="B56" s="160" t="s">
        <v>1452</v>
      </c>
      <c r="C56" s="125" t="s">
        <v>1455</v>
      </c>
      <c r="D56" s="742">
        <f>IFERROR(VLOOKUP(A56,'TABELA SALARIAL CODEVASF'!C:G,5,0),"")</f>
        <v>6944.38</v>
      </c>
      <c r="E56" s="124">
        <v>1</v>
      </c>
      <c r="F56" s="569">
        <v>1</v>
      </c>
      <c r="G56" s="306">
        <f t="shared" si="7"/>
        <v>9710.5279410200001</v>
      </c>
      <c r="H56" s="306">
        <f t="shared" si="8"/>
        <v>116526.33529223999</v>
      </c>
      <c r="I56" s="570">
        <f t="shared" si="2"/>
        <v>125785.50862557333</v>
      </c>
      <c r="J56" s="224"/>
    </row>
    <row r="57" spans="1:11" x14ac:dyDescent="0.25">
      <c r="A57" t="s">
        <v>1399</v>
      </c>
      <c r="B57" s="160" t="s">
        <v>1452</v>
      </c>
      <c r="C57" s="125" t="s">
        <v>1401</v>
      </c>
      <c r="D57" s="742">
        <f>IFERROR(VLOOKUP(A57,'TABELA SALARIAL CODEVASF'!C:G,5,0),"")</f>
        <v>5187.2299999999996</v>
      </c>
      <c r="E57" s="124">
        <v>1</v>
      </c>
      <c r="F57" s="569">
        <v>1</v>
      </c>
      <c r="G57" s="306">
        <f t="shared" si="7"/>
        <v>7253.4541386699993</v>
      </c>
      <c r="H57" s="306">
        <f t="shared" si="8"/>
        <v>87041.449664039988</v>
      </c>
      <c r="I57" s="570">
        <f t="shared" si="2"/>
        <v>93957.756330706659</v>
      </c>
      <c r="J57" s="224"/>
    </row>
    <row r="58" spans="1:11" x14ac:dyDescent="0.25">
      <c r="A58" t="s">
        <v>1420</v>
      </c>
      <c r="B58" s="160" t="s">
        <v>1452</v>
      </c>
      <c r="C58" s="125" t="s">
        <v>1486</v>
      </c>
      <c r="D58" s="742">
        <f>IFERROR(VLOOKUP(A58,'TABELA SALARIAL CODEVASF'!C:G,5,0),"")</f>
        <v>15123.65</v>
      </c>
      <c r="E58" s="124">
        <v>1</v>
      </c>
      <c r="F58" s="569">
        <v>1</v>
      </c>
      <c r="G58" s="306">
        <f t="shared" si="7"/>
        <v>21147.83838085</v>
      </c>
      <c r="H58" s="306">
        <f t="shared" si="8"/>
        <v>253774.0605702</v>
      </c>
      <c r="I58" s="570">
        <f t="shared" si="2"/>
        <v>273938.92723686667</v>
      </c>
      <c r="J58" s="224"/>
    </row>
    <row r="59" spans="1:11" x14ac:dyDescent="0.25">
      <c r="A59" t="s">
        <v>1422</v>
      </c>
      <c r="B59" s="160" t="s">
        <v>1452</v>
      </c>
      <c r="C59" s="125" t="s">
        <v>1423</v>
      </c>
      <c r="D59" s="742">
        <f>IFERROR(VLOOKUP(A59,'TABELA SALARIAL CODEVASF'!C:G,5,0),"")</f>
        <v>10303.280000000001</v>
      </c>
      <c r="E59" s="124">
        <v>1</v>
      </c>
      <c r="F59" s="569">
        <v>1</v>
      </c>
      <c r="G59" s="306">
        <f t="shared" si="7"/>
        <v>14407.37521912</v>
      </c>
      <c r="H59" s="306">
        <f t="shared" si="8"/>
        <v>172888.50262943999</v>
      </c>
      <c r="I59" s="570">
        <f t="shared" si="2"/>
        <v>186626.20929610665</v>
      </c>
      <c r="J59" s="224"/>
    </row>
    <row r="60" spans="1:11" x14ac:dyDescent="0.25">
      <c r="A60" t="s">
        <v>1424</v>
      </c>
      <c r="B60" s="160" t="s">
        <v>1452</v>
      </c>
      <c r="C60" s="125" t="s">
        <v>1425</v>
      </c>
      <c r="D60" s="742">
        <f>IFERROR(VLOOKUP(A60,'TABELA SALARIAL CODEVASF'!C:G,5,0),"")</f>
        <v>15123.65</v>
      </c>
      <c r="E60" s="124">
        <v>1</v>
      </c>
      <c r="F60" s="569">
        <v>1</v>
      </c>
      <c r="G60" s="306">
        <f t="shared" si="7"/>
        <v>21147.83838085</v>
      </c>
      <c r="H60" s="306">
        <f t="shared" si="8"/>
        <v>253774.0605702</v>
      </c>
      <c r="I60" s="570">
        <f t="shared" si="2"/>
        <v>273938.92723686667</v>
      </c>
      <c r="J60" s="224"/>
    </row>
    <row r="61" spans="1:11" x14ac:dyDescent="0.25">
      <c r="A61" t="s">
        <v>1407</v>
      </c>
      <c r="B61" s="160" t="s">
        <v>1452</v>
      </c>
      <c r="C61" s="125" t="s">
        <v>1487</v>
      </c>
      <c r="D61" s="742">
        <f>IFERROR(VLOOKUP(A61,'TABELA SALARIAL CODEVASF'!C:G,5,0),"")</f>
        <v>12089.99</v>
      </c>
      <c r="E61" s="124">
        <v>1</v>
      </c>
      <c r="F61" s="569">
        <v>1</v>
      </c>
      <c r="G61" s="306">
        <f t="shared" si="7"/>
        <v>16905.783626709999</v>
      </c>
      <c r="H61" s="306">
        <f t="shared" si="8"/>
        <v>202869.40352051999</v>
      </c>
      <c r="I61" s="570">
        <f t="shared" si="2"/>
        <v>218989.39018718665</v>
      </c>
      <c r="J61" s="224"/>
      <c r="K61" s="19"/>
    </row>
    <row r="62" spans="1:11" x14ac:dyDescent="0.25">
      <c r="B62" s="160" t="s">
        <v>1452</v>
      </c>
      <c r="C62" s="1144" t="s">
        <v>1488</v>
      </c>
      <c r="D62" s="1145"/>
      <c r="E62" s="1145"/>
      <c r="F62" s="1145"/>
      <c r="G62" s="1145"/>
      <c r="H62" s="1145"/>
      <c r="I62" s="1145"/>
      <c r="J62" s="224"/>
      <c r="K62" s="19"/>
    </row>
    <row r="63" spans="1:11" x14ac:dyDescent="0.25">
      <c r="A63" t="s">
        <v>1329</v>
      </c>
      <c r="B63" s="160" t="s">
        <v>1452</v>
      </c>
      <c r="C63" s="565" t="s">
        <v>1489</v>
      </c>
      <c r="D63" s="742">
        <f>IFERROR(VLOOKUP(A63,'TABELA SALARIAL CODEVASF'!C:G,5,0),"")</f>
        <v>19838.490000000002</v>
      </c>
      <c r="E63" s="124">
        <v>1</v>
      </c>
      <c r="F63" s="569">
        <v>1</v>
      </c>
      <c r="G63" s="306">
        <f>D63*(1+$H$3)*E63*F63</f>
        <v>27740.73588321</v>
      </c>
      <c r="H63" s="306">
        <f>G63*12</f>
        <v>332888.83059852</v>
      </c>
      <c r="I63" s="570">
        <f t="shared" ref="I63:I64" si="9">H63+D63*(1+1/3)</f>
        <v>359340.15059852001</v>
      </c>
      <c r="J63" s="224"/>
      <c r="K63" s="19"/>
    </row>
    <row r="64" spans="1:11" x14ac:dyDescent="0.25">
      <c r="A64" t="s">
        <v>1434</v>
      </c>
      <c r="B64" s="160" t="s">
        <v>1452</v>
      </c>
      <c r="C64" s="125" t="s">
        <v>1435</v>
      </c>
      <c r="D64" s="742">
        <f>IFERROR(VLOOKUP(A64,'TABELA SALARIAL CODEVASF'!C:G,5,0),"")</f>
        <v>9664.8700000000008</v>
      </c>
      <c r="E64" s="124">
        <v>1</v>
      </c>
      <c r="F64" s="569">
        <v>1</v>
      </c>
      <c r="G64" s="306">
        <f>D64*(1+$H$3)*E64*F64</f>
        <v>13514.668002230001</v>
      </c>
      <c r="H64" s="306">
        <f>G64*12</f>
        <v>162176.01602676001</v>
      </c>
      <c r="I64" s="570">
        <f t="shared" si="9"/>
        <v>175062.50936009336</v>
      </c>
      <c r="J64" s="224"/>
    </row>
    <row r="65" spans="1:10" x14ac:dyDescent="0.25">
      <c r="B65" s="160" t="s">
        <v>1452</v>
      </c>
      <c r="C65" s="1144" t="s">
        <v>1490</v>
      </c>
      <c r="D65" s="1145"/>
      <c r="E65" s="1145"/>
      <c r="F65" s="1145"/>
      <c r="G65" s="1145"/>
      <c r="H65" s="1145"/>
      <c r="I65" s="1145"/>
      <c r="J65" s="224"/>
    </row>
    <row r="66" spans="1:10" ht="15" customHeight="1" x14ac:dyDescent="0.25">
      <c r="A66" t="s">
        <v>1319</v>
      </c>
      <c r="B66" s="160" t="s">
        <v>1452</v>
      </c>
      <c r="C66" s="125" t="s">
        <v>1491</v>
      </c>
      <c r="D66" s="742">
        <f>IFERROR(VLOOKUP(A66,'TABELA SALARIAL CODEVASF'!C:G,5,0),"")</f>
        <v>24799.02</v>
      </c>
      <c r="E66" s="124">
        <v>1</v>
      </c>
      <c r="F66" s="569">
        <v>0.3</v>
      </c>
      <c r="G66" s="306">
        <f t="shared" ref="G66:G83" si="10">D66*(1+$H$3)*E66*F66</f>
        <v>10403.156651273999</v>
      </c>
      <c r="H66" s="306">
        <f t="shared" ref="H66:H83" si="11">G66*12</f>
        <v>124837.87981528799</v>
      </c>
      <c r="I66" s="568">
        <f>H66</f>
        <v>124837.87981528799</v>
      </c>
      <c r="J66" s="224"/>
    </row>
    <row r="67" spans="1:10" ht="15" customHeight="1" x14ac:dyDescent="0.25">
      <c r="A67" t="s">
        <v>1356</v>
      </c>
      <c r="B67" s="160" t="s">
        <v>1452</v>
      </c>
      <c r="C67" s="125" t="s">
        <v>1492</v>
      </c>
      <c r="D67" s="742">
        <f>IFERROR(VLOOKUP(A67,'TABELA SALARIAL CODEVASF'!C:G,5,0),"")</f>
        <v>6944.38</v>
      </c>
      <c r="E67" s="124">
        <v>2</v>
      </c>
      <c r="F67" s="569">
        <v>0.3</v>
      </c>
      <c r="G67" s="306">
        <f t="shared" si="10"/>
        <v>5826.316764612</v>
      </c>
      <c r="H67" s="306">
        <f t="shared" si="11"/>
        <v>69915.801175344008</v>
      </c>
      <c r="I67" s="570">
        <f t="shared" ref="I67:I83" si="12">H67+D67*(1+1/3)</f>
        <v>79174.974508677347</v>
      </c>
      <c r="J67" s="224"/>
    </row>
    <row r="68" spans="1:10" ht="15" customHeight="1" x14ac:dyDescent="0.25">
      <c r="A68" t="s">
        <v>1329</v>
      </c>
      <c r="B68" s="160" t="s">
        <v>1452</v>
      </c>
      <c r="C68" s="125" t="s">
        <v>1493</v>
      </c>
      <c r="D68" s="742">
        <f>IFERROR(VLOOKUP(A68,'TABELA SALARIAL CODEVASF'!C:G,5,0),"")</f>
        <v>19838.490000000002</v>
      </c>
      <c r="E68" s="124">
        <v>1</v>
      </c>
      <c r="F68" s="569">
        <v>1</v>
      </c>
      <c r="G68" s="306">
        <f t="shared" si="10"/>
        <v>27740.73588321</v>
      </c>
      <c r="H68" s="306">
        <f t="shared" si="11"/>
        <v>332888.83059852</v>
      </c>
      <c r="I68" s="570">
        <f t="shared" si="12"/>
        <v>359340.15059852001</v>
      </c>
      <c r="J68" s="224"/>
    </row>
    <row r="69" spans="1:10" x14ac:dyDescent="0.25">
      <c r="A69" t="s">
        <v>1418</v>
      </c>
      <c r="B69" s="160" t="s">
        <v>1452</v>
      </c>
      <c r="C69" s="125" t="s">
        <v>1494</v>
      </c>
      <c r="D69" s="742">
        <f>IFERROR(VLOOKUP(A69,'TABELA SALARIAL CODEVASF'!C:G,5,0),"")</f>
        <v>9065.9500000000007</v>
      </c>
      <c r="E69" s="124">
        <v>1</v>
      </c>
      <c r="F69" s="569">
        <v>1</v>
      </c>
      <c r="G69" s="306">
        <f t="shared" si="10"/>
        <v>12677.18079755</v>
      </c>
      <c r="H69" s="306">
        <f t="shared" si="11"/>
        <v>152126.1695706</v>
      </c>
      <c r="I69" s="570">
        <f t="shared" si="12"/>
        <v>164214.10290393332</v>
      </c>
      <c r="J69" s="224"/>
    </row>
    <row r="70" spans="1:10" x14ac:dyDescent="0.25">
      <c r="A70" t="s">
        <v>1417</v>
      </c>
      <c r="B70" s="160" t="s">
        <v>1452</v>
      </c>
      <c r="C70" s="125" t="s">
        <v>1495</v>
      </c>
      <c r="D70" s="742">
        <f>IFERROR(VLOOKUP(A70,'TABELA SALARIAL CODEVASF'!C:G,5,0),"")</f>
        <v>3648.7</v>
      </c>
      <c r="E70" s="124">
        <v>2</v>
      </c>
      <c r="F70" s="569">
        <v>1</v>
      </c>
      <c r="G70" s="306">
        <f t="shared" si="10"/>
        <v>10204.166044599999</v>
      </c>
      <c r="H70" s="306">
        <f t="shared" si="11"/>
        <v>122449.99253519998</v>
      </c>
      <c r="I70" s="570">
        <f t="shared" si="12"/>
        <v>127314.92586853332</v>
      </c>
      <c r="J70" s="224"/>
    </row>
    <row r="71" spans="1:10" x14ac:dyDescent="0.25">
      <c r="A71" t="s">
        <v>1329</v>
      </c>
      <c r="B71" s="160" t="s">
        <v>1452</v>
      </c>
      <c r="C71" s="125" t="s">
        <v>1496</v>
      </c>
      <c r="D71" s="742">
        <f>IFERROR(VLOOKUP(A71,'TABELA SALARIAL CODEVASF'!C:G,5,0),"")</f>
        <v>19838.490000000002</v>
      </c>
      <c r="E71" s="124">
        <v>1</v>
      </c>
      <c r="F71" s="569">
        <v>0.6</v>
      </c>
      <c r="G71" s="306">
        <f t="shared" si="10"/>
        <v>16644.441529926</v>
      </c>
      <c r="H71" s="306">
        <f t="shared" si="11"/>
        <v>199733.298359112</v>
      </c>
      <c r="I71" s="570">
        <f t="shared" si="12"/>
        <v>226184.61835911201</v>
      </c>
      <c r="J71" s="224"/>
    </row>
    <row r="72" spans="1:10" x14ac:dyDescent="0.25">
      <c r="A72" t="s">
        <v>1418</v>
      </c>
      <c r="B72" s="160" t="s">
        <v>1452</v>
      </c>
      <c r="C72" s="125" t="s">
        <v>1419</v>
      </c>
      <c r="D72" s="742">
        <f>IFERROR(VLOOKUP(A72,'TABELA SALARIAL CODEVASF'!C:G,5,0),"")</f>
        <v>9065.9500000000007</v>
      </c>
      <c r="E72" s="124">
        <v>2</v>
      </c>
      <c r="F72" s="569">
        <v>1</v>
      </c>
      <c r="G72" s="306">
        <f t="shared" si="10"/>
        <v>25354.361595099999</v>
      </c>
      <c r="H72" s="306">
        <f t="shared" si="11"/>
        <v>304252.33914120001</v>
      </c>
      <c r="I72" s="570">
        <f t="shared" si="12"/>
        <v>316340.27247453335</v>
      </c>
      <c r="J72" s="224"/>
    </row>
    <row r="73" spans="1:10" x14ac:dyDescent="0.25">
      <c r="A73" t="s">
        <v>1438</v>
      </c>
      <c r="B73" s="160" t="s">
        <v>1452</v>
      </c>
      <c r="C73" s="125" t="s">
        <v>1439</v>
      </c>
      <c r="D73" s="742">
        <f>IFERROR(VLOOKUP(A73,'TABELA SALARIAL CODEVASF'!C:G,5,0),"")</f>
        <v>4564.26</v>
      </c>
      <c r="E73" s="124">
        <v>1</v>
      </c>
      <c r="F73" s="569">
        <v>1</v>
      </c>
      <c r="G73" s="306">
        <f t="shared" si="10"/>
        <v>6382.3371215400002</v>
      </c>
      <c r="H73" s="306">
        <f t="shared" si="11"/>
        <v>76588.045458480003</v>
      </c>
      <c r="I73" s="570">
        <f t="shared" si="12"/>
        <v>82673.72545848001</v>
      </c>
      <c r="J73" s="224"/>
    </row>
    <row r="74" spans="1:10" x14ac:dyDescent="0.25">
      <c r="A74" t="s">
        <v>1399</v>
      </c>
      <c r="B74" s="160" t="s">
        <v>1452</v>
      </c>
      <c r="C74" s="125" t="s">
        <v>1497</v>
      </c>
      <c r="D74" s="742">
        <f>IFERROR(VLOOKUP(A74,'TABELA SALARIAL CODEVASF'!C:G,5,0),"")</f>
        <v>5187.2299999999996</v>
      </c>
      <c r="E74" s="124">
        <v>1</v>
      </c>
      <c r="F74" s="569">
        <v>1</v>
      </c>
      <c r="G74" s="306">
        <f t="shared" si="10"/>
        <v>7253.4541386699993</v>
      </c>
      <c r="H74" s="306">
        <f t="shared" si="11"/>
        <v>87041.449664039988</v>
      </c>
      <c r="I74" s="570">
        <f t="shared" si="12"/>
        <v>93957.756330706659</v>
      </c>
      <c r="J74" s="224"/>
    </row>
    <row r="75" spans="1:10" x14ac:dyDescent="0.25">
      <c r="B75" s="160" t="s">
        <v>1452</v>
      </c>
      <c r="C75" s="125" t="s">
        <v>1498</v>
      </c>
      <c r="D75" s="744">
        <v>5177.2</v>
      </c>
      <c r="E75" s="124">
        <v>1</v>
      </c>
      <c r="F75" s="569">
        <v>1</v>
      </c>
      <c r="G75" s="306">
        <f t="shared" si="10"/>
        <v>7239.4288987999998</v>
      </c>
      <c r="H75" s="306">
        <f t="shared" si="11"/>
        <v>86873.146785599994</v>
      </c>
      <c r="I75" s="570">
        <f t="shared" si="12"/>
        <v>93776.080118933329</v>
      </c>
      <c r="J75" s="224"/>
    </row>
    <row r="76" spans="1:10" x14ac:dyDescent="0.25">
      <c r="B76" s="160" t="s">
        <v>1452</v>
      </c>
      <c r="C76" s="125" t="s">
        <v>1499</v>
      </c>
      <c r="D76" s="744">
        <v>4412.04</v>
      </c>
      <c r="E76" s="124">
        <v>1</v>
      </c>
      <c r="F76" s="569">
        <v>0.2</v>
      </c>
      <c r="G76" s="306">
        <f t="shared" si="10"/>
        <v>1233.8966962320001</v>
      </c>
      <c r="H76" s="306">
        <f t="shared" si="11"/>
        <v>14806.760354784001</v>
      </c>
      <c r="I76" s="570">
        <f t="shared" si="12"/>
        <v>20689.480354783998</v>
      </c>
      <c r="J76" s="224"/>
    </row>
    <row r="77" spans="1:10" x14ac:dyDescent="0.25">
      <c r="A77" t="s">
        <v>1329</v>
      </c>
      <c r="B77" s="160" t="s">
        <v>1452</v>
      </c>
      <c r="C77" s="125" t="s">
        <v>1500</v>
      </c>
      <c r="D77" s="742">
        <f>IFERROR(VLOOKUP(A77,'TABELA SALARIAL CODEVASF'!C:G,5,0),"")</f>
        <v>19838.490000000002</v>
      </c>
      <c r="E77" s="124">
        <v>1</v>
      </c>
      <c r="F77" s="569">
        <v>0.06</v>
      </c>
      <c r="G77" s="306">
        <f t="shared" si="10"/>
        <v>1664.4441529926</v>
      </c>
      <c r="H77" s="306">
        <f t="shared" si="11"/>
        <v>19973.329835911201</v>
      </c>
      <c r="I77" s="570">
        <f t="shared" si="12"/>
        <v>46424.649835911201</v>
      </c>
      <c r="J77" s="224"/>
    </row>
    <row r="78" spans="1:10" x14ac:dyDescent="0.25">
      <c r="A78" t="s">
        <v>1418</v>
      </c>
      <c r="B78" s="160" t="s">
        <v>1452</v>
      </c>
      <c r="C78" s="125" t="s">
        <v>1419</v>
      </c>
      <c r="D78" s="742">
        <f>IFERROR(VLOOKUP(A78,'TABELA SALARIAL CODEVASF'!C:G,5,0),"")</f>
        <v>9065.9500000000007</v>
      </c>
      <c r="E78" s="124">
        <v>2</v>
      </c>
      <c r="F78" s="569">
        <v>1</v>
      </c>
      <c r="G78" s="306">
        <f t="shared" si="10"/>
        <v>25354.361595099999</v>
      </c>
      <c r="H78" s="306">
        <f t="shared" si="11"/>
        <v>304252.33914120001</v>
      </c>
      <c r="I78" s="570">
        <f t="shared" si="12"/>
        <v>316340.27247453335</v>
      </c>
      <c r="J78" s="224"/>
    </row>
    <row r="79" spans="1:10" x14ac:dyDescent="0.25">
      <c r="A79" t="s">
        <v>1399</v>
      </c>
      <c r="B79" s="160" t="s">
        <v>1452</v>
      </c>
      <c r="C79" s="125" t="s">
        <v>1401</v>
      </c>
      <c r="D79" s="742">
        <f>IFERROR(VLOOKUP(A79,'TABELA SALARIAL CODEVASF'!C:G,5,0),"")</f>
        <v>5187.2299999999996</v>
      </c>
      <c r="E79" s="124">
        <v>1</v>
      </c>
      <c r="F79" s="569">
        <v>1</v>
      </c>
      <c r="G79" s="306">
        <f t="shared" si="10"/>
        <v>7253.4541386699993</v>
      </c>
      <c r="H79" s="306">
        <f t="shared" si="11"/>
        <v>87041.449664039988</v>
      </c>
      <c r="I79" s="570">
        <f t="shared" si="12"/>
        <v>93957.756330706659</v>
      </c>
      <c r="J79" s="224"/>
    </row>
    <row r="80" spans="1:10" x14ac:dyDescent="0.25">
      <c r="A80" t="s">
        <v>1329</v>
      </c>
      <c r="B80" s="160" t="s">
        <v>1452</v>
      </c>
      <c r="C80" s="125" t="s">
        <v>1501</v>
      </c>
      <c r="D80" s="742">
        <f>IFERROR(VLOOKUP(A80,'TABELA SALARIAL CODEVASF'!C:G,5,0),"")</f>
        <v>19838.490000000002</v>
      </c>
      <c r="E80" s="124">
        <v>1</v>
      </c>
      <c r="F80" s="569">
        <v>0.6</v>
      </c>
      <c r="G80" s="306">
        <f t="shared" si="10"/>
        <v>16644.441529926</v>
      </c>
      <c r="H80" s="306">
        <f t="shared" si="11"/>
        <v>199733.298359112</v>
      </c>
      <c r="I80" s="570">
        <f t="shared" si="12"/>
        <v>226184.61835911201</v>
      </c>
      <c r="J80" s="224"/>
    </row>
    <row r="81" spans="1:10" x14ac:dyDescent="0.25">
      <c r="A81" t="s">
        <v>1418</v>
      </c>
      <c r="B81" s="160" t="s">
        <v>1452</v>
      </c>
      <c r="C81" s="125" t="s">
        <v>1419</v>
      </c>
      <c r="D81" s="742">
        <f>IFERROR(VLOOKUP(A81,'TABELA SALARIAL CODEVASF'!C:G,5,0),"")</f>
        <v>9065.9500000000007</v>
      </c>
      <c r="E81" s="124">
        <v>1</v>
      </c>
      <c r="F81" s="569">
        <v>1</v>
      </c>
      <c r="G81" s="306">
        <f t="shared" si="10"/>
        <v>12677.18079755</v>
      </c>
      <c r="H81" s="306">
        <f t="shared" si="11"/>
        <v>152126.1695706</v>
      </c>
      <c r="I81" s="570">
        <f t="shared" si="12"/>
        <v>164214.10290393332</v>
      </c>
      <c r="J81" s="224"/>
    </row>
    <row r="82" spans="1:10" x14ac:dyDescent="0.25">
      <c r="A82" t="s">
        <v>1426</v>
      </c>
      <c r="B82" s="160" t="s">
        <v>1452</v>
      </c>
      <c r="C82" s="125" t="s">
        <v>1427</v>
      </c>
      <c r="D82" s="742">
        <f>IFERROR(VLOOKUP(A82,'TABELA SALARIAL CODEVASF'!C:G,5,0),"")</f>
        <v>9065.9500000000007</v>
      </c>
      <c r="E82" s="124">
        <v>2</v>
      </c>
      <c r="F82" s="569">
        <v>1</v>
      </c>
      <c r="G82" s="306">
        <f t="shared" si="10"/>
        <v>25354.361595099999</v>
      </c>
      <c r="H82" s="306">
        <f t="shared" si="11"/>
        <v>304252.33914120001</v>
      </c>
      <c r="I82" s="570">
        <f t="shared" si="12"/>
        <v>316340.27247453335</v>
      </c>
      <c r="J82" s="224"/>
    </row>
    <row r="83" spans="1:10" x14ac:dyDescent="0.25">
      <c r="A83" t="s">
        <v>1428</v>
      </c>
      <c r="B83" s="160" t="s">
        <v>1452</v>
      </c>
      <c r="C83" s="125" t="s">
        <v>1502</v>
      </c>
      <c r="D83" s="742">
        <f>IFERROR(VLOOKUP(A83,'TABELA SALARIAL CODEVASF'!C:G,5,0),"")</f>
        <v>4016.15</v>
      </c>
      <c r="E83" s="124">
        <v>2</v>
      </c>
      <c r="F83" s="569">
        <v>1</v>
      </c>
      <c r="G83" s="306">
        <f t="shared" si="10"/>
        <v>11231.7980267</v>
      </c>
      <c r="H83" s="306">
        <f t="shared" si="11"/>
        <v>134781.5763204</v>
      </c>
      <c r="I83" s="570">
        <f t="shared" si="12"/>
        <v>140136.44298706666</v>
      </c>
      <c r="J83" s="224"/>
    </row>
    <row r="84" spans="1:10" x14ac:dyDescent="0.25">
      <c r="B84" s="224"/>
      <c r="C84" s="224"/>
      <c r="D84" s="224"/>
      <c r="E84" s="224"/>
      <c r="F84" s="224"/>
      <c r="G84" s="226" t="s">
        <v>192</v>
      </c>
      <c r="H84" s="225">
        <f>SUM(H8:H13,H15:H46,H48:H53,H55:H61,H63:H64,H66:H83)</f>
        <v>15296985.362126306</v>
      </c>
      <c r="I84" s="305">
        <f>SUM(I8:I13,I15:I46,I48:I53,I55:I61,I63:I64,I66:I83)</f>
        <v>16216746.775459634</v>
      </c>
      <c r="J84" s="302"/>
    </row>
    <row r="85" spans="1:10" x14ac:dyDescent="0.25">
      <c r="B85" s="224"/>
      <c r="C85" s="224"/>
      <c r="D85" s="224"/>
      <c r="E85" s="224"/>
      <c r="F85" s="224"/>
      <c r="G85" s="224"/>
      <c r="H85" s="224"/>
      <c r="I85" s="224"/>
      <c r="J85" s="224"/>
    </row>
    <row r="86" spans="1:10" x14ac:dyDescent="0.25">
      <c r="B86" s="224"/>
      <c r="C86" s="224"/>
      <c r="D86" s="224"/>
      <c r="E86" s="224"/>
      <c r="F86" s="224"/>
      <c r="G86" s="224"/>
      <c r="H86" s="224"/>
      <c r="I86" s="224"/>
      <c r="J86" s="224"/>
    </row>
    <row r="87" spans="1:10" x14ac:dyDescent="0.25">
      <c r="B87" s="224"/>
    </row>
    <row r="88" spans="1:10" x14ac:dyDescent="0.25">
      <c r="B88" s="224"/>
    </row>
    <row r="89" spans="1:10" ht="15.75" x14ac:dyDescent="0.25">
      <c r="B89" s="224"/>
      <c r="C89" s="605" t="s">
        <v>1503</v>
      </c>
      <c r="D89" s="602"/>
      <c r="F89" s="491"/>
      <c r="H89" s="224"/>
    </row>
    <row r="90" spans="1:10" ht="16.5" x14ac:dyDescent="0.25">
      <c r="B90" s="224"/>
      <c r="C90" s="602" t="s">
        <v>1504</v>
      </c>
      <c r="D90" s="603">
        <v>0.08</v>
      </c>
      <c r="F90" s="465"/>
      <c r="G90" s="466"/>
      <c r="H90" s="224"/>
    </row>
    <row r="91" spans="1:10" ht="16.5" x14ac:dyDescent="0.25">
      <c r="B91" s="224"/>
      <c r="C91" s="602" t="s">
        <v>1505</v>
      </c>
      <c r="D91" s="603">
        <v>0.08</v>
      </c>
      <c r="F91" s="466"/>
      <c r="G91" s="467"/>
      <c r="H91" s="224"/>
    </row>
    <row r="92" spans="1:10" ht="16.5" x14ac:dyDescent="0.25">
      <c r="B92" s="224"/>
      <c r="C92" s="602" t="s">
        <v>1506</v>
      </c>
      <c r="D92" s="603">
        <v>0.2</v>
      </c>
      <c r="F92" s="466"/>
      <c r="G92" s="467"/>
      <c r="H92" s="224"/>
    </row>
    <row r="93" spans="1:10" ht="16.5" x14ac:dyDescent="0.25">
      <c r="B93" s="224"/>
      <c r="C93" s="602" t="s">
        <v>1507</v>
      </c>
      <c r="D93" s="603">
        <v>0.02</v>
      </c>
      <c r="F93" s="466"/>
      <c r="G93" s="467"/>
      <c r="H93" s="224"/>
    </row>
    <row r="94" spans="1:10" ht="16.5" x14ac:dyDescent="0.25">
      <c r="B94" s="224"/>
      <c r="C94" s="602" t="s">
        <v>1508</v>
      </c>
      <c r="D94" s="604">
        <v>0</v>
      </c>
      <c r="F94" s="466"/>
      <c r="G94" s="467"/>
      <c r="H94" s="224"/>
    </row>
    <row r="95" spans="1:10" ht="16.5" x14ac:dyDescent="0.25">
      <c r="B95" s="224"/>
      <c r="C95" s="602" t="s">
        <v>1509</v>
      </c>
      <c r="D95" s="603">
        <v>0</v>
      </c>
      <c r="F95" s="466"/>
      <c r="G95" s="468"/>
      <c r="H95" s="224"/>
    </row>
    <row r="96" spans="1:10" ht="16.5" x14ac:dyDescent="0.25">
      <c r="B96" s="224"/>
      <c r="C96" s="602" t="s">
        <v>1510</v>
      </c>
      <c r="D96" s="604">
        <v>2.2454000000000002E-2</v>
      </c>
      <c r="F96" s="466"/>
      <c r="G96" s="467"/>
      <c r="H96" s="224"/>
    </row>
    <row r="97" spans="2:8" ht="16.5" x14ac:dyDescent="0.25">
      <c r="B97" s="224"/>
      <c r="C97" s="605" t="s">
        <v>192</v>
      </c>
      <c r="D97" s="685">
        <v>0.39832899999999999</v>
      </c>
      <c r="F97" s="466"/>
      <c r="G97" s="468"/>
      <c r="H97" s="224"/>
    </row>
    <row r="98" spans="2:8" ht="16.5" x14ac:dyDescent="0.25">
      <c r="B98" s="224"/>
      <c r="F98" s="469"/>
      <c r="G98" s="470"/>
      <c r="H98" s="224"/>
    </row>
    <row r="99" spans="2:8" x14ac:dyDescent="0.25">
      <c r="B99" s="224"/>
    </row>
    <row r="100" spans="2:8" x14ac:dyDescent="0.25">
      <c r="B100" s="224"/>
    </row>
    <row r="101" spans="2:8" x14ac:dyDescent="0.25">
      <c r="B101" s="224"/>
    </row>
    <row r="102" spans="2:8" x14ac:dyDescent="0.25">
      <c r="B102" s="224"/>
    </row>
    <row r="103" spans="2:8" x14ac:dyDescent="0.25">
      <c r="B103" s="224"/>
    </row>
    <row r="104" spans="2:8" x14ac:dyDescent="0.25">
      <c r="B104" s="224"/>
    </row>
    <row r="105" spans="2:8" x14ac:dyDescent="0.25">
      <c r="B105" s="224"/>
    </row>
    <row r="106" spans="2:8" x14ac:dyDescent="0.25">
      <c r="B106" s="224"/>
    </row>
    <row r="107" spans="2:8" x14ac:dyDescent="0.25">
      <c r="B107" s="224"/>
    </row>
    <row r="108" spans="2:8" x14ac:dyDescent="0.25">
      <c r="B108" s="224"/>
    </row>
    <row r="109" spans="2:8" x14ac:dyDescent="0.25">
      <c r="B109" s="224"/>
    </row>
    <row r="110" spans="2:8" x14ac:dyDescent="0.25">
      <c r="B110" s="224"/>
    </row>
    <row r="111" spans="2:8" x14ac:dyDescent="0.25">
      <c r="B111" s="224"/>
    </row>
    <row r="112" spans="2:8" x14ac:dyDescent="0.25">
      <c r="B112" s="224"/>
    </row>
    <row r="113" spans="2:2" x14ac:dyDescent="0.25">
      <c r="B113" s="224"/>
    </row>
    <row r="114" spans="2:2" x14ac:dyDescent="0.25">
      <c r="B114" s="224"/>
    </row>
    <row r="115" spans="2:2" x14ac:dyDescent="0.25">
      <c r="B115" s="224"/>
    </row>
    <row r="116" spans="2:2" x14ac:dyDescent="0.25">
      <c r="B116" s="224"/>
    </row>
  </sheetData>
  <mergeCells count="12">
    <mergeCell ref="C65:I65"/>
    <mergeCell ref="C4:C6"/>
    <mergeCell ref="E4:E6"/>
    <mergeCell ref="F4:F6"/>
    <mergeCell ref="G4:G6"/>
    <mergeCell ref="H4:H6"/>
    <mergeCell ref="I4:I6"/>
    <mergeCell ref="C14:I14"/>
    <mergeCell ref="C47:I47"/>
    <mergeCell ref="C54:I54"/>
    <mergeCell ref="C62:I62"/>
    <mergeCell ref="C7:I7"/>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6"/>
  <sheetViews>
    <sheetView zoomScaleNormal="100" workbookViewId="0">
      <selection activeCell="G3" sqref="G3"/>
    </sheetView>
  </sheetViews>
  <sheetFormatPr defaultColWidth="9.140625" defaultRowHeight="15" x14ac:dyDescent="0.25"/>
  <cols>
    <col min="1" max="1" width="20.85546875" style="409" customWidth="1"/>
    <col min="2" max="2" width="19" style="409" customWidth="1"/>
    <col min="3" max="3" width="16.140625" style="409" customWidth="1"/>
    <col min="4" max="4" width="18.140625" style="409" customWidth="1"/>
    <col min="5" max="5" width="16.28515625" style="409" customWidth="1"/>
    <col min="6" max="6" width="17.85546875" style="409" customWidth="1"/>
    <col min="7" max="7" width="18" style="409" customWidth="1"/>
    <col min="8" max="9" width="14.42578125" style="409" customWidth="1"/>
    <col min="10" max="10" width="18.42578125" style="409" customWidth="1"/>
    <col min="11" max="11" width="15.42578125" style="409" customWidth="1"/>
    <col min="12" max="12" width="19.42578125" style="409" customWidth="1"/>
    <col min="13" max="13" width="20.28515625" style="409" customWidth="1"/>
    <col min="14" max="14" width="26.28515625" style="409" customWidth="1"/>
    <col min="15" max="16" width="23" style="409" customWidth="1"/>
    <col min="17" max="17" width="20.28515625" style="409" customWidth="1"/>
    <col min="18" max="18" width="17.42578125" style="409" customWidth="1"/>
    <col min="19" max="19" width="17" style="409" customWidth="1"/>
    <col min="20" max="20" width="18.5703125" style="409" customWidth="1"/>
    <col min="21" max="16384" width="9.140625" style="409"/>
  </cols>
  <sheetData>
    <row r="1" spans="1:20" ht="14.25" customHeight="1" x14ac:dyDescent="0.25">
      <c r="A1" s="408" t="s">
        <v>119</v>
      </c>
      <c r="E1" s="931" t="s">
        <v>148</v>
      </c>
      <c r="G1" s="409" t="s">
        <v>149</v>
      </c>
      <c r="H1" s="758">
        <v>0.20499999999999999</v>
      </c>
    </row>
    <row r="2" spans="1:20" ht="14.25" customHeight="1" x14ac:dyDescent="0.25">
      <c r="A2" s="410"/>
      <c r="B2" t="s">
        <v>120</v>
      </c>
      <c r="E2" s="931"/>
      <c r="G2" s="409" t="s">
        <v>150</v>
      </c>
      <c r="H2" s="760">
        <v>4.8313000000000002E-2</v>
      </c>
      <c r="M2" s="863"/>
      <c r="N2" s="863"/>
      <c r="O2" s="864"/>
    </row>
    <row r="3" spans="1:20" ht="17.25" customHeight="1" x14ac:dyDescent="0.25">
      <c r="A3" s="411"/>
      <c r="B3" t="s">
        <v>121</v>
      </c>
      <c r="D3" s="678"/>
      <c r="E3" s="931"/>
      <c r="G3" s="409" t="s">
        <v>151</v>
      </c>
      <c r="H3" s="759">
        <v>88.54</v>
      </c>
      <c r="O3" s="864"/>
    </row>
    <row r="4" spans="1:20" ht="15.75" thickBot="1" x14ac:dyDescent="0.3">
      <c r="A4" s="277"/>
      <c r="B4" s="277"/>
      <c r="C4" s="277"/>
    </row>
    <row r="5" spans="1:20" ht="18.75" x14ac:dyDescent="0.3">
      <c r="A5" s="764" t="s">
        <v>152</v>
      </c>
      <c r="B5" s="765"/>
      <c r="C5" s="766"/>
      <c r="D5" s="767"/>
      <c r="E5" s="767"/>
      <c r="F5" s="767"/>
      <c r="G5" s="767"/>
      <c r="H5" s="767"/>
      <c r="I5" s="767"/>
      <c r="J5" s="768"/>
    </row>
    <row r="6" spans="1:20" ht="46.5" customHeight="1" x14ac:dyDescent="0.25">
      <c r="A6" s="403" t="s">
        <v>153</v>
      </c>
      <c r="B6" s="274" t="s">
        <v>154</v>
      </c>
      <c r="C6" s="793" t="s">
        <v>155</v>
      </c>
      <c r="D6" s="797" t="s">
        <v>156</v>
      </c>
      <c r="E6" s="795" t="s">
        <v>157</v>
      </c>
      <c r="F6" s="274" t="s">
        <v>158</v>
      </c>
      <c r="G6" s="274" t="s">
        <v>159</v>
      </c>
      <c r="H6" s="274" t="s">
        <v>160</v>
      </c>
      <c r="I6" s="274" t="s">
        <v>161</v>
      </c>
      <c r="J6" s="274" t="s">
        <v>162</v>
      </c>
      <c r="K6" s="404" t="s">
        <v>163</v>
      </c>
      <c r="L6" s="461"/>
      <c r="N6" s="777"/>
      <c r="O6" s="412"/>
      <c r="P6" s="412"/>
      <c r="Q6" s="412"/>
      <c r="R6" s="463"/>
    </row>
    <row r="7" spans="1:20" ht="28.5" customHeight="1" x14ac:dyDescent="0.25">
      <c r="A7" s="432">
        <f>O28</f>
        <v>469027.63564110815</v>
      </c>
      <c r="B7" s="433">
        <v>2.47E-2</v>
      </c>
      <c r="C7" s="794">
        <f>A7*(1+$B$7)</f>
        <v>480612.61824144347</v>
      </c>
      <c r="D7" s="798">
        <v>2.1000000000000001E-2</v>
      </c>
      <c r="E7" s="796">
        <f>H3*(1+H2)</f>
        <v>92.817633020000017</v>
      </c>
      <c r="F7" s="434">
        <f>C7*(1-D7)*E7</f>
        <v>43672529.786596633</v>
      </c>
      <c r="G7" s="434">
        <f>F7/(1-H1)-F7</f>
        <v>11261469.944971457</v>
      </c>
      <c r="H7" s="778">
        <f>A11*(1-$D$7)*$C$7</f>
        <v>13376876.585135549</v>
      </c>
      <c r="I7" s="778">
        <f>B11*(1-$D$7)*$C$7</f>
        <v>6394363.4467812916</v>
      </c>
      <c r="J7" s="784">
        <f>C11*(1-$D$7)*$C$7*(1+'custos unitários para atualizar'!B4)</f>
        <v>2113728.8268558038</v>
      </c>
      <c r="K7" s="435">
        <f>SUM(F7:J7)</f>
        <v>76818968.590340748</v>
      </c>
      <c r="L7" s="866"/>
      <c r="M7" s="413"/>
      <c r="N7" s="756"/>
      <c r="O7" s="412"/>
      <c r="P7" s="412"/>
      <c r="Q7" s="412"/>
      <c r="R7" s="463"/>
    </row>
    <row r="8" spans="1:20" x14ac:dyDescent="0.25">
      <c r="A8" s="931"/>
      <c r="B8" s="931"/>
      <c r="C8" s="430">
        <f>C7/'[2]Anexo1B-CV Energia Elétrica'!$C$7-1</f>
        <v>-2.6925811624716078E-2</v>
      </c>
      <c r="D8" s="412"/>
      <c r="E8" s="413"/>
      <c r="F8" s="804">
        <f>(F7+G7)/'[1]Anexo1B-CV Energia Elétrica'!$E$7-1</f>
        <v>-1.3259036643499256E-3</v>
      </c>
      <c r="K8" s="804"/>
      <c r="M8" s="413"/>
      <c r="N8" s="413"/>
      <c r="Q8" s="464"/>
    </row>
    <row r="9" spans="1:20" ht="18.75" x14ac:dyDescent="0.3">
      <c r="A9" s="764" t="s">
        <v>164</v>
      </c>
      <c r="B9" s="769"/>
      <c r="C9" s="770"/>
      <c r="D9" t="s">
        <v>165</v>
      </c>
      <c r="K9" s="413"/>
      <c r="L9" s="867"/>
      <c r="M9" s="413"/>
      <c r="Q9" s="464"/>
    </row>
    <row r="10" spans="1:20" ht="30" customHeight="1" x14ac:dyDescent="0.25">
      <c r="A10" s="403" t="s">
        <v>166</v>
      </c>
      <c r="B10" s="274" t="s">
        <v>167</v>
      </c>
      <c r="C10" s="404" t="s">
        <v>168</v>
      </c>
      <c r="F10" s="204"/>
      <c r="G10" s="277"/>
      <c r="H10" s="277"/>
      <c r="I10" s="861"/>
      <c r="J10" s="4"/>
      <c r="K10" s="862"/>
      <c r="L10" s="412"/>
      <c r="M10" s="412"/>
      <c r="N10" s="413"/>
      <c r="Q10" s="464"/>
    </row>
    <row r="11" spans="1:20" x14ac:dyDescent="0.25">
      <c r="A11" s="538">
        <v>28.43</v>
      </c>
      <c r="B11" s="539">
        <v>13.59</v>
      </c>
      <c r="C11" s="785">
        <v>2.5</v>
      </c>
      <c r="D11" s="740" t="s">
        <v>169</v>
      </c>
      <c r="F11" s="204"/>
      <c r="G11" s="277"/>
      <c r="H11" s="277"/>
      <c r="I11" s="277"/>
      <c r="J11" s="277"/>
      <c r="K11" s="277"/>
      <c r="L11" s="624"/>
      <c r="M11" s="412"/>
      <c r="N11" s="462"/>
      <c r="P11" s="864"/>
      <c r="Q11" s="413"/>
    </row>
    <row r="12" spans="1:20" x14ac:dyDescent="0.25">
      <c r="A12" s="412"/>
      <c r="B12" s="741" t="s">
        <v>170</v>
      </c>
      <c r="D12" s="413"/>
      <c r="E12" s="413"/>
      <c r="F12" s="413"/>
      <c r="H12" s="277"/>
      <c r="I12" s="412"/>
    </row>
    <row r="13" spans="1:20" ht="18.75" x14ac:dyDescent="0.3">
      <c r="A13" s="399" t="s">
        <v>171</v>
      </c>
      <c r="B13" s="430"/>
      <c r="C13" s="430"/>
      <c r="D13" s="430"/>
      <c r="E13" s="430"/>
      <c r="F13" s="430"/>
      <c r="G13" s="430"/>
      <c r="H13" s="430"/>
      <c r="I13" s="430"/>
      <c r="J13" s="436"/>
      <c r="K13" s="430"/>
      <c r="L13" s="430"/>
      <c r="M13" s="430"/>
      <c r="N13" s="430"/>
      <c r="O13" s="431"/>
    </row>
    <row r="14" spans="1:20" ht="30.75" customHeight="1" x14ac:dyDescent="0.25">
      <c r="A14" s="761" t="s">
        <v>172</v>
      </c>
      <c r="B14" s="762" t="s">
        <v>173</v>
      </c>
      <c r="C14" s="762" t="s">
        <v>174</v>
      </c>
      <c r="D14" s="762" t="s">
        <v>175</v>
      </c>
      <c r="E14" s="762" t="s">
        <v>176</v>
      </c>
      <c r="F14" s="762" t="s">
        <v>177</v>
      </c>
      <c r="G14" s="762" t="s">
        <v>178</v>
      </c>
      <c r="H14" s="762" t="s">
        <v>179</v>
      </c>
      <c r="I14" s="762" t="s">
        <v>180</v>
      </c>
      <c r="J14" s="762" t="s">
        <v>181</v>
      </c>
      <c r="K14" s="762" t="s">
        <v>182</v>
      </c>
      <c r="L14" s="762" t="s">
        <v>183</v>
      </c>
      <c r="M14" s="762" t="s">
        <v>184</v>
      </c>
      <c r="N14" s="762" t="s">
        <v>185</v>
      </c>
      <c r="O14" s="763" t="s">
        <v>186</v>
      </c>
      <c r="P14" s="414"/>
      <c r="Q14" s="414"/>
    </row>
    <row r="15" spans="1:20" x14ac:dyDescent="0.25">
      <c r="A15" s="437" t="s">
        <v>187</v>
      </c>
      <c r="B15" s="415" t="s">
        <v>188</v>
      </c>
      <c r="C15" s="416">
        <v>36.1</v>
      </c>
      <c r="D15" s="416">
        <f>44640/3600</f>
        <v>12.4</v>
      </c>
      <c r="E15" s="416">
        <v>5036</v>
      </c>
      <c r="F15" s="416">
        <f>E15/J15</f>
        <v>5773.3249835854122</v>
      </c>
      <c r="G15" s="417">
        <v>0.97</v>
      </c>
      <c r="H15" s="418">
        <v>0.87</v>
      </c>
      <c r="I15" s="418">
        <f>G15*H15</f>
        <v>0.84389999999999998</v>
      </c>
      <c r="J15" s="419">
        <f>D15*C15*1000*0.736/E15/75</f>
        <v>0.8722876356897008</v>
      </c>
      <c r="K15" s="420">
        <f>O15*1000/C15/M15*100</f>
        <v>0.35825694404639458</v>
      </c>
      <c r="L15" s="625">
        <v>10.236000000000001</v>
      </c>
      <c r="M15" s="421">
        <f>L15*24*30*3600</f>
        <v>26531712</v>
      </c>
      <c r="N15" s="421">
        <f>M15/D15/2/3600</f>
        <v>297.17419354838705</v>
      </c>
      <c r="O15" s="438">
        <f>N15*E15*2/1000/J15</f>
        <v>3431.3663921794996</v>
      </c>
      <c r="P15" s="755"/>
      <c r="Q15" s="803"/>
      <c r="R15" s="413"/>
      <c r="S15" s="413"/>
      <c r="T15" s="413"/>
    </row>
    <row r="16" spans="1:20" x14ac:dyDescent="0.25">
      <c r="A16" s="437" t="s">
        <v>189</v>
      </c>
      <c r="B16" s="415" t="s">
        <v>188</v>
      </c>
      <c r="C16" s="416">
        <v>58.52</v>
      </c>
      <c r="D16" s="416">
        <v>12.4</v>
      </c>
      <c r="E16" s="416">
        <v>8950</v>
      </c>
      <c r="F16" s="416">
        <f>E16/J16</f>
        <v>11248.730632303219</v>
      </c>
      <c r="G16" s="417">
        <v>0.97</v>
      </c>
      <c r="H16" s="418">
        <v>0.87</v>
      </c>
      <c r="I16" s="418">
        <f>G16*H16</f>
        <v>0.84389999999999998</v>
      </c>
      <c r="J16" s="419">
        <f>D16*C16*1000*0.736/E16/75</f>
        <v>0.79564533035381746</v>
      </c>
      <c r="K16" s="420">
        <f>O16*1000/C16/M16*100</f>
        <v>0.4306009797948876</v>
      </c>
      <c r="L16" s="625">
        <v>9.4561000000000011</v>
      </c>
      <c r="M16" s="421">
        <f>L16*24*30*3600</f>
        <v>24510211.200000007</v>
      </c>
      <c r="N16" s="421">
        <f>M16/D16/2/3600</f>
        <v>274.53193548387105</v>
      </c>
      <c r="O16" s="438">
        <f>N16*E16*2/1000/J16</f>
        <v>6176.2715844458226</v>
      </c>
      <c r="P16" s="755"/>
      <c r="Q16" s="803"/>
      <c r="R16" s="413"/>
      <c r="T16" s="413"/>
    </row>
    <row r="17" spans="1:20" x14ac:dyDescent="0.25">
      <c r="A17" s="437" t="s">
        <v>190</v>
      </c>
      <c r="B17" s="415" t="s">
        <v>188</v>
      </c>
      <c r="C17" s="416">
        <v>96.63</v>
      </c>
      <c r="D17" s="416">
        <v>11.1</v>
      </c>
      <c r="E17" s="416">
        <v>12660</v>
      </c>
      <c r="F17" s="416">
        <f>E17/J17</f>
        <v>15227.054498041096</v>
      </c>
      <c r="G17" s="417">
        <v>0.97</v>
      </c>
      <c r="H17" s="418">
        <v>0.87</v>
      </c>
      <c r="I17" s="418">
        <f>G17*H17</f>
        <v>0.84389999999999998</v>
      </c>
      <c r="J17" s="419">
        <f>D17*C17*1000*0.736/E17/75</f>
        <v>0.83141490047393352</v>
      </c>
      <c r="K17" s="420">
        <f>O17*1000/C17/M17*100</f>
        <v>0.39434691076363282</v>
      </c>
      <c r="L17" s="625">
        <v>8.8186</v>
      </c>
      <c r="M17" s="421">
        <f>L17*24*30*3600</f>
        <v>22857811.199999999</v>
      </c>
      <c r="N17" s="421">
        <f>M17/D17/2/3600</f>
        <v>286.00864864864866</v>
      </c>
      <c r="O17" s="438">
        <f>N17*E17*2/1000/J17</f>
        <v>8710.1385597681237</v>
      </c>
      <c r="P17" s="755"/>
      <c r="Q17" s="803"/>
      <c r="R17" s="413"/>
    </row>
    <row r="18" spans="1:20" x14ac:dyDescent="0.25">
      <c r="A18" s="929" t="s">
        <v>191</v>
      </c>
      <c r="B18" s="930"/>
      <c r="C18" s="416">
        <f>SUM(C15:C17)</f>
        <v>191.25</v>
      </c>
      <c r="D18" s="416"/>
      <c r="E18" s="416">
        <f>3*30+3*15</f>
        <v>135</v>
      </c>
      <c r="F18" s="416">
        <f>E18</f>
        <v>135</v>
      </c>
      <c r="G18" s="422"/>
      <c r="H18" s="418"/>
      <c r="I18" s="418"/>
      <c r="J18" s="419"/>
      <c r="K18" s="420"/>
      <c r="L18" s="626"/>
      <c r="M18" s="421"/>
      <c r="N18" s="421"/>
      <c r="O18" s="438">
        <f>E18*30*24*0.15/1000</f>
        <v>14.58</v>
      </c>
      <c r="P18" s="805"/>
      <c r="Q18" s="803"/>
      <c r="R18" s="413"/>
    </row>
    <row r="19" spans="1:20" x14ac:dyDescent="0.25">
      <c r="A19" s="437"/>
      <c r="B19" s="415"/>
      <c r="C19" s="416"/>
      <c r="D19" s="422" t="s">
        <v>192</v>
      </c>
      <c r="E19" s="422">
        <f>SUM(E15:E17)*2+E18</f>
        <v>53427</v>
      </c>
      <c r="F19" s="423">
        <f>SUM(F15:F17)*2+F18</f>
        <v>64633.220227859456</v>
      </c>
      <c r="G19" s="422"/>
      <c r="H19" s="418"/>
      <c r="I19" s="418"/>
      <c r="J19" s="419"/>
      <c r="K19" s="420"/>
      <c r="L19" s="626"/>
      <c r="M19" s="421"/>
      <c r="N19" s="421"/>
      <c r="O19" s="438"/>
      <c r="P19" s="755"/>
      <c r="Q19" s="803"/>
      <c r="R19" s="413"/>
      <c r="S19" s="413"/>
    </row>
    <row r="20" spans="1:20" x14ac:dyDescent="0.25">
      <c r="A20" s="437" t="s">
        <v>193</v>
      </c>
      <c r="B20" s="415" t="s">
        <v>194</v>
      </c>
      <c r="C20" s="416">
        <v>61.78</v>
      </c>
      <c r="D20" s="422">
        <f>25200/3600</f>
        <v>7</v>
      </c>
      <c r="E20" s="422">
        <v>4917</v>
      </c>
      <c r="F20" s="416">
        <f t="shared" ref="F20:F25" si="0">E20/J20</f>
        <v>5696.8911519084941</v>
      </c>
      <c r="G20" s="424">
        <v>0.97399999999999998</v>
      </c>
      <c r="H20" s="418">
        <v>0.86</v>
      </c>
      <c r="I20" s="418">
        <f t="shared" ref="I20:I25" si="1">G20*H20</f>
        <v>0.83763999999999994</v>
      </c>
      <c r="J20" s="419">
        <f t="shared" ref="J20:J25" si="2">D20*C20*1000*0.736/E20/75</f>
        <v>0.86310232526608388</v>
      </c>
      <c r="K20" s="420">
        <f t="shared" ref="K20:K25" si="3">O20*1000/C20/M20*100</f>
        <v>0.36592280544305278</v>
      </c>
      <c r="L20" s="625">
        <v>7.4509999999999987</v>
      </c>
      <c r="M20" s="421">
        <f t="shared" ref="M20:M25" si="4">L20*24*30*3600</f>
        <v>19312991.999999993</v>
      </c>
      <c r="N20" s="421">
        <f t="shared" ref="N20:N25" si="5">M20/D20/2/3600</f>
        <v>383.19428571428551</v>
      </c>
      <c r="O20" s="438">
        <f t="shared" ref="O20:O25" si="6">N20*E20*2/1000/J20</f>
        <v>4366.0322714952172</v>
      </c>
      <c r="P20" s="755"/>
      <c r="Q20" s="803"/>
      <c r="R20" s="413"/>
      <c r="S20" s="413"/>
      <c r="T20" s="413"/>
    </row>
    <row r="21" spans="1:20" x14ac:dyDescent="0.25">
      <c r="A21" s="437" t="s">
        <v>195</v>
      </c>
      <c r="B21" s="415" t="s">
        <v>194</v>
      </c>
      <c r="C21" s="416">
        <v>43.15</v>
      </c>
      <c r="D21" s="422">
        <f>25200/3600</f>
        <v>7</v>
      </c>
      <c r="E21" s="422">
        <v>3433</v>
      </c>
      <c r="F21" s="416">
        <f t="shared" si="0"/>
        <v>3976.05346706923</v>
      </c>
      <c r="G21" s="424">
        <v>0.97199999999999998</v>
      </c>
      <c r="H21" s="418">
        <v>0.86</v>
      </c>
      <c r="I21" s="418">
        <f t="shared" si="1"/>
        <v>0.83592</v>
      </c>
      <c r="J21" s="419">
        <f t="shared" si="2"/>
        <v>0.86341897271579759</v>
      </c>
      <c r="K21" s="420">
        <f t="shared" si="3"/>
        <v>0.36565445999275598</v>
      </c>
      <c r="L21" s="625">
        <v>7.1448000000000009</v>
      </c>
      <c r="M21" s="421">
        <f t="shared" si="4"/>
        <v>18519321.600000005</v>
      </c>
      <c r="N21" s="421">
        <f t="shared" si="5"/>
        <v>367.44685714285725</v>
      </c>
      <c r="O21" s="438">
        <f t="shared" si="6"/>
        <v>2921.9767006130992</v>
      </c>
      <c r="P21" s="755"/>
      <c r="Q21" s="803"/>
      <c r="R21" s="413"/>
    </row>
    <row r="22" spans="1:20" x14ac:dyDescent="0.25">
      <c r="A22" s="437" t="s">
        <v>196</v>
      </c>
      <c r="B22" s="415" t="s">
        <v>194</v>
      </c>
      <c r="C22" s="416">
        <v>63.54</v>
      </c>
      <c r="D22" s="422">
        <v>7</v>
      </c>
      <c r="E22" s="422">
        <v>4991.2</v>
      </c>
      <c r="F22" s="416">
        <f t="shared" si="0"/>
        <v>5707.529223045296</v>
      </c>
      <c r="G22" s="424">
        <v>0.97599999999999998</v>
      </c>
      <c r="H22" s="418">
        <v>0.88</v>
      </c>
      <c r="I22" s="418">
        <f t="shared" si="1"/>
        <v>0.85887999999999998</v>
      </c>
      <c r="J22" s="419">
        <f t="shared" si="2"/>
        <v>0.87449398942138168</v>
      </c>
      <c r="K22" s="420">
        <f t="shared" si="3"/>
        <v>0.35645145559135949</v>
      </c>
      <c r="L22" s="625">
        <v>6.8482999999999992</v>
      </c>
      <c r="M22" s="421">
        <f t="shared" si="4"/>
        <v>17750793.599999998</v>
      </c>
      <c r="N22" s="421">
        <f t="shared" si="5"/>
        <v>352.19828571428565</v>
      </c>
      <c r="O22" s="438">
        <f t="shared" si="6"/>
        <v>4020.3640160414839</v>
      </c>
      <c r="P22" s="755"/>
      <c r="Q22" s="803"/>
      <c r="R22" s="413"/>
    </row>
    <row r="23" spans="1:20" x14ac:dyDescent="0.25">
      <c r="A23" s="437" t="s">
        <v>197</v>
      </c>
      <c r="B23" s="415" t="s">
        <v>194</v>
      </c>
      <c r="C23" s="416">
        <v>59.28</v>
      </c>
      <c r="D23" s="422">
        <v>7</v>
      </c>
      <c r="E23" s="421">
        <v>4658.66</v>
      </c>
      <c r="F23" s="416">
        <f t="shared" si="0"/>
        <v>5329.6568221806065</v>
      </c>
      <c r="G23" s="424">
        <v>0.97599999999999998</v>
      </c>
      <c r="H23" s="418">
        <v>0.88</v>
      </c>
      <c r="I23" s="418">
        <f t="shared" si="1"/>
        <v>0.85887999999999998</v>
      </c>
      <c r="J23" s="419">
        <f t="shared" si="2"/>
        <v>0.87410130810147146</v>
      </c>
      <c r="K23" s="420">
        <f t="shared" si="3"/>
        <v>0.35677179207236887</v>
      </c>
      <c r="L23" s="625">
        <v>6.6748000000000003</v>
      </c>
      <c r="M23" s="421">
        <f t="shared" si="4"/>
        <v>17301081.599999998</v>
      </c>
      <c r="N23" s="421">
        <f t="shared" si="5"/>
        <v>343.27542857142851</v>
      </c>
      <c r="O23" s="438">
        <f t="shared" si="6"/>
        <v>3659.0804595453715</v>
      </c>
      <c r="P23" s="755"/>
      <c r="Q23" s="803"/>
      <c r="R23" s="413"/>
    </row>
    <row r="24" spans="1:20" x14ac:dyDescent="0.25">
      <c r="A24" s="437" t="s">
        <v>198</v>
      </c>
      <c r="B24" s="415" t="s">
        <v>194</v>
      </c>
      <c r="C24" s="416">
        <v>41.71</v>
      </c>
      <c r="D24" s="422">
        <v>4.5</v>
      </c>
      <c r="E24" s="421">
        <v>2092.2199999999998</v>
      </c>
      <c r="F24" s="416">
        <f t="shared" si="0"/>
        <v>2376.5417272558275</v>
      </c>
      <c r="G24" s="424">
        <v>0.97</v>
      </c>
      <c r="H24" s="418">
        <v>0.88</v>
      </c>
      <c r="I24" s="418">
        <f t="shared" si="1"/>
        <v>0.85360000000000003</v>
      </c>
      <c r="J24" s="419">
        <f t="shared" si="2"/>
        <v>0.88036325051858799</v>
      </c>
      <c r="K24" s="420">
        <f t="shared" si="3"/>
        <v>0.35171447283800061</v>
      </c>
      <c r="L24" s="625">
        <v>6.0046000000000008</v>
      </c>
      <c r="M24" s="421">
        <f t="shared" si="4"/>
        <v>15563923.200000003</v>
      </c>
      <c r="N24" s="421">
        <f t="shared" si="5"/>
        <v>480.36800000000005</v>
      </c>
      <c r="O24" s="438">
        <f t="shared" si="6"/>
        <v>2283.229192876855</v>
      </c>
      <c r="P24" s="755"/>
      <c r="Q24" s="803"/>
      <c r="R24" s="413"/>
    </row>
    <row r="25" spans="1:20" x14ac:dyDescent="0.25">
      <c r="A25" s="437" t="s">
        <v>199</v>
      </c>
      <c r="B25" s="415" t="s">
        <v>194</v>
      </c>
      <c r="C25" s="416">
        <v>62.98</v>
      </c>
      <c r="D25" s="422">
        <v>4.5</v>
      </c>
      <c r="E25" s="421">
        <v>3179.2</v>
      </c>
      <c r="F25" s="416">
        <f t="shared" si="0"/>
        <v>3634.1594525062019</v>
      </c>
      <c r="G25" s="424">
        <v>0.97</v>
      </c>
      <c r="H25" s="418">
        <v>0.88</v>
      </c>
      <c r="I25" s="418">
        <f t="shared" si="1"/>
        <v>0.85360000000000003</v>
      </c>
      <c r="J25" s="419">
        <f t="shared" si="2"/>
        <v>0.87481026673376938</v>
      </c>
      <c r="K25" s="420">
        <f t="shared" si="3"/>
        <v>0.35619376056147573</v>
      </c>
      <c r="L25" s="625">
        <v>5.9317999999999982</v>
      </c>
      <c r="M25" s="421">
        <f t="shared" si="4"/>
        <v>15375225.599999996</v>
      </c>
      <c r="N25" s="421">
        <f t="shared" si="5"/>
        <v>474.54399999999987</v>
      </c>
      <c r="O25" s="438">
        <f t="shared" si="6"/>
        <v>3449.1371264602053</v>
      </c>
      <c r="P25" s="755"/>
      <c r="Q25" s="803"/>
      <c r="R25" s="413"/>
    </row>
    <row r="26" spans="1:20" ht="30" x14ac:dyDescent="0.25">
      <c r="A26" s="439" t="s">
        <v>200</v>
      </c>
      <c r="B26" s="680"/>
      <c r="C26" s="416">
        <f>SUM(C20:C25)</f>
        <v>332.44</v>
      </c>
      <c r="D26" s="422"/>
      <c r="E26" s="421">
        <f>16*30+15</f>
        <v>495</v>
      </c>
      <c r="F26" s="421">
        <f>E26</f>
        <v>495</v>
      </c>
      <c r="G26" s="425"/>
      <c r="H26" s="420"/>
      <c r="I26" s="420"/>
      <c r="J26" s="419"/>
      <c r="K26" s="416"/>
      <c r="L26" s="421"/>
      <c r="M26" s="421"/>
      <c r="N26" s="421"/>
      <c r="O26" s="438">
        <f>E26*30*24*0.15/1000</f>
        <v>53.46</v>
      </c>
      <c r="P26" s="755"/>
      <c r="Q26" s="413"/>
      <c r="R26" s="413"/>
    </row>
    <row r="27" spans="1:20" ht="18.75" x14ac:dyDescent="0.3">
      <c r="A27" s="440"/>
      <c r="D27" s="422" t="s">
        <v>192</v>
      </c>
      <c r="E27" s="421">
        <f>SUM(E20:E25)*2+E26</f>
        <v>47037.560000000005</v>
      </c>
      <c r="F27" s="426">
        <f>SUM(F20:F25)*2+F26</f>
        <v>53936.663687931316</v>
      </c>
      <c r="G27" s="441"/>
      <c r="H27" s="442"/>
      <c r="I27" s="442"/>
      <c r="L27" s="413"/>
      <c r="M27" s="413"/>
      <c r="N27" s="427" t="s">
        <v>201</v>
      </c>
      <c r="O27" s="443">
        <f>SUM(O15:O26)</f>
        <v>39085.636303425679</v>
      </c>
      <c r="P27" s="428"/>
      <c r="Q27" s="428"/>
      <c r="R27" s="429"/>
    </row>
    <row r="28" spans="1:20" ht="18.75" x14ac:dyDescent="0.3">
      <c r="A28" s="444"/>
      <c r="B28" s="445"/>
      <c r="C28" s="446"/>
      <c r="D28" s="447"/>
      <c r="E28" s="448"/>
      <c r="F28" s="449"/>
      <c r="G28" s="450"/>
      <c r="H28" s="450"/>
      <c r="I28" s="445"/>
      <c r="J28" s="451"/>
      <c r="K28" s="451"/>
      <c r="L28" s="452"/>
      <c r="M28" s="445"/>
      <c r="N28" s="453" t="s">
        <v>202</v>
      </c>
      <c r="O28" s="454">
        <f>O27*12</f>
        <v>469027.63564110815</v>
      </c>
      <c r="P28" s="428"/>
      <c r="Q28" s="429"/>
      <c r="R28" s="413"/>
      <c r="T28" s="805"/>
    </row>
    <row r="29" spans="1:20" x14ac:dyDescent="0.25">
      <c r="O29" s="868"/>
      <c r="P29" s="413"/>
      <c r="Q29" s="803"/>
      <c r="R29" s="865"/>
    </row>
    <row r="30" spans="1:20" x14ac:dyDescent="0.25">
      <c r="O30" s="870"/>
    </row>
    <row r="31" spans="1:20" x14ac:dyDescent="0.25">
      <c r="F31" s="413"/>
      <c r="O31" s="805"/>
      <c r="P31" s="413"/>
    </row>
    <row r="32" spans="1:20" x14ac:dyDescent="0.25">
      <c r="O32" s="863"/>
      <c r="P32" s="863"/>
    </row>
    <row r="33" spans="13:17" x14ac:dyDescent="0.25">
      <c r="O33" s="863"/>
      <c r="P33" s="863"/>
    </row>
    <row r="34" spans="13:17" x14ac:dyDescent="0.25">
      <c r="O34" s="872"/>
      <c r="P34" s="869"/>
      <c r="Q34" s="864"/>
    </row>
    <row r="35" spans="13:17" x14ac:dyDescent="0.25">
      <c r="M35" s="932"/>
      <c r="N35" s="932"/>
      <c r="O35" s="871"/>
    </row>
    <row r="36" spans="13:17" x14ac:dyDescent="0.25">
      <c r="O36" s="864"/>
    </row>
  </sheetData>
  <sheetProtection algorithmName="SHA-512" hashValue="nlvaWDaxfIpDOlOuJAGnuqXhhi4BmwTRtzVoQLNNVXRlLACxqrwk7Rybs4xL+kVqO0NlfGgfOXAtwHX/ZV4ODw==" saltValue="ACSIte1jQQk6vbQoCkWgIA==" spinCount="100000" sheet="1" objects="1" scenarios="1"/>
  <mergeCells count="4">
    <mergeCell ref="A18:B18"/>
    <mergeCell ref="A8:B8"/>
    <mergeCell ref="E1:E3"/>
    <mergeCell ref="M35:N35"/>
  </mergeCells>
  <hyperlinks>
    <hyperlink ref="B12" r:id="rId1" xr:uid="{250A72CD-8D27-4ACE-B0FE-336CC7D99741}"/>
  </hyperlinks>
  <pageMargins left="0.511811024" right="0.511811024" top="0.78740157499999996" bottom="0.78740157499999996" header="0.31496062000000002" footer="0.31496062000000002"/>
  <pageSetup paperSize="9" orientation="portrait" horizontalDpi="1200" verticalDpi="1200"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2"/>
  <sheetViews>
    <sheetView showGridLines="0" zoomScaleNormal="100" workbookViewId="0">
      <selection activeCell="D8" sqref="D8"/>
    </sheetView>
  </sheetViews>
  <sheetFormatPr defaultColWidth="8.85546875" defaultRowHeight="15" x14ac:dyDescent="0.25"/>
  <cols>
    <col min="1" max="1" width="19" customWidth="1"/>
    <col min="2" max="2" width="62.85546875" bestFit="1" customWidth="1"/>
    <col min="3" max="3" width="23.28515625" bestFit="1" customWidth="1"/>
    <col min="4" max="4" width="12.28515625" bestFit="1" customWidth="1"/>
    <col min="5" max="5" width="16.85546875" bestFit="1" customWidth="1"/>
  </cols>
  <sheetData>
    <row r="1" spans="1:4" x14ac:dyDescent="0.25">
      <c r="D1" s="40"/>
    </row>
    <row r="2" spans="1:4" s="41" customFormat="1" ht="21" x14ac:dyDescent="0.35">
      <c r="A2" s="933" t="s">
        <v>203</v>
      </c>
      <c r="B2" s="933"/>
      <c r="C2" s="933"/>
    </row>
    <row r="3" spans="1:4" ht="15.75" thickBot="1" x14ac:dyDescent="0.3">
      <c r="C3" s="39"/>
    </row>
    <row r="4" spans="1:4" ht="15.75" x14ac:dyDescent="0.25">
      <c r="A4" s="218" t="s">
        <v>204</v>
      </c>
      <c r="B4" s="219"/>
      <c r="C4" s="220" t="s">
        <v>205</v>
      </c>
    </row>
    <row r="5" spans="1:4" ht="19.5" thickBot="1" x14ac:dyDescent="0.35">
      <c r="A5" s="221" t="s">
        <v>206</v>
      </c>
      <c r="B5" s="222"/>
      <c r="C5" s="223">
        <f>SUM(C7:C24)</f>
        <v>139006048.49195945</v>
      </c>
    </row>
    <row r="6" spans="1:4" x14ac:dyDescent="0.25">
      <c r="A6" s="34"/>
      <c r="C6" s="33"/>
    </row>
    <row r="7" spans="1:4" x14ac:dyDescent="0.25">
      <c r="A7" s="34"/>
      <c r="B7" t="s">
        <v>207</v>
      </c>
      <c r="C7" s="33">
        <f>'mão de obra'!J34</f>
        <v>58718342.115909211</v>
      </c>
    </row>
    <row r="8" spans="1:4" x14ac:dyDescent="0.25">
      <c r="A8" s="34"/>
      <c r="B8" t="s">
        <v>208</v>
      </c>
      <c r="C8" s="33">
        <f>Veículos!F18</f>
        <v>8068938.9623999996</v>
      </c>
    </row>
    <row r="9" spans="1:4" x14ac:dyDescent="0.25">
      <c r="A9" s="34"/>
      <c r="B9" t="s">
        <v>209</v>
      </c>
      <c r="C9" s="33">
        <f>Equipamentos!J57</f>
        <v>12725084.291999999</v>
      </c>
    </row>
    <row r="10" spans="1:4" x14ac:dyDescent="0.25">
      <c r="A10" s="34"/>
      <c r="B10" t="s">
        <v>210</v>
      </c>
      <c r="C10" s="33">
        <f>amoxarifado!D6</f>
        <v>1245722.4157499999</v>
      </c>
    </row>
    <row r="11" spans="1:4" x14ac:dyDescent="0.25">
      <c r="A11" s="34"/>
      <c r="B11" t="s">
        <v>211</v>
      </c>
      <c r="C11" s="33">
        <f>Ferramentas!D8</f>
        <v>86727.814525709997</v>
      </c>
    </row>
    <row r="12" spans="1:4" x14ac:dyDescent="0.25">
      <c r="A12" s="34"/>
      <c r="B12" t="s">
        <v>212</v>
      </c>
      <c r="C12" s="33">
        <f>'Materiais de consumo'!D6</f>
        <v>1077274.5099479998</v>
      </c>
    </row>
    <row r="13" spans="1:4" x14ac:dyDescent="0.25">
      <c r="A13" s="34"/>
      <c r="B13" t="s">
        <v>213</v>
      </c>
      <c r="C13" s="33">
        <f>0.2515*SUM(C7:C12)</f>
        <v>20603405.662799027</v>
      </c>
    </row>
    <row r="14" spans="1:4" x14ac:dyDescent="0.25">
      <c r="A14" s="34"/>
      <c r="B14" t="s">
        <v>214</v>
      </c>
      <c r="C14" s="33">
        <f>incendio!G8</f>
        <v>808618.95</v>
      </c>
    </row>
    <row r="15" spans="1:4" x14ac:dyDescent="0.25">
      <c r="A15" s="34"/>
      <c r="B15" t="s">
        <v>215</v>
      </c>
      <c r="C15" s="33">
        <f>automação!H6</f>
        <v>1544556.0421179505</v>
      </c>
      <c r="D15" s="3"/>
    </row>
    <row r="16" spans="1:4" x14ac:dyDescent="0.25">
      <c r="A16" s="34"/>
      <c r="B16" t="s">
        <v>216</v>
      </c>
      <c r="C16" s="33">
        <f>helicoptero!H22</f>
        <v>0</v>
      </c>
      <c r="D16" t="s">
        <v>217</v>
      </c>
    </row>
    <row r="17" spans="1:5" x14ac:dyDescent="0.25">
      <c r="A17" s="34"/>
      <c r="B17" t="s">
        <v>218</v>
      </c>
      <c r="C17" s="33">
        <f>drone!H19</f>
        <v>0</v>
      </c>
      <c r="D17" t="s">
        <v>217</v>
      </c>
    </row>
    <row r="18" spans="1:5" x14ac:dyDescent="0.25">
      <c r="A18" s="34"/>
      <c r="B18" t="s">
        <v>219</v>
      </c>
      <c r="C18" s="33">
        <f>geomembranas!H3</f>
        <v>6416764.2878185976</v>
      </c>
    </row>
    <row r="19" spans="1:5" x14ac:dyDescent="0.25">
      <c r="A19" s="34"/>
      <c r="B19" t="s">
        <v>220</v>
      </c>
      <c r="C19" s="33">
        <f>'linhas transmissão'!F12</f>
        <v>9640879.6400000006</v>
      </c>
    </row>
    <row r="20" spans="1:5" x14ac:dyDescent="0.25">
      <c r="A20" s="34"/>
      <c r="B20" t="s">
        <v>221</v>
      </c>
      <c r="C20" s="33">
        <f>subestações!G15</f>
        <v>9181790.1400000006</v>
      </c>
    </row>
    <row r="21" spans="1:5" x14ac:dyDescent="0.25">
      <c r="A21" s="34"/>
      <c r="B21" t="s">
        <v>222</v>
      </c>
      <c r="C21" s="33">
        <f>'baixa tensão'!F10</f>
        <v>4131805.56</v>
      </c>
    </row>
    <row r="22" spans="1:5" x14ac:dyDescent="0.25">
      <c r="A22" s="34"/>
      <c r="B22" t="s">
        <v>223</v>
      </c>
      <c r="C22" s="33">
        <f>'aferição medidores de vazão'!C9</f>
        <v>485171.36999999994</v>
      </c>
    </row>
    <row r="23" spans="1:5" x14ac:dyDescent="0.25">
      <c r="A23" s="34"/>
      <c r="B23" t="s">
        <v>224</v>
      </c>
      <c r="C23" s="33">
        <f>'apoio rio Piranhas'!M3</f>
        <v>1545357.934730988</v>
      </c>
      <c r="E23" s="40"/>
    </row>
    <row r="24" spans="1:5" ht="15.75" thickBot="1" x14ac:dyDescent="0.3">
      <c r="A24" s="32"/>
      <c r="B24" s="31" t="s">
        <v>225</v>
      </c>
      <c r="C24" s="30">
        <f>SUM(C7:C23)*2%</f>
        <v>2725608.7939599897</v>
      </c>
      <c r="E24" s="40"/>
    </row>
    <row r="25" spans="1:5" x14ac:dyDescent="0.25">
      <c r="C25" s="39"/>
      <c r="E25" s="40"/>
    </row>
    <row r="26" spans="1:5" ht="15.75" thickBot="1" x14ac:dyDescent="0.3"/>
    <row r="27" spans="1:5" x14ac:dyDescent="0.25">
      <c r="A27" s="37" t="s">
        <v>226</v>
      </c>
      <c r="B27" s="36" t="s">
        <v>227</v>
      </c>
      <c r="C27" s="35">
        <f>Ferramentas!D9</f>
        <v>755255.85999999975</v>
      </c>
    </row>
    <row r="28" spans="1:5" x14ac:dyDescent="0.25">
      <c r="A28" s="34"/>
      <c r="B28" t="s">
        <v>228</v>
      </c>
      <c r="C28" s="33">
        <f>amoxarifado!D7</f>
        <v>156908</v>
      </c>
    </row>
    <row r="29" spans="1:5" x14ac:dyDescent="0.25">
      <c r="A29" s="34"/>
      <c r="B29" t="s">
        <v>229</v>
      </c>
      <c r="C29" s="33">
        <f>incendio!B6</f>
        <v>4500000</v>
      </c>
    </row>
    <row r="30" spans="1:5" x14ac:dyDescent="0.25">
      <c r="A30" s="34"/>
      <c r="B30" t="s">
        <v>230</v>
      </c>
      <c r="C30" s="33">
        <f>C29*19.6%</f>
        <v>882000</v>
      </c>
    </row>
    <row r="31" spans="1:5" x14ac:dyDescent="0.25">
      <c r="A31" s="34"/>
      <c r="B31" t="s">
        <v>231</v>
      </c>
      <c r="C31" s="33">
        <f>'materiais sobressalentes'!C38</f>
        <v>2010000</v>
      </c>
    </row>
    <row r="32" spans="1:5" ht="15.75" thickBot="1" x14ac:dyDescent="0.3">
      <c r="A32" s="34"/>
      <c r="B32" t="s">
        <v>232</v>
      </c>
      <c r="C32" s="33">
        <f>'apoio rio Piranhas'!M4</f>
        <v>110487.08384399998</v>
      </c>
    </row>
    <row r="33" spans="1:3" ht="15.75" thickBot="1" x14ac:dyDescent="0.3">
      <c r="A33" s="32"/>
      <c r="B33" s="215" t="s">
        <v>192</v>
      </c>
      <c r="C33" s="216">
        <f>SUM(C27:C32)</f>
        <v>8414650.9438439999</v>
      </c>
    </row>
    <row r="34" spans="1:3" ht="15.75" thickBot="1" x14ac:dyDescent="0.3">
      <c r="A34" s="34"/>
      <c r="C34" s="38"/>
    </row>
    <row r="35" spans="1:3" x14ac:dyDescent="0.25">
      <c r="A35" s="37" t="s">
        <v>95</v>
      </c>
      <c r="B35" s="36" t="s">
        <v>227</v>
      </c>
      <c r="C35" s="35">
        <f>Depreciação!I66</f>
        <v>164860.13270269349</v>
      </c>
    </row>
    <row r="36" spans="1:3" x14ac:dyDescent="0.25">
      <c r="A36" s="34"/>
      <c r="B36" t="s">
        <v>228</v>
      </c>
      <c r="C36" s="33">
        <f>Depreciação!I25</f>
        <v>44117.531139599996</v>
      </c>
    </row>
    <row r="37" spans="1:3" x14ac:dyDescent="0.25">
      <c r="A37" s="34"/>
      <c r="B37" t="s">
        <v>229</v>
      </c>
      <c r="C37" s="33">
        <f>Depreciação!I72</f>
        <v>0</v>
      </c>
    </row>
    <row r="38" spans="1:3" ht="15.75" thickBot="1" x14ac:dyDescent="0.3">
      <c r="A38" s="34"/>
      <c r="B38" t="s">
        <v>231</v>
      </c>
      <c r="C38" s="33">
        <v>0</v>
      </c>
    </row>
    <row r="39" spans="1:3" ht="15.75" thickBot="1" x14ac:dyDescent="0.3">
      <c r="A39" s="32"/>
      <c r="B39" s="217" t="s">
        <v>192</v>
      </c>
      <c r="C39" s="216">
        <f>SUM(C35:C38)</f>
        <v>208977.66384229349</v>
      </c>
    </row>
    <row r="41" spans="1:3" ht="15.75" x14ac:dyDescent="0.25">
      <c r="C41" s="318"/>
    </row>
    <row r="42" spans="1:3" x14ac:dyDescent="0.25">
      <c r="C42" s="153"/>
    </row>
  </sheetData>
  <sheetProtection algorithmName="SHA-512" hashValue="v19JMRgK5r9a2LjvCkhaUbksLS33jZlS5PAkcSRPdgniu67LGGpMpnxnMHPWvv8iPfxJzW77Bu6vTcjRLz4y8w==" saltValue="y7RbUaBS2DxpLHQ1QfxOiQ==" spinCount="100000" sheet="1" objects="1" scenarios="1"/>
  <mergeCells count="1">
    <mergeCell ref="A2:C2"/>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7"/>
  <sheetViews>
    <sheetView showGridLines="0" topLeftCell="A80" workbookViewId="0">
      <selection activeCell="D8" sqref="D8"/>
    </sheetView>
  </sheetViews>
  <sheetFormatPr defaultColWidth="8.85546875" defaultRowHeight="15" x14ac:dyDescent="0.25"/>
  <cols>
    <col min="2" max="2" width="57" bestFit="1" customWidth="1"/>
    <col min="3" max="3" width="22.7109375" customWidth="1"/>
    <col min="4" max="4" width="14.85546875" customWidth="1"/>
    <col min="9" max="9" width="11.7109375" bestFit="1" customWidth="1"/>
  </cols>
  <sheetData>
    <row r="1" spans="2:5" ht="15" customHeight="1" x14ac:dyDescent="0.25"/>
    <row r="2" spans="2:5" ht="15.75" thickBot="1" x14ac:dyDescent="0.3">
      <c r="E2" t="s">
        <v>233</v>
      </c>
    </row>
    <row r="3" spans="2:5" x14ac:dyDescent="0.25">
      <c r="B3" s="37" t="s">
        <v>234</v>
      </c>
      <c r="C3" s="35">
        <f>'Anexo 3_Custos Ambientais'!I34</f>
        <v>16086487.878450001</v>
      </c>
      <c r="E3" t="s">
        <v>235</v>
      </c>
    </row>
    <row r="4" spans="2:5" x14ac:dyDescent="0.25">
      <c r="B4" s="34" t="s">
        <v>236</v>
      </c>
      <c r="C4" s="33">
        <f>'Anexo 3_Custos Ambientais'!I40</f>
        <v>42779.040000000001</v>
      </c>
      <c r="E4" t="s">
        <v>235</v>
      </c>
    </row>
    <row r="5" spans="2:5" x14ac:dyDescent="0.25">
      <c r="B5" s="34" t="s">
        <v>61</v>
      </c>
      <c r="C5" s="33">
        <f>'Anexo 3_Custos Ambientais'!I45</f>
        <v>319200</v>
      </c>
      <c r="E5" t="s">
        <v>235</v>
      </c>
    </row>
    <row r="6" spans="2:5" x14ac:dyDescent="0.25">
      <c r="B6" s="34" t="s">
        <v>208</v>
      </c>
      <c r="C6" s="33">
        <f>'Anexo 3_Custos Ambientais'!I49</f>
        <v>468962.8</v>
      </c>
      <c r="E6" t="s">
        <v>235</v>
      </c>
    </row>
    <row r="7" spans="2:5" x14ac:dyDescent="0.25">
      <c r="B7" s="34" t="s">
        <v>237</v>
      </c>
      <c r="C7" s="33">
        <f>'Anexo 3_Custos Ambientais'!I60*(1+'custos unitários para atualizar'!$B$4)</f>
        <v>305974.51046495995</v>
      </c>
      <c r="E7" t="s">
        <v>238</v>
      </c>
    </row>
    <row r="8" spans="2:5" x14ac:dyDescent="0.25">
      <c r="B8" s="34" t="s">
        <v>239</v>
      </c>
      <c r="C8" s="33">
        <f>'Anexo 3_Custos Ambientais'!I71*(1+'custos unitários para atualizar'!$B$4)</f>
        <v>56728.464774839995</v>
      </c>
      <c r="E8" t="s">
        <v>238</v>
      </c>
    </row>
    <row r="9" spans="2:5" x14ac:dyDescent="0.25">
      <c r="B9" s="34" t="s">
        <v>240</v>
      </c>
      <c r="C9" s="33">
        <f>'Anexo 3_Custos Ambientais'!I79*(1+'custos unitários para atualizar'!$B$4)</f>
        <v>160780.40122499998</v>
      </c>
      <c r="E9" t="s">
        <v>238</v>
      </c>
    </row>
    <row r="10" spans="2:5" x14ac:dyDescent="0.25">
      <c r="B10" s="34" t="s">
        <v>241</v>
      </c>
      <c r="C10" s="33">
        <f>'Anexo 3_Custos Ambientais'!I86*(1+'custos unitários para atualizar'!$B$4)</f>
        <v>249485.90003999998</v>
      </c>
      <c r="E10" t="s">
        <v>238</v>
      </c>
    </row>
    <row r="11" spans="2:5" x14ac:dyDescent="0.25">
      <c r="B11" s="34" t="s">
        <v>242</v>
      </c>
      <c r="C11" s="33">
        <f>'Anexo 3_Custos Ambientais'!I99*(1+'custos unitários para atualizar'!$B$4)</f>
        <v>879777.41759999993</v>
      </c>
      <c r="E11" t="s">
        <v>238</v>
      </c>
    </row>
    <row r="12" spans="2:5" x14ac:dyDescent="0.25">
      <c r="B12" s="34" t="s">
        <v>243</v>
      </c>
      <c r="C12" s="33">
        <f>'Anexo 3_Custos Ambientais'!I114*(1+'custos unitários para atualizar'!$B$4)</f>
        <v>4892144.6475</v>
      </c>
      <c r="E12" t="s">
        <v>238</v>
      </c>
    </row>
    <row r="13" spans="2:5" x14ac:dyDescent="0.25">
      <c r="B13" s="34" t="s">
        <v>244</v>
      </c>
      <c r="C13" s="33">
        <f>SUM(C3:C12)</f>
        <v>23462321.060054798</v>
      </c>
    </row>
    <row r="14" spans="2:5" x14ac:dyDescent="0.25">
      <c r="B14" s="34" t="s">
        <v>245</v>
      </c>
      <c r="C14" s="33">
        <f>C13*10%</f>
        <v>2346232.10600548</v>
      </c>
    </row>
    <row r="15" spans="2:5" x14ac:dyDescent="0.25">
      <c r="B15" s="34" t="s">
        <v>246</v>
      </c>
      <c r="C15" s="33">
        <f>C13+C14</f>
        <v>25808553.166060276</v>
      </c>
    </row>
    <row r="16" spans="2:5" x14ac:dyDescent="0.25">
      <c r="B16" s="34" t="s">
        <v>247</v>
      </c>
      <c r="C16" s="33">
        <f>0.1396*C15</f>
        <v>3602874.0219820146</v>
      </c>
    </row>
    <row r="17" spans="1:11" ht="15.75" thickBot="1" x14ac:dyDescent="0.3">
      <c r="B17" s="185" t="s">
        <v>96</v>
      </c>
      <c r="C17" s="186">
        <f>C15+C16</f>
        <v>29411427.188042291</v>
      </c>
    </row>
    <row r="18" spans="1:11" x14ac:dyDescent="0.25">
      <c r="C18" s="4"/>
    </row>
    <row r="20" spans="1:11" ht="15.75" thickBot="1" x14ac:dyDescent="0.3">
      <c r="A20" s="971" t="s">
        <v>248</v>
      </c>
      <c r="B20" s="971"/>
      <c r="C20" s="971"/>
      <c r="D20" s="971"/>
      <c r="E20" s="971"/>
      <c r="F20" s="971"/>
      <c r="G20" s="971"/>
      <c r="H20" s="971"/>
      <c r="I20" s="971"/>
    </row>
    <row r="21" spans="1:11" ht="16.5" thickTop="1" thickBot="1" x14ac:dyDescent="0.3">
      <c r="A21" s="971"/>
      <c r="B21" s="971"/>
      <c r="C21" s="971"/>
      <c r="D21" s="971"/>
      <c r="E21" s="971"/>
      <c r="F21" s="971"/>
      <c r="G21" s="971"/>
      <c r="H21" s="971"/>
      <c r="I21" s="971"/>
    </row>
    <row r="22" spans="1:11" ht="15.75" thickTop="1" x14ac:dyDescent="0.25">
      <c r="A22" s="981" t="s">
        <v>249</v>
      </c>
      <c r="B22" s="981"/>
      <c r="C22" s="981"/>
      <c r="D22" s="981"/>
      <c r="E22" s="981"/>
      <c r="F22" s="980" t="s">
        <v>250</v>
      </c>
      <c r="G22" s="980" t="s">
        <v>251</v>
      </c>
      <c r="H22" s="979" t="s">
        <v>252</v>
      </c>
      <c r="I22" s="979"/>
    </row>
    <row r="23" spans="1:11" x14ac:dyDescent="0.25">
      <c r="A23" s="981"/>
      <c r="B23" s="981"/>
      <c r="C23" s="981"/>
      <c r="D23" s="981"/>
      <c r="E23" s="981"/>
      <c r="F23" s="980"/>
      <c r="G23" s="980"/>
      <c r="H23" s="807" t="s">
        <v>253</v>
      </c>
      <c r="I23" s="808" t="s">
        <v>192</v>
      </c>
    </row>
    <row r="24" spans="1:11" x14ac:dyDescent="0.25">
      <c r="A24" s="943" t="s">
        <v>234</v>
      </c>
      <c r="B24" s="944"/>
      <c r="C24" s="944"/>
      <c r="D24" s="944"/>
      <c r="E24" s="945"/>
      <c r="F24" s="809"/>
      <c r="G24" s="183"/>
      <c r="H24" s="810"/>
      <c r="I24" s="810"/>
    </row>
    <row r="25" spans="1:11" x14ac:dyDescent="0.25">
      <c r="A25" s="946" t="s">
        <v>254</v>
      </c>
      <c r="B25" s="947"/>
      <c r="C25" s="947"/>
      <c r="D25" s="947"/>
      <c r="E25" s="948"/>
      <c r="F25" s="809" t="s">
        <v>255</v>
      </c>
      <c r="G25" s="183">
        <v>5</v>
      </c>
      <c r="H25" s="810">
        <f>'custos unitários para atualizar'!B6</f>
        <v>22010.58</v>
      </c>
      <c r="I25" s="810">
        <f t="shared" ref="I25:I30" si="0">G25*H25</f>
        <v>110052.90000000001</v>
      </c>
    </row>
    <row r="26" spans="1:11" x14ac:dyDescent="0.25">
      <c r="A26" s="946" t="s">
        <v>256</v>
      </c>
      <c r="B26" s="947"/>
      <c r="C26" s="947"/>
      <c r="D26" s="947"/>
      <c r="E26" s="948"/>
      <c r="F26" s="809" t="s">
        <v>255</v>
      </c>
      <c r="G26" s="183">
        <v>12</v>
      </c>
      <c r="H26" s="810">
        <f>'custos unitários para atualizar'!B7</f>
        <v>16112.71</v>
      </c>
      <c r="I26" s="810">
        <f t="shared" si="0"/>
        <v>193352.52</v>
      </c>
    </row>
    <row r="27" spans="1:11" x14ac:dyDescent="0.25">
      <c r="A27" s="946" t="s">
        <v>257</v>
      </c>
      <c r="B27" s="947"/>
      <c r="C27" s="947"/>
      <c r="D27" s="947"/>
      <c r="E27" s="948"/>
      <c r="F27" s="809" t="s">
        <v>255</v>
      </c>
      <c r="G27" s="183">
        <v>84</v>
      </c>
      <c r="H27" s="810">
        <f>'custos unitários para atualizar'!B8</f>
        <v>12880.98</v>
      </c>
      <c r="I27" s="810">
        <f t="shared" si="0"/>
        <v>1082002.32</v>
      </c>
    </row>
    <row r="28" spans="1:11" x14ac:dyDescent="0.25">
      <c r="A28" s="946" t="s">
        <v>258</v>
      </c>
      <c r="B28" s="947"/>
      <c r="C28" s="947"/>
      <c r="D28" s="947"/>
      <c r="E28" s="948"/>
      <c r="F28" s="809" t="s">
        <v>255</v>
      </c>
      <c r="G28" s="183">
        <v>396</v>
      </c>
      <c r="H28" s="810">
        <f>'custos unitários para atualizar'!B9</f>
        <v>12002</v>
      </c>
      <c r="I28" s="810">
        <f t="shared" si="0"/>
        <v>4752792</v>
      </c>
    </row>
    <row r="29" spans="1:11" x14ac:dyDescent="0.25">
      <c r="A29" s="946" t="s">
        <v>259</v>
      </c>
      <c r="B29" s="947"/>
      <c r="C29" s="947"/>
      <c r="D29" s="947"/>
      <c r="E29" s="948"/>
      <c r="F29" s="809" t="s">
        <v>255</v>
      </c>
      <c r="G29" s="183">
        <v>384</v>
      </c>
      <c r="H29" s="810">
        <f>'custos unitários para atualizar'!B10</f>
        <v>4601.83</v>
      </c>
      <c r="I29" s="810">
        <f t="shared" si="0"/>
        <v>1767102.72</v>
      </c>
    </row>
    <row r="30" spans="1:11" x14ac:dyDescent="0.25">
      <c r="A30" s="946" t="s">
        <v>260</v>
      </c>
      <c r="B30" s="947"/>
      <c r="C30" s="947"/>
      <c r="D30" s="947"/>
      <c r="E30" s="948"/>
      <c r="F30" s="809" t="s">
        <v>255</v>
      </c>
      <c r="G30" s="183">
        <v>132</v>
      </c>
      <c r="H30" s="810">
        <f>'custos unitários para atualizar'!B13</f>
        <v>1894.53</v>
      </c>
      <c r="I30" s="810">
        <f t="shared" si="0"/>
        <v>250077.96</v>
      </c>
    </row>
    <row r="31" spans="1:11" x14ac:dyDescent="0.25">
      <c r="A31" s="963" t="s">
        <v>244</v>
      </c>
      <c r="B31" s="964"/>
      <c r="C31" s="964"/>
      <c r="D31" s="964"/>
      <c r="E31" s="965"/>
      <c r="F31" s="184"/>
      <c r="G31" s="184"/>
      <c r="H31" s="807"/>
      <c r="I31" s="814">
        <f>SUM(I25:I30)</f>
        <v>8155380.4199999999</v>
      </c>
      <c r="K31" s="814"/>
    </row>
    <row r="32" spans="1:11" x14ac:dyDescent="0.25">
      <c r="A32" s="946" t="s">
        <v>261</v>
      </c>
      <c r="B32" s="947"/>
      <c r="C32" s="947"/>
      <c r="D32" s="947"/>
      <c r="E32" s="948"/>
      <c r="F32" s="184"/>
      <c r="G32" s="184"/>
      <c r="H32" s="807"/>
      <c r="I32" s="810">
        <f>0.7725*I31</f>
        <v>6300031.37445</v>
      </c>
    </row>
    <row r="33" spans="1:9" x14ac:dyDescent="0.25">
      <c r="A33" s="946" t="s">
        <v>262</v>
      </c>
      <c r="B33" s="947"/>
      <c r="C33" s="947"/>
      <c r="D33" s="947"/>
      <c r="E33" s="948"/>
      <c r="F33" s="184"/>
      <c r="G33" s="184"/>
      <c r="H33" s="807"/>
      <c r="I33" s="810">
        <f>0.2*I31</f>
        <v>1631076.084</v>
      </c>
    </row>
    <row r="34" spans="1:9" ht="15.75" thickBot="1" x14ac:dyDescent="0.3">
      <c r="A34" s="952" t="s">
        <v>263</v>
      </c>
      <c r="B34" s="953"/>
      <c r="C34" s="953"/>
      <c r="D34" s="953"/>
      <c r="E34" s="953"/>
      <c r="F34" s="953"/>
      <c r="G34" s="954"/>
      <c r="H34" s="815"/>
      <c r="I34" s="814">
        <f>I31+I32+I33</f>
        <v>16086487.878450001</v>
      </c>
    </row>
    <row r="35" spans="1:9" ht="15.75" thickTop="1" x14ac:dyDescent="0.25">
      <c r="A35" s="966"/>
      <c r="B35" s="967"/>
      <c r="C35" s="967"/>
      <c r="D35" s="967"/>
      <c r="E35" s="968"/>
      <c r="F35" s="184"/>
      <c r="G35" s="184"/>
      <c r="H35" s="807"/>
      <c r="I35" s="808"/>
    </row>
    <row r="36" spans="1:9" x14ac:dyDescent="0.25">
      <c r="A36" s="943" t="s">
        <v>236</v>
      </c>
      <c r="B36" s="944"/>
      <c r="C36" s="944"/>
      <c r="D36" s="944"/>
      <c r="E36" s="945"/>
      <c r="F36" s="184"/>
      <c r="G36" s="184"/>
      <c r="H36" s="807"/>
      <c r="I36" s="808"/>
    </row>
    <row r="37" spans="1:9" x14ac:dyDescent="0.25">
      <c r="A37" s="946" t="s">
        <v>264</v>
      </c>
      <c r="B37" s="947"/>
      <c r="C37" s="947"/>
      <c r="D37" s="947"/>
      <c r="E37" s="948"/>
      <c r="F37" s="809" t="s">
        <v>265</v>
      </c>
      <c r="G37" s="696">
        <v>24</v>
      </c>
      <c r="H37" s="327">
        <f>'custos unitários para atualizar'!B22</f>
        <v>1132.46</v>
      </c>
      <c r="I37" s="810">
        <f>H37*G37</f>
        <v>27179.040000000001</v>
      </c>
    </row>
    <row r="38" spans="1:9" x14ac:dyDescent="0.25">
      <c r="A38" s="946" t="s">
        <v>57</v>
      </c>
      <c r="B38" s="947"/>
      <c r="C38" s="947"/>
      <c r="D38" s="947"/>
      <c r="E38" s="948"/>
      <c r="F38" s="809" t="s">
        <v>265</v>
      </c>
      <c r="G38" s="696">
        <v>24</v>
      </c>
      <c r="H38" s="327">
        <v>150</v>
      </c>
      <c r="I38" s="810">
        <f>H38*G38</f>
        <v>3600</v>
      </c>
    </row>
    <row r="39" spans="1:9" x14ac:dyDescent="0.25">
      <c r="A39" s="946" t="s">
        <v>60</v>
      </c>
      <c r="B39" s="947"/>
      <c r="C39" s="947"/>
      <c r="D39" s="947"/>
      <c r="E39" s="948"/>
      <c r="F39" s="809" t="s">
        <v>265</v>
      </c>
      <c r="G39" s="696">
        <v>120</v>
      </c>
      <c r="H39" s="327">
        <v>100</v>
      </c>
      <c r="I39" s="810">
        <f>H39*G39</f>
        <v>12000</v>
      </c>
    </row>
    <row r="40" spans="1:9" ht="15.75" thickBot="1" x14ac:dyDescent="0.3">
      <c r="A40" s="952" t="s">
        <v>266</v>
      </c>
      <c r="B40" s="953"/>
      <c r="C40" s="953"/>
      <c r="D40" s="953"/>
      <c r="E40" s="953"/>
      <c r="F40" s="953"/>
      <c r="G40" s="954"/>
      <c r="H40" s="815"/>
      <c r="I40" s="814">
        <f>SUM(I37:I39)</f>
        <v>42779.040000000001</v>
      </c>
    </row>
    <row r="41" spans="1:9" ht="15.75" thickTop="1" x14ac:dyDescent="0.25">
      <c r="A41" s="946"/>
      <c r="B41" s="947"/>
      <c r="C41" s="947"/>
      <c r="D41" s="947"/>
      <c r="E41" s="948"/>
      <c r="F41" s="184"/>
      <c r="G41" s="184"/>
      <c r="H41" s="807"/>
      <c r="I41" s="808"/>
    </row>
    <row r="42" spans="1:9" x14ac:dyDescent="0.25">
      <c r="A42" s="943" t="s">
        <v>61</v>
      </c>
      <c r="B42" s="944"/>
      <c r="C42" s="944"/>
      <c r="D42" s="944"/>
      <c r="E42" s="945"/>
      <c r="F42" s="184"/>
      <c r="G42" s="184"/>
      <c r="H42" s="807"/>
      <c r="I42" s="808"/>
    </row>
    <row r="43" spans="1:9" x14ac:dyDescent="0.25">
      <c r="A43" s="946" t="s">
        <v>267</v>
      </c>
      <c r="B43" s="947"/>
      <c r="C43" s="947"/>
      <c r="D43" s="947"/>
      <c r="E43" s="948"/>
      <c r="F43" s="809" t="s">
        <v>265</v>
      </c>
      <c r="G43" s="816">
        <f>(G38+G37)*5</f>
        <v>240</v>
      </c>
      <c r="H43" s="817">
        <f>'custos unitários para atualizar'!B25</f>
        <v>380</v>
      </c>
      <c r="I43" s="818">
        <f>ROUND(H43*G43,2)</f>
        <v>91200</v>
      </c>
    </row>
    <row r="44" spans="1:9" x14ac:dyDescent="0.25">
      <c r="A44" s="946" t="s">
        <v>268</v>
      </c>
      <c r="B44" s="947"/>
      <c r="C44" s="947"/>
      <c r="D44" s="947"/>
      <c r="E44" s="948"/>
      <c r="F44" s="809" t="s">
        <v>265</v>
      </c>
      <c r="G44" s="816">
        <f>G39*5</f>
        <v>600</v>
      </c>
      <c r="H44" s="817">
        <f>'custos unitários para atualizar'!B25</f>
        <v>380</v>
      </c>
      <c r="I44" s="818">
        <f>ROUND(H44*G44,2)</f>
        <v>228000</v>
      </c>
    </row>
    <row r="45" spans="1:9" ht="15.75" thickBot="1" x14ac:dyDescent="0.3">
      <c r="A45" s="952" t="s">
        <v>266</v>
      </c>
      <c r="B45" s="953"/>
      <c r="C45" s="953"/>
      <c r="D45" s="953"/>
      <c r="E45" s="953"/>
      <c r="F45" s="953"/>
      <c r="G45" s="954"/>
      <c r="H45" s="815"/>
      <c r="I45" s="814">
        <f>SUM(I42:I44)</f>
        <v>319200</v>
      </c>
    </row>
    <row r="46" spans="1:9" ht="15.75" thickTop="1" x14ac:dyDescent="0.25">
      <c r="A46" s="966"/>
      <c r="B46" s="967"/>
      <c r="C46" s="967"/>
      <c r="D46" s="967"/>
      <c r="E46" s="968"/>
      <c r="F46" s="184"/>
      <c r="G46" s="184"/>
      <c r="H46" s="807"/>
      <c r="I46" s="808"/>
    </row>
    <row r="47" spans="1:9" x14ac:dyDescent="0.25">
      <c r="A47" s="969" t="s">
        <v>269</v>
      </c>
      <c r="B47" s="969"/>
      <c r="C47" s="969"/>
      <c r="D47" s="969"/>
      <c r="E47" s="969"/>
      <c r="F47" s="183"/>
      <c r="G47" s="182"/>
      <c r="H47" s="819"/>
      <c r="I47" s="820"/>
    </row>
    <row r="48" spans="1:9" x14ac:dyDescent="0.25">
      <c r="A48" s="969" t="s">
        <v>270</v>
      </c>
      <c r="B48" s="969"/>
      <c r="C48" s="969"/>
      <c r="D48" s="969"/>
      <c r="E48" s="969"/>
      <c r="F48" s="183" t="s">
        <v>255</v>
      </c>
      <c r="G48" s="182">
        <v>60</v>
      </c>
      <c r="H48" s="821">
        <f>'custos unitários para atualizar'!B27</f>
        <v>7816.046699999999</v>
      </c>
      <c r="I48" s="822">
        <f>ROUND(G48*H48,2)</f>
        <v>468962.8</v>
      </c>
    </row>
    <row r="49" spans="1:9" ht="15.75" thickBot="1" x14ac:dyDescent="0.3">
      <c r="A49" s="955" t="s">
        <v>271</v>
      </c>
      <c r="B49" s="955"/>
      <c r="C49" s="955"/>
      <c r="D49" s="955"/>
      <c r="E49" s="955"/>
      <c r="F49" s="955"/>
      <c r="G49" s="955"/>
      <c r="H49" s="815"/>
      <c r="I49" s="823">
        <f>SUM(I48:I48)</f>
        <v>468962.8</v>
      </c>
    </row>
    <row r="50" spans="1:9" ht="16.5" thickTop="1" thickBot="1" x14ac:dyDescent="0.3">
      <c r="A50" s="970"/>
      <c r="B50" s="970"/>
      <c r="C50" s="970"/>
      <c r="D50" s="970"/>
      <c r="E50" s="970"/>
      <c r="F50" s="970"/>
      <c r="G50" s="970"/>
      <c r="H50" s="970"/>
      <c r="I50" s="970"/>
    </row>
    <row r="51" spans="1:9" ht="15.75" thickTop="1" x14ac:dyDescent="0.25">
      <c r="A51" s="958" t="s">
        <v>272</v>
      </c>
      <c r="B51" s="958"/>
      <c r="C51" s="958"/>
      <c r="D51" s="958"/>
      <c r="E51" s="958"/>
      <c r="F51" s="958"/>
      <c r="G51" s="958"/>
      <c r="H51" s="958"/>
      <c r="I51" s="958"/>
    </row>
    <row r="52" spans="1:9" x14ac:dyDescent="0.25">
      <c r="A52" s="811" t="s">
        <v>273</v>
      </c>
      <c r="B52" s="812"/>
      <c r="C52" s="812"/>
      <c r="D52" s="824"/>
      <c r="E52" s="813"/>
      <c r="F52" s="809" t="s">
        <v>255</v>
      </c>
      <c r="G52" s="825">
        <v>48</v>
      </c>
      <c r="H52" s="826">
        <v>2400</v>
      </c>
      <c r="I52" s="821">
        <f t="shared" ref="I52:I58" si="1">ROUND(G52*H52,2)</f>
        <v>115200</v>
      </c>
    </row>
    <row r="53" spans="1:9" x14ac:dyDescent="0.25">
      <c r="A53" s="811" t="s">
        <v>274</v>
      </c>
      <c r="B53" s="812"/>
      <c r="C53" s="812"/>
      <c r="D53" s="812"/>
      <c r="E53" s="813"/>
      <c r="F53" s="809" t="s">
        <v>255</v>
      </c>
      <c r="G53" s="825">
        <v>48</v>
      </c>
      <c r="H53" s="827">
        <v>315</v>
      </c>
      <c r="I53" s="821">
        <f t="shared" si="1"/>
        <v>15120</v>
      </c>
    </row>
    <row r="54" spans="1:9" x14ac:dyDescent="0.25">
      <c r="A54" s="811" t="s">
        <v>275</v>
      </c>
      <c r="B54" s="812"/>
      <c r="C54" s="812"/>
      <c r="D54" s="812"/>
      <c r="E54" s="813"/>
      <c r="F54" s="809" t="s">
        <v>255</v>
      </c>
      <c r="G54" s="825">
        <v>48</v>
      </c>
      <c r="H54" s="827">
        <v>147</v>
      </c>
      <c r="I54" s="821">
        <f t="shared" si="1"/>
        <v>7056</v>
      </c>
    </row>
    <row r="55" spans="1:9" x14ac:dyDescent="0.25">
      <c r="A55" s="811" t="s">
        <v>276</v>
      </c>
      <c r="B55" s="812"/>
      <c r="C55" s="812"/>
      <c r="D55" s="812"/>
      <c r="E55" s="813"/>
      <c r="F55" s="809" t="s">
        <v>255</v>
      </c>
      <c r="G55" s="825">
        <v>48</v>
      </c>
      <c r="H55" s="827">
        <v>225.52</v>
      </c>
      <c r="I55" s="821">
        <f t="shared" si="1"/>
        <v>10824.96</v>
      </c>
    </row>
    <row r="56" spans="1:9" x14ac:dyDescent="0.25">
      <c r="A56" s="828" t="s">
        <v>277</v>
      </c>
      <c r="B56" s="829"/>
      <c r="C56" s="829"/>
      <c r="D56" s="829"/>
      <c r="E56" s="830"/>
      <c r="F56" s="809" t="s">
        <v>255</v>
      </c>
      <c r="G56" s="825">
        <v>48</v>
      </c>
      <c r="H56" s="831">
        <v>100</v>
      </c>
      <c r="I56" s="821">
        <f t="shared" si="1"/>
        <v>4800</v>
      </c>
    </row>
    <row r="57" spans="1:9" x14ac:dyDescent="0.25">
      <c r="A57" s="828" t="s">
        <v>278</v>
      </c>
      <c r="B57" s="829"/>
      <c r="C57" s="829"/>
      <c r="D57" s="829"/>
      <c r="E57" s="830"/>
      <c r="F57" s="809" t="s">
        <v>255</v>
      </c>
      <c r="G57" s="825">
        <v>48</v>
      </c>
      <c r="H57" s="831">
        <v>99.9</v>
      </c>
      <c r="I57" s="821">
        <f t="shared" si="1"/>
        <v>4795.2</v>
      </c>
    </row>
    <row r="58" spans="1:9" x14ac:dyDescent="0.25">
      <c r="A58" s="828" t="s">
        <v>279</v>
      </c>
      <c r="B58" s="829"/>
      <c r="C58" s="829"/>
      <c r="D58" s="829"/>
      <c r="E58" s="830"/>
      <c r="F58" s="809" t="s">
        <v>255</v>
      </c>
      <c r="G58" s="825">
        <v>48</v>
      </c>
      <c r="H58" s="831">
        <v>260</v>
      </c>
      <c r="I58" s="821">
        <f t="shared" si="1"/>
        <v>12480</v>
      </c>
    </row>
    <row r="59" spans="1:9" x14ac:dyDescent="0.25">
      <c r="A59" s="811"/>
      <c r="B59" s="812"/>
      <c r="C59" s="812"/>
      <c r="D59" s="812"/>
      <c r="E59" s="813"/>
      <c r="F59" s="832"/>
      <c r="G59" s="833"/>
      <c r="H59" s="821"/>
      <c r="I59" s="821"/>
    </row>
    <row r="60" spans="1:9" ht="15.75" thickBot="1" x14ac:dyDescent="0.3">
      <c r="A60" s="955" t="s">
        <v>280</v>
      </c>
      <c r="B60" s="955"/>
      <c r="C60" s="955"/>
      <c r="D60" s="955"/>
      <c r="E60" s="955"/>
      <c r="F60" s="955"/>
      <c r="G60" s="955"/>
      <c r="H60" s="815"/>
      <c r="I60" s="823">
        <f>SUM(I52:I59)</f>
        <v>170276.16</v>
      </c>
    </row>
    <row r="61" spans="1:9" ht="16.5" thickTop="1" thickBot="1" x14ac:dyDescent="0.3">
      <c r="A61" s="939" t="s">
        <v>281</v>
      </c>
      <c r="B61" s="940"/>
      <c r="C61" s="940"/>
      <c r="D61" s="940"/>
      <c r="E61" s="940"/>
      <c r="F61" s="940"/>
      <c r="G61" s="940"/>
      <c r="H61" s="940"/>
      <c r="I61" s="940"/>
    </row>
    <row r="62" spans="1:9" x14ac:dyDescent="0.25">
      <c r="A62" s="171" t="s">
        <v>282</v>
      </c>
      <c r="B62" s="171"/>
      <c r="C62" s="171"/>
      <c r="D62" s="171"/>
      <c r="E62" s="171"/>
      <c r="F62" s="181" t="s">
        <v>283</v>
      </c>
      <c r="G62" s="697">
        <v>1</v>
      </c>
      <c r="H62" s="827">
        <v>2797.08</v>
      </c>
      <c r="I62" s="168">
        <f t="shared" ref="I62:I70" si="2">ROUND(G62*H62,2)</f>
        <v>2797.08</v>
      </c>
    </row>
    <row r="63" spans="1:9" x14ac:dyDescent="0.25">
      <c r="A63" s="171" t="s">
        <v>284</v>
      </c>
      <c r="B63" s="171"/>
      <c r="C63" s="171"/>
      <c r="D63" s="171"/>
      <c r="E63" s="171"/>
      <c r="F63" s="809" t="s">
        <v>283</v>
      </c>
      <c r="G63" s="825">
        <v>1</v>
      </c>
      <c r="H63" s="827">
        <v>3142.85</v>
      </c>
      <c r="I63" s="821">
        <f t="shared" si="2"/>
        <v>3142.85</v>
      </c>
    </row>
    <row r="64" spans="1:9" x14ac:dyDescent="0.25">
      <c r="A64" s="171" t="s">
        <v>285</v>
      </c>
      <c r="B64" s="171"/>
      <c r="C64" s="171"/>
      <c r="D64" s="171"/>
      <c r="E64" s="171"/>
      <c r="F64" s="809" t="s">
        <v>283</v>
      </c>
      <c r="G64" s="825">
        <v>1</v>
      </c>
      <c r="H64" s="827">
        <v>2325.71</v>
      </c>
      <c r="I64" s="821">
        <f t="shared" si="2"/>
        <v>2325.71</v>
      </c>
    </row>
    <row r="65" spans="1:9" x14ac:dyDescent="0.25">
      <c r="A65" s="171" t="s">
        <v>286</v>
      </c>
      <c r="B65" s="171"/>
      <c r="C65" s="171"/>
      <c r="D65" s="171"/>
      <c r="E65" s="171"/>
      <c r="F65" s="809" t="s">
        <v>287</v>
      </c>
      <c r="G65" s="825">
        <v>100</v>
      </c>
      <c r="H65" s="827">
        <v>145</v>
      </c>
      <c r="I65" s="821">
        <f t="shared" si="2"/>
        <v>14500</v>
      </c>
    </row>
    <row r="66" spans="1:9" x14ac:dyDescent="0.25">
      <c r="A66" s="171" t="s">
        <v>288</v>
      </c>
      <c r="B66" s="171"/>
      <c r="C66" s="171"/>
      <c r="D66" s="171"/>
      <c r="E66" s="171"/>
      <c r="F66" s="809" t="s">
        <v>283</v>
      </c>
      <c r="G66" s="825">
        <v>1</v>
      </c>
      <c r="H66" s="827">
        <v>1500</v>
      </c>
      <c r="I66" s="821">
        <f t="shared" si="2"/>
        <v>1500</v>
      </c>
    </row>
    <row r="67" spans="1:9" x14ac:dyDescent="0.25">
      <c r="A67" s="171" t="s">
        <v>289</v>
      </c>
      <c r="B67" s="171"/>
      <c r="C67" s="171"/>
      <c r="D67" s="171"/>
      <c r="E67" s="171"/>
      <c r="F67" s="809" t="s">
        <v>283</v>
      </c>
      <c r="G67" s="825">
        <v>1</v>
      </c>
      <c r="H67" s="827">
        <v>3500</v>
      </c>
      <c r="I67" s="821">
        <f t="shared" si="2"/>
        <v>3500</v>
      </c>
    </row>
    <row r="68" spans="1:9" x14ac:dyDescent="0.25">
      <c r="A68" s="171" t="s">
        <v>290</v>
      </c>
      <c r="B68" s="171"/>
      <c r="C68" s="171"/>
      <c r="D68" s="171"/>
      <c r="E68" s="171"/>
      <c r="F68" s="809" t="s">
        <v>283</v>
      </c>
      <c r="G68" s="825">
        <v>200</v>
      </c>
      <c r="H68" s="827">
        <v>9.2200000000000006</v>
      </c>
      <c r="I68" s="821">
        <f t="shared" si="2"/>
        <v>1844</v>
      </c>
    </row>
    <row r="69" spans="1:9" x14ac:dyDescent="0.25">
      <c r="A69" s="171" t="s">
        <v>291</v>
      </c>
      <c r="B69" s="171"/>
      <c r="C69" s="171"/>
      <c r="D69" s="171"/>
      <c r="E69" s="171"/>
      <c r="F69" s="834" t="s">
        <v>287</v>
      </c>
      <c r="G69" s="835">
        <v>2500</v>
      </c>
      <c r="H69" s="827">
        <v>0.74</v>
      </c>
      <c r="I69" s="836">
        <f t="shared" si="2"/>
        <v>1850</v>
      </c>
    </row>
    <row r="70" spans="1:9" x14ac:dyDescent="0.25">
      <c r="A70" s="171" t="s">
        <v>292</v>
      </c>
      <c r="B70" s="171"/>
      <c r="C70" s="171"/>
      <c r="D70" s="171"/>
      <c r="E70" s="171"/>
      <c r="F70" s="834" t="s">
        <v>283</v>
      </c>
      <c r="G70" s="835">
        <v>2</v>
      </c>
      <c r="H70" s="827">
        <v>55</v>
      </c>
      <c r="I70" s="836">
        <f t="shared" si="2"/>
        <v>110</v>
      </c>
    </row>
    <row r="71" spans="1:9" ht="15.75" thickBot="1" x14ac:dyDescent="0.3">
      <c r="A71" s="959" t="s">
        <v>293</v>
      </c>
      <c r="B71" s="960"/>
      <c r="C71" s="960"/>
      <c r="D71" s="960"/>
      <c r="E71" s="960"/>
      <c r="F71" s="960"/>
      <c r="G71" s="960"/>
      <c r="H71" s="180"/>
      <c r="I71" s="179">
        <f>SUM(I62:I70)</f>
        <v>31569.64</v>
      </c>
    </row>
    <row r="72" spans="1:9" ht="15.75" thickTop="1" x14ac:dyDescent="0.25">
      <c r="A72" s="958" t="s">
        <v>294</v>
      </c>
      <c r="B72" s="958"/>
      <c r="C72" s="958"/>
      <c r="D72" s="958"/>
      <c r="E72" s="958"/>
      <c r="F72" s="958"/>
      <c r="G72" s="958"/>
      <c r="H72" s="958"/>
      <c r="I72" s="958"/>
    </row>
    <row r="73" spans="1:9" x14ac:dyDescent="0.25">
      <c r="A73" s="811" t="s">
        <v>295</v>
      </c>
      <c r="B73" s="812"/>
      <c r="C73" s="812"/>
      <c r="D73" s="812"/>
      <c r="E73" s="813"/>
      <c r="F73" s="832" t="s">
        <v>255</v>
      </c>
      <c r="G73" s="837">
        <v>881</v>
      </c>
      <c r="H73" s="827">
        <v>69</v>
      </c>
      <c r="I73" s="821">
        <f>ROUND(G73*H73,2)</f>
        <v>60789</v>
      </c>
    </row>
    <row r="74" spans="1:9" x14ac:dyDescent="0.25">
      <c r="A74" s="811" t="s">
        <v>296</v>
      </c>
      <c r="B74" s="812"/>
      <c r="C74" s="812"/>
      <c r="D74" s="812"/>
      <c r="E74" s="813"/>
      <c r="F74" s="832" t="s">
        <v>255</v>
      </c>
      <c r="G74" s="837">
        <v>48</v>
      </c>
      <c r="H74" s="827">
        <v>64</v>
      </c>
      <c r="I74" s="821">
        <f>ROUND(G74*H74,2)</f>
        <v>3072</v>
      </c>
    </row>
    <row r="75" spans="1:9" x14ac:dyDescent="0.25">
      <c r="A75" s="811" t="s">
        <v>297</v>
      </c>
      <c r="B75" s="812"/>
      <c r="C75" s="812"/>
      <c r="D75" s="812"/>
      <c r="E75" s="813"/>
      <c r="F75" s="832" t="s">
        <v>255</v>
      </c>
      <c r="G75" s="837">
        <v>297</v>
      </c>
      <c r="H75" s="827">
        <v>23</v>
      </c>
      <c r="I75" s="821">
        <f>ROUND(G75*H75,2)</f>
        <v>6831</v>
      </c>
    </row>
    <row r="76" spans="1:9" x14ac:dyDescent="0.25">
      <c r="A76" s="811" t="s">
        <v>298</v>
      </c>
      <c r="B76" s="812"/>
      <c r="C76" s="812"/>
      <c r="D76" s="812"/>
      <c r="E76" s="813"/>
      <c r="F76" s="838" t="s">
        <v>255</v>
      </c>
      <c r="G76" s="837">
        <v>297</v>
      </c>
      <c r="H76" s="827">
        <v>39</v>
      </c>
      <c r="I76" s="821">
        <f>ROUND(G76*H76,2)</f>
        <v>11583</v>
      </c>
    </row>
    <row r="77" spans="1:9" x14ac:dyDescent="0.25">
      <c r="A77" s="811" t="s">
        <v>299</v>
      </c>
      <c r="B77" s="812"/>
      <c r="C77" s="812"/>
      <c r="D77" s="812"/>
      <c r="E77" s="813"/>
      <c r="F77" s="838" t="s">
        <v>255</v>
      </c>
      <c r="G77" s="837">
        <v>48</v>
      </c>
      <c r="H77" s="827">
        <v>150</v>
      </c>
      <c r="I77" s="821">
        <f>ROUND(G77*H77,2)</f>
        <v>7200</v>
      </c>
    </row>
    <row r="78" spans="1:9" x14ac:dyDescent="0.25">
      <c r="A78" s="811"/>
      <c r="B78" s="812"/>
      <c r="C78" s="812"/>
      <c r="D78" s="812"/>
      <c r="E78" s="813"/>
      <c r="F78" s="832"/>
      <c r="G78" s="839"/>
      <c r="H78" s="840"/>
      <c r="I78" s="821"/>
    </row>
    <row r="79" spans="1:9" ht="15.75" thickBot="1" x14ac:dyDescent="0.3">
      <c r="A79" s="955" t="s">
        <v>300</v>
      </c>
      <c r="B79" s="955"/>
      <c r="C79" s="955"/>
      <c r="D79" s="955"/>
      <c r="E79" s="955"/>
      <c r="F79" s="955"/>
      <c r="G79" s="955"/>
      <c r="H79" s="815"/>
      <c r="I79" s="823">
        <f>SUM(I73:I78)</f>
        <v>89475</v>
      </c>
    </row>
    <row r="80" spans="1:9" ht="15.75" thickTop="1" x14ac:dyDescent="0.25">
      <c r="A80" s="958" t="s">
        <v>301</v>
      </c>
      <c r="B80" s="958"/>
      <c r="C80" s="958"/>
      <c r="D80" s="958"/>
      <c r="E80" s="958"/>
      <c r="F80" s="958"/>
      <c r="G80" s="958"/>
      <c r="H80" s="958"/>
      <c r="I80" s="958"/>
    </row>
    <row r="81" spans="1:9" x14ac:dyDescent="0.25">
      <c r="A81" s="811" t="s">
        <v>302</v>
      </c>
      <c r="B81" s="812"/>
      <c r="C81" s="812"/>
      <c r="D81" s="812"/>
      <c r="E81" s="813"/>
      <c r="F81" s="838" t="s">
        <v>303</v>
      </c>
      <c r="G81" s="837">
        <v>12</v>
      </c>
      <c r="H81" s="827">
        <v>50</v>
      </c>
      <c r="I81" s="821">
        <f>ROUND(G81*H81,2)</f>
        <v>600</v>
      </c>
    </row>
    <row r="82" spans="1:9" x14ac:dyDescent="0.25">
      <c r="A82" s="811" t="s">
        <v>304</v>
      </c>
      <c r="B82" s="812"/>
      <c r="C82" s="812"/>
      <c r="D82" s="812"/>
      <c r="E82" s="813"/>
      <c r="F82" s="838" t="s">
        <v>303</v>
      </c>
      <c r="G82" s="837">
        <v>84</v>
      </c>
      <c r="H82" s="827">
        <v>30</v>
      </c>
      <c r="I82" s="821">
        <f>ROUND(G82*H82,2)</f>
        <v>2520</v>
      </c>
    </row>
    <row r="83" spans="1:9" ht="21" customHeight="1" x14ac:dyDescent="0.25">
      <c r="A83" s="978" t="s">
        <v>305</v>
      </c>
      <c r="B83" s="956"/>
      <c r="C83" s="956"/>
      <c r="D83" s="956"/>
      <c r="E83" s="957"/>
      <c r="F83" s="838" t="s">
        <v>303</v>
      </c>
      <c r="G83" s="837">
        <v>12000</v>
      </c>
      <c r="H83" s="827">
        <v>1.31</v>
      </c>
      <c r="I83" s="821">
        <f>ROUND(G83*H83,2)</f>
        <v>15720</v>
      </c>
    </row>
    <row r="84" spans="1:9" x14ac:dyDescent="0.25">
      <c r="A84" s="972" t="s">
        <v>306</v>
      </c>
      <c r="B84" s="962"/>
      <c r="C84" s="962"/>
      <c r="D84" s="962"/>
      <c r="E84" s="973"/>
      <c r="F84" s="842" t="s">
        <v>303</v>
      </c>
      <c r="G84" s="835">
        <v>72</v>
      </c>
      <c r="H84" s="831">
        <v>250</v>
      </c>
      <c r="I84" s="836">
        <f>ROUND(G84*H84,2)</f>
        <v>18000</v>
      </c>
    </row>
    <row r="85" spans="1:9" x14ac:dyDescent="0.25">
      <c r="A85" s="974" t="s">
        <v>307</v>
      </c>
      <c r="B85" s="975"/>
      <c r="C85" s="975"/>
      <c r="D85" s="975"/>
      <c r="E85" s="976"/>
      <c r="F85" s="637" t="s">
        <v>303</v>
      </c>
      <c r="G85" s="698">
        <v>3400</v>
      </c>
      <c r="H85" s="699">
        <v>30</v>
      </c>
      <c r="I85" s="638">
        <f>ROUND(G85*H85,2)</f>
        <v>102000</v>
      </c>
    </row>
    <row r="86" spans="1:9" ht="15.75" thickBot="1" x14ac:dyDescent="0.3">
      <c r="A86" s="977" t="s">
        <v>308</v>
      </c>
      <c r="B86" s="955"/>
      <c r="C86" s="955"/>
      <c r="D86" s="955"/>
      <c r="E86" s="955"/>
      <c r="F86" s="955"/>
      <c r="G86" s="955"/>
      <c r="H86" s="815"/>
      <c r="I86" s="823">
        <f>SUM(I81:I85)</f>
        <v>138840</v>
      </c>
    </row>
    <row r="87" spans="1:9" ht="16.5" thickTop="1" thickBot="1" x14ac:dyDescent="0.3">
      <c r="A87" s="939" t="s">
        <v>309</v>
      </c>
      <c r="B87" s="940"/>
      <c r="C87" s="940"/>
      <c r="D87" s="940"/>
      <c r="E87" s="940"/>
      <c r="F87" s="940"/>
      <c r="G87" s="940"/>
      <c r="H87" s="940"/>
      <c r="I87" s="940"/>
    </row>
    <row r="88" spans="1:9" x14ac:dyDescent="0.25">
      <c r="A88" s="178" t="s">
        <v>310</v>
      </c>
      <c r="B88" s="177"/>
      <c r="C88" s="177"/>
      <c r="D88" s="177"/>
      <c r="E88" s="177"/>
      <c r="F88" s="176"/>
      <c r="G88" s="175"/>
      <c r="H88" s="174"/>
      <c r="I88" s="173"/>
    </row>
    <row r="89" spans="1:9" x14ac:dyDescent="0.25">
      <c r="A89" s="941" t="s">
        <v>311</v>
      </c>
      <c r="B89" s="942"/>
      <c r="C89" s="942"/>
      <c r="D89" s="942"/>
      <c r="E89" s="942"/>
      <c r="F89" s="169" t="s">
        <v>303</v>
      </c>
      <c r="G89" s="700">
        <v>480</v>
      </c>
      <c r="H89" s="701">
        <v>45</v>
      </c>
      <c r="I89" s="168">
        <f t="shared" ref="I89:I98" si="3">ROUND(G89*H89,2)</f>
        <v>21600</v>
      </c>
    </row>
    <row r="90" spans="1:9" x14ac:dyDescent="0.25">
      <c r="A90" s="941" t="s">
        <v>312</v>
      </c>
      <c r="B90" s="942"/>
      <c r="C90" s="942"/>
      <c r="D90" s="942"/>
      <c r="E90" s="942"/>
      <c r="F90" s="169" t="s">
        <v>303</v>
      </c>
      <c r="G90" s="700">
        <v>480</v>
      </c>
      <c r="H90" s="701">
        <v>45</v>
      </c>
      <c r="I90" s="168">
        <f t="shared" si="3"/>
        <v>21600</v>
      </c>
    </row>
    <row r="91" spans="1:9" x14ac:dyDescent="0.25">
      <c r="A91" s="941" t="s">
        <v>313</v>
      </c>
      <c r="B91" s="942"/>
      <c r="C91" s="942"/>
      <c r="D91" s="942"/>
      <c r="E91" s="942"/>
      <c r="F91" s="169" t="s">
        <v>303</v>
      </c>
      <c r="G91" s="700">
        <v>480</v>
      </c>
      <c r="H91" s="701">
        <v>45</v>
      </c>
      <c r="I91" s="168">
        <f t="shared" si="3"/>
        <v>21600</v>
      </c>
    </row>
    <row r="92" spans="1:9" x14ac:dyDescent="0.25">
      <c r="A92" s="941" t="s">
        <v>314</v>
      </c>
      <c r="B92" s="942"/>
      <c r="C92" s="942"/>
      <c r="D92" s="942"/>
      <c r="E92" s="942"/>
      <c r="F92" s="169" t="s">
        <v>303</v>
      </c>
      <c r="G92" s="700">
        <v>480</v>
      </c>
      <c r="H92" s="701">
        <v>45</v>
      </c>
      <c r="I92" s="168">
        <f t="shared" si="3"/>
        <v>21600</v>
      </c>
    </row>
    <row r="93" spans="1:9" x14ac:dyDescent="0.25">
      <c r="A93" s="941" t="s">
        <v>315</v>
      </c>
      <c r="B93" s="942"/>
      <c r="C93" s="942"/>
      <c r="D93" s="942"/>
      <c r="E93" s="942"/>
      <c r="F93" s="169" t="s">
        <v>303</v>
      </c>
      <c r="G93" s="700">
        <v>480</v>
      </c>
      <c r="H93" s="701">
        <v>140</v>
      </c>
      <c r="I93" s="168">
        <f t="shared" si="3"/>
        <v>67200</v>
      </c>
    </row>
    <row r="94" spans="1:9" x14ac:dyDescent="0.25">
      <c r="A94" s="941" t="s">
        <v>316</v>
      </c>
      <c r="B94" s="942"/>
      <c r="C94" s="942"/>
      <c r="D94" s="942"/>
      <c r="E94" s="942"/>
      <c r="F94" s="169" t="s">
        <v>303</v>
      </c>
      <c r="G94" s="700">
        <v>480</v>
      </c>
      <c r="H94" s="701">
        <v>140</v>
      </c>
      <c r="I94" s="168">
        <f t="shared" si="3"/>
        <v>67200</v>
      </c>
    </row>
    <row r="95" spans="1:9" x14ac:dyDescent="0.25">
      <c r="A95" s="941" t="s">
        <v>317</v>
      </c>
      <c r="B95" s="942"/>
      <c r="C95" s="942"/>
      <c r="D95" s="942"/>
      <c r="E95" s="942"/>
      <c r="F95" s="169" t="s">
        <v>303</v>
      </c>
      <c r="G95" s="700">
        <v>480</v>
      </c>
      <c r="H95" s="701">
        <v>140</v>
      </c>
      <c r="I95" s="168">
        <f t="shared" si="3"/>
        <v>67200</v>
      </c>
    </row>
    <row r="96" spans="1:9" x14ac:dyDescent="0.25">
      <c r="A96" s="941" t="s">
        <v>318</v>
      </c>
      <c r="B96" s="942"/>
      <c r="C96" s="942"/>
      <c r="D96" s="942"/>
      <c r="E96" s="942"/>
      <c r="F96" s="169" t="s">
        <v>303</v>
      </c>
      <c r="G96" s="700">
        <v>480</v>
      </c>
      <c r="H96" s="701">
        <v>140</v>
      </c>
      <c r="I96" s="168">
        <f t="shared" si="3"/>
        <v>67200</v>
      </c>
    </row>
    <row r="97" spans="1:9" x14ac:dyDescent="0.25">
      <c r="A97" s="941" t="s">
        <v>319</v>
      </c>
      <c r="B97" s="942"/>
      <c r="C97" s="942"/>
      <c r="D97" s="942"/>
      <c r="E97" s="942"/>
      <c r="F97" s="169" t="s">
        <v>303</v>
      </c>
      <c r="G97" s="700">
        <v>480</v>
      </c>
      <c r="H97" s="701">
        <v>140</v>
      </c>
      <c r="I97" s="168">
        <f t="shared" si="3"/>
        <v>67200</v>
      </c>
    </row>
    <row r="98" spans="1:9" x14ac:dyDescent="0.25">
      <c r="A98" s="941" t="s">
        <v>320</v>
      </c>
      <c r="B98" s="942"/>
      <c r="C98" s="942"/>
      <c r="D98" s="942"/>
      <c r="E98" s="942"/>
      <c r="F98" s="169" t="s">
        <v>303</v>
      </c>
      <c r="G98" s="700">
        <v>480</v>
      </c>
      <c r="H98" s="701">
        <v>140</v>
      </c>
      <c r="I98" s="168">
        <f t="shared" si="3"/>
        <v>67200</v>
      </c>
    </row>
    <row r="99" spans="1:9" ht="15.75" thickBot="1" x14ac:dyDescent="0.3">
      <c r="A99" s="949" t="s">
        <v>321</v>
      </c>
      <c r="B99" s="950"/>
      <c r="C99" s="950"/>
      <c r="D99" s="950"/>
      <c r="E99" s="950"/>
      <c r="F99" s="950"/>
      <c r="G99" s="951"/>
      <c r="H99" s="166"/>
      <c r="I99" s="165">
        <f>SUM(I89:I98)</f>
        <v>489600</v>
      </c>
    </row>
    <row r="100" spans="1:9" ht="16.5" thickTop="1" thickBot="1" x14ac:dyDescent="0.3">
      <c r="A100" s="939" t="s">
        <v>322</v>
      </c>
      <c r="B100" s="940"/>
      <c r="C100" s="940"/>
      <c r="D100" s="940"/>
      <c r="E100" s="940"/>
      <c r="F100" s="940"/>
      <c r="G100" s="940"/>
      <c r="H100" s="940"/>
      <c r="I100" s="940"/>
    </row>
    <row r="101" spans="1:9" x14ac:dyDescent="0.25">
      <c r="A101" s="961" t="s">
        <v>323</v>
      </c>
      <c r="B101" s="962"/>
      <c r="C101" s="962"/>
      <c r="D101" s="962"/>
      <c r="E101" s="962"/>
      <c r="F101" s="962"/>
      <c r="G101" s="962"/>
      <c r="H101" s="962"/>
      <c r="I101" s="962"/>
    </row>
    <row r="102" spans="1:9" x14ac:dyDescent="0.25">
      <c r="A102" s="936" t="s">
        <v>324</v>
      </c>
      <c r="B102" s="937"/>
      <c r="C102" s="937"/>
      <c r="D102" s="937"/>
      <c r="E102" s="938"/>
      <c r="F102" s="172" t="s">
        <v>325</v>
      </c>
      <c r="G102" s="702">
        <v>2</v>
      </c>
      <c r="H102" s="703">
        <v>200000</v>
      </c>
      <c r="I102" s="170">
        <f>ROUND(G102*H102,2)</f>
        <v>400000</v>
      </c>
    </row>
    <row r="103" spans="1:9" x14ac:dyDescent="0.25">
      <c r="A103" s="936" t="s">
        <v>326</v>
      </c>
      <c r="B103" s="937"/>
      <c r="C103" s="937"/>
      <c r="D103" s="937"/>
      <c r="E103" s="938"/>
      <c r="F103" s="172" t="s">
        <v>325</v>
      </c>
      <c r="G103" s="702">
        <v>2</v>
      </c>
      <c r="H103" s="703">
        <v>50000</v>
      </c>
      <c r="I103" s="170">
        <f>ROUND(G103*H103,2)</f>
        <v>100000</v>
      </c>
    </row>
    <row r="104" spans="1:9" x14ac:dyDescent="0.25">
      <c r="A104" s="934" t="s">
        <v>327</v>
      </c>
      <c r="B104" s="935"/>
      <c r="C104" s="935"/>
      <c r="D104" s="935"/>
      <c r="E104" s="935"/>
      <c r="F104" s="935"/>
      <c r="G104" s="935"/>
      <c r="H104" s="935"/>
      <c r="I104" s="935"/>
    </row>
    <row r="105" spans="1:9" x14ac:dyDescent="0.25">
      <c r="A105" s="936" t="s">
        <v>328</v>
      </c>
      <c r="B105" s="937"/>
      <c r="C105" s="937"/>
      <c r="D105" s="937"/>
      <c r="E105" s="938"/>
      <c r="F105" s="838" t="s">
        <v>255</v>
      </c>
      <c r="G105" s="702">
        <v>12</v>
      </c>
      <c r="H105" s="703">
        <v>30000</v>
      </c>
      <c r="I105" s="170">
        <f>ROUND(G105*H105,2)</f>
        <v>360000</v>
      </c>
    </row>
    <row r="106" spans="1:9" x14ac:dyDescent="0.25">
      <c r="A106" s="934" t="s">
        <v>326</v>
      </c>
      <c r="B106" s="935"/>
      <c r="C106" s="935"/>
      <c r="D106" s="935"/>
      <c r="E106" s="935"/>
      <c r="F106" s="935"/>
      <c r="G106" s="935"/>
      <c r="H106" s="935"/>
      <c r="I106" s="935"/>
    </row>
    <row r="107" spans="1:9" x14ac:dyDescent="0.25">
      <c r="A107" s="956" t="s">
        <v>329</v>
      </c>
      <c r="B107" s="956"/>
      <c r="C107" s="956"/>
      <c r="D107" s="956"/>
      <c r="E107" s="957"/>
      <c r="F107" s="169" t="s">
        <v>303</v>
      </c>
      <c r="G107" s="700">
        <v>90000</v>
      </c>
      <c r="H107" s="701">
        <v>1.5</v>
      </c>
      <c r="I107" s="168">
        <f t="shared" ref="I107:I112" si="4">ROUND(G107*H107,2)</f>
        <v>135000</v>
      </c>
    </row>
    <row r="108" spans="1:9" ht="29.25" customHeight="1" x14ac:dyDescent="0.25">
      <c r="A108" s="956" t="s">
        <v>330</v>
      </c>
      <c r="B108" s="956"/>
      <c r="C108" s="956"/>
      <c r="D108" s="956"/>
      <c r="E108" s="957"/>
      <c r="F108" s="169" t="s">
        <v>303</v>
      </c>
      <c r="G108" s="700">
        <v>90000</v>
      </c>
      <c r="H108" s="701">
        <v>2.5</v>
      </c>
      <c r="I108" s="168">
        <f t="shared" si="4"/>
        <v>225000</v>
      </c>
    </row>
    <row r="109" spans="1:9" x14ac:dyDescent="0.25">
      <c r="A109" s="171" t="s">
        <v>331</v>
      </c>
      <c r="B109" s="171"/>
      <c r="C109" s="841"/>
      <c r="D109" s="171"/>
      <c r="E109" s="171"/>
      <c r="F109" s="169" t="s">
        <v>332</v>
      </c>
      <c r="G109" s="700">
        <v>500</v>
      </c>
      <c r="H109" s="703">
        <v>80</v>
      </c>
      <c r="I109" s="170">
        <f t="shared" si="4"/>
        <v>40000</v>
      </c>
    </row>
    <row r="110" spans="1:9" ht="26.25" customHeight="1" x14ac:dyDescent="0.25">
      <c r="A110" s="956" t="s">
        <v>333</v>
      </c>
      <c r="B110" s="956"/>
      <c r="C110" s="956"/>
      <c r="D110" s="956"/>
      <c r="E110" s="957"/>
      <c r="F110" s="169" t="s">
        <v>332</v>
      </c>
      <c r="G110" s="700">
        <v>1250</v>
      </c>
      <c r="H110" s="701">
        <v>450</v>
      </c>
      <c r="I110" s="168">
        <f t="shared" si="4"/>
        <v>562500</v>
      </c>
    </row>
    <row r="111" spans="1:9" ht="25.5" customHeight="1" x14ac:dyDescent="0.25">
      <c r="A111" s="956" t="s">
        <v>334</v>
      </c>
      <c r="B111" s="956"/>
      <c r="C111" s="956"/>
      <c r="D111" s="956"/>
      <c r="E111" s="957"/>
      <c r="F111" s="169" t="s">
        <v>255</v>
      </c>
      <c r="G111" s="700">
        <v>6</v>
      </c>
      <c r="H111" s="701">
        <v>50000</v>
      </c>
      <c r="I111" s="168">
        <f t="shared" si="4"/>
        <v>300000</v>
      </c>
    </row>
    <row r="112" spans="1:9" x14ac:dyDescent="0.25">
      <c r="A112" s="956" t="s">
        <v>335</v>
      </c>
      <c r="B112" s="956"/>
      <c r="C112" s="956"/>
      <c r="D112" s="956"/>
      <c r="E112" s="957"/>
      <c r="F112" s="169" t="s">
        <v>255</v>
      </c>
      <c r="G112" s="700">
        <v>6</v>
      </c>
      <c r="H112" s="701">
        <v>100000</v>
      </c>
      <c r="I112" s="168">
        <f t="shared" si="4"/>
        <v>600000</v>
      </c>
    </row>
    <row r="113" spans="1:9" x14ac:dyDescent="0.25">
      <c r="A113" s="167"/>
      <c r="B113" s="639"/>
      <c r="C113" s="639"/>
      <c r="D113" s="639"/>
      <c r="E113" s="639"/>
      <c r="F113" s="640"/>
      <c r="G113" s="641"/>
      <c r="H113" s="642"/>
      <c r="I113" s="643"/>
    </row>
    <row r="114" spans="1:9" ht="15.75" thickBot="1" x14ac:dyDescent="0.3">
      <c r="A114" s="949" t="s">
        <v>336</v>
      </c>
      <c r="B114" s="950"/>
      <c r="C114" s="950"/>
      <c r="D114" s="950"/>
      <c r="E114" s="950"/>
      <c r="F114" s="950"/>
      <c r="G114" s="951"/>
      <c r="H114" s="166"/>
      <c r="I114" s="165">
        <f>SUM(I102:I103,I105,I107:I112)</f>
        <v>2722500</v>
      </c>
    </row>
    <row r="115" spans="1:9" ht="15.75" thickTop="1" x14ac:dyDescent="0.25"/>
    <row r="117" spans="1:9" x14ac:dyDescent="0.25">
      <c r="I117" s="4">
        <f>I114+I99+I86+I79+I71+I60+I49+I45+I40</f>
        <v>4473202.6399999997</v>
      </c>
    </row>
  </sheetData>
  <sheetProtection algorithmName="SHA-512" hashValue="VHbn9t/veubj6QS0hFqSJIaXJIIW9ha4pjAi2NetuLohLdZ5DQO2UQfZIniGwuMhHr8SWyEteSXdT13F9Zwg1w==" saltValue="Q6BGgqVh56HouvlRrH1o+A==" spinCount="100000" sheet="1" objects="1" scenarios="1"/>
  <mergeCells count="68">
    <mergeCell ref="A20:I21"/>
    <mergeCell ref="A84:E84"/>
    <mergeCell ref="A85:E85"/>
    <mergeCell ref="A86:G86"/>
    <mergeCell ref="A87:I87"/>
    <mergeCell ref="A80:I80"/>
    <mergeCell ref="A83:E83"/>
    <mergeCell ref="A79:G79"/>
    <mergeCell ref="H22:I22"/>
    <mergeCell ref="A47:E47"/>
    <mergeCell ref="G22:G23"/>
    <mergeCell ref="A22:E23"/>
    <mergeCell ref="F22:F23"/>
    <mergeCell ref="A42:E42"/>
    <mergeCell ref="A43:E43"/>
    <mergeCell ref="A29:E29"/>
    <mergeCell ref="A30:E30"/>
    <mergeCell ref="A31:E31"/>
    <mergeCell ref="A37:E37"/>
    <mergeCell ref="A110:E110"/>
    <mergeCell ref="A111:E111"/>
    <mergeCell ref="A35:E35"/>
    <mergeCell ref="A46:E46"/>
    <mergeCell ref="A32:E32"/>
    <mergeCell ref="A45:G45"/>
    <mergeCell ref="A48:E48"/>
    <mergeCell ref="A49:G49"/>
    <mergeCell ref="A50:I50"/>
    <mergeCell ref="A34:G34"/>
    <mergeCell ref="A36:E36"/>
    <mergeCell ref="A44:E44"/>
    <mergeCell ref="A38:E38"/>
    <mergeCell ref="A112:E112"/>
    <mergeCell ref="A114:G114"/>
    <mergeCell ref="A107:E107"/>
    <mergeCell ref="A108:E108"/>
    <mergeCell ref="A51:I51"/>
    <mergeCell ref="A61:I61"/>
    <mergeCell ref="A71:G71"/>
    <mergeCell ref="A72:I72"/>
    <mergeCell ref="A103:E103"/>
    <mergeCell ref="A101:I101"/>
    <mergeCell ref="A106:I106"/>
    <mergeCell ref="A89:E89"/>
    <mergeCell ref="A90:E90"/>
    <mergeCell ref="A91:E91"/>
    <mergeCell ref="A92:E92"/>
    <mergeCell ref="A93:E93"/>
    <mergeCell ref="A39:E39"/>
    <mergeCell ref="A41:E41"/>
    <mergeCell ref="A33:E33"/>
    <mergeCell ref="A40:G40"/>
    <mergeCell ref="A60:G60"/>
    <mergeCell ref="A94:E94"/>
    <mergeCell ref="A97:E97"/>
    <mergeCell ref="A98:E98"/>
    <mergeCell ref="A99:G99"/>
    <mergeCell ref="A102:E102"/>
    <mergeCell ref="A24:E24"/>
    <mergeCell ref="A25:E25"/>
    <mergeCell ref="A26:E26"/>
    <mergeCell ref="A27:E27"/>
    <mergeCell ref="A28:E28"/>
    <mergeCell ref="A104:I104"/>
    <mergeCell ref="A105:E105"/>
    <mergeCell ref="A100:I100"/>
    <mergeCell ref="A95:E95"/>
    <mergeCell ref="A96:E96"/>
  </mergeCells>
  <pageMargins left="0.511811024" right="0.511811024" top="0.78740157499999996" bottom="0.78740157499999996" header="0.31496062000000002" footer="0.31496062000000002"/>
  <pageSetup paperSize="9" orientation="portrait" verticalDpi="12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84"/>
  <sheetViews>
    <sheetView showGridLines="0" zoomScale="80" zoomScaleNormal="80" workbookViewId="0">
      <selection activeCell="D8" sqref="D8"/>
    </sheetView>
  </sheetViews>
  <sheetFormatPr defaultColWidth="8.85546875" defaultRowHeight="15" x14ac:dyDescent="0.25"/>
  <cols>
    <col min="1" max="1" width="24.42578125" bestFit="1" customWidth="1"/>
    <col min="2" max="2" width="35.140625" style="203" customWidth="1"/>
    <col min="3" max="3" width="35.85546875" style="204" customWidth="1"/>
    <col min="4" max="4" width="96.140625" customWidth="1"/>
    <col min="5" max="5" width="14.7109375" style="42" customWidth="1"/>
    <col min="6" max="6" width="16.42578125" customWidth="1"/>
    <col min="7" max="7" width="24.28515625" customWidth="1"/>
    <col min="8" max="8" width="17.140625" customWidth="1"/>
    <col min="9" max="9" width="29" customWidth="1"/>
  </cols>
  <sheetData>
    <row r="2" spans="1:9" x14ac:dyDescent="0.25">
      <c r="B2"/>
      <c r="C2"/>
      <c r="E2"/>
    </row>
    <row r="3" spans="1:9" x14ac:dyDescent="0.25">
      <c r="B3"/>
      <c r="C3" s="7" t="s">
        <v>337</v>
      </c>
      <c r="E3"/>
      <c r="F3" s="188" t="s">
        <v>338</v>
      </c>
      <c r="G3" s="189">
        <f>B75</f>
        <v>1212577582.5599613</v>
      </c>
    </row>
    <row r="4" spans="1:9" x14ac:dyDescent="0.25">
      <c r="A4" s="6" t="s">
        <v>339</v>
      </c>
      <c r="B4" s="644">
        <f>SUM(B5:B8)</f>
        <v>45854534.816338152</v>
      </c>
      <c r="C4" s="6"/>
      <c r="E4"/>
      <c r="F4" s="82" t="s">
        <v>340</v>
      </c>
      <c r="G4" s="843">
        <f>'custos unitários para atualizar'!B4</f>
        <v>0.79693099999999994</v>
      </c>
    </row>
    <row r="5" spans="1:9" x14ac:dyDescent="0.25">
      <c r="A5" s="6" t="s">
        <v>341</v>
      </c>
      <c r="B5" s="645">
        <v>50000</v>
      </c>
      <c r="C5" s="187">
        <v>1E-3</v>
      </c>
      <c r="E5"/>
      <c r="F5" s="82" t="s">
        <v>342</v>
      </c>
      <c r="G5" s="81">
        <f>G3*(1+G4)</f>
        <v>2178918248.0070539</v>
      </c>
    </row>
    <row r="6" spans="1:9" x14ac:dyDescent="0.25">
      <c r="A6" s="6" t="s">
        <v>343</v>
      </c>
      <c r="B6" s="646">
        <f>G8</f>
        <v>33880773.21633815</v>
      </c>
      <c r="C6" s="6"/>
      <c r="D6" s="646">
        <f>B6*20%</f>
        <v>6776154.6432676306</v>
      </c>
      <c r="E6"/>
      <c r="F6" s="6" t="s">
        <v>344</v>
      </c>
      <c r="G6" s="190">
        <f>G5</f>
        <v>2178918248.0070539</v>
      </c>
    </row>
    <row r="7" spans="1:9" x14ac:dyDescent="0.25">
      <c r="A7" s="6" t="s">
        <v>345</v>
      </c>
      <c r="B7" s="647">
        <v>11923761.6</v>
      </c>
      <c r="C7" s="6"/>
      <c r="E7"/>
      <c r="F7" s="6" t="s">
        <v>346</v>
      </c>
      <c r="G7" s="191">
        <v>0</v>
      </c>
    </row>
    <row r="8" spans="1:9" x14ac:dyDescent="0.25">
      <c r="A8" s="194" t="s">
        <v>347</v>
      </c>
      <c r="B8" s="648">
        <v>0</v>
      </c>
      <c r="C8" s="195">
        <v>5.0000000000000001E-3</v>
      </c>
      <c r="D8" s="214">
        <f>B6-D6</f>
        <v>27104618.573070519</v>
      </c>
      <c r="E8"/>
      <c r="F8" s="6" t="s">
        <v>348</v>
      </c>
      <c r="G8" s="192">
        <f>-PMT(G10,G9,,G6)</f>
        <v>33880773.21633815</v>
      </c>
    </row>
    <row r="9" spans="1:9" x14ac:dyDescent="0.25">
      <c r="C9" s="204" t="s">
        <v>349</v>
      </c>
      <c r="F9" s="6" t="s">
        <v>350</v>
      </c>
      <c r="G9" s="191">
        <f>'Anexo 4_CF_FRA'!D76</f>
        <v>30</v>
      </c>
    </row>
    <row r="10" spans="1:9" x14ac:dyDescent="0.25">
      <c r="A10" s="5">
        <v>0.2</v>
      </c>
      <c r="B10" s="646">
        <f>$B$6*20%</f>
        <v>6776154.6432676306</v>
      </c>
      <c r="C10" s="304">
        <f>$B$6-B10</f>
        <v>27104618.573070519</v>
      </c>
      <c r="F10" s="6" t="s">
        <v>351</v>
      </c>
      <c r="G10" s="193">
        <v>4.8099999999999997E-2</v>
      </c>
    </row>
    <row r="11" spans="1:9" x14ac:dyDescent="0.25">
      <c r="A11" s="5">
        <v>0.4</v>
      </c>
      <c r="B11" s="646">
        <f>$B$6*40%</f>
        <v>13552309.286535261</v>
      </c>
      <c r="C11" s="304">
        <f>$B$6-B11</f>
        <v>20328463.929802887</v>
      </c>
    </row>
    <row r="12" spans="1:9" x14ac:dyDescent="0.25">
      <c r="A12" s="5">
        <v>0.6</v>
      </c>
      <c r="B12" s="646">
        <f>$B$6*60%</f>
        <v>20328463.929802891</v>
      </c>
      <c r="C12" s="304">
        <f>$B$6-B12</f>
        <v>13552309.286535259</v>
      </c>
    </row>
    <row r="13" spans="1:9" x14ac:dyDescent="0.25">
      <c r="A13" s="5">
        <v>0.8</v>
      </c>
      <c r="B13" s="646">
        <f>$B$6*80%</f>
        <v>27104618.573070522</v>
      </c>
      <c r="C13" s="304">
        <f>$B$6-B13</f>
        <v>6776154.6432676278</v>
      </c>
    </row>
    <row r="14" spans="1:9" x14ac:dyDescent="0.25">
      <c r="A14" t="s">
        <v>96</v>
      </c>
      <c r="B14" s="646"/>
      <c r="C14" s="304">
        <f>SUM(C10:C13)</f>
        <v>67761546.4326763</v>
      </c>
    </row>
    <row r="15" spans="1:9" ht="21" x14ac:dyDescent="0.25">
      <c r="B15" s="988" t="s">
        <v>352</v>
      </c>
      <c r="C15" s="988"/>
      <c r="D15" s="988"/>
      <c r="E15" s="988"/>
      <c r="F15" s="988"/>
      <c r="G15" s="988"/>
    </row>
    <row r="16" spans="1:9" s="206" customFormat="1" ht="60" x14ac:dyDescent="0.25">
      <c r="A16" s="205" t="s">
        <v>353</v>
      </c>
      <c r="B16" s="205" t="s">
        <v>354</v>
      </c>
      <c r="C16" s="205" t="s">
        <v>355</v>
      </c>
      <c r="D16" s="205" t="s">
        <v>356</v>
      </c>
      <c r="E16" s="205" t="s">
        <v>173</v>
      </c>
      <c r="F16" s="205" t="s">
        <v>357</v>
      </c>
      <c r="G16" s="205" t="s">
        <v>358</v>
      </c>
      <c r="H16" s="205" t="s">
        <v>359</v>
      </c>
      <c r="I16" s="205" t="s">
        <v>360</v>
      </c>
    </row>
    <row r="17" spans="1:9" s="206" customFormat="1" x14ac:dyDescent="0.25">
      <c r="A17" s="239"/>
      <c r="B17" s="985" t="s">
        <v>361</v>
      </c>
      <c r="C17" s="985"/>
      <c r="D17" s="985"/>
      <c r="E17" s="649"/>
      <c r="F17" s="650"/>
      <c r="G17" s="651">
        <f>SUM(G18:G24)</f>
        <v>200582845.56</v>
      </c>
      <c r="H17" s="650"/>
      <c r="I17" s="651">
        <f>SUM(I18:I24)</f>
        <v>354996944.75927991</v>
      </c>
    </row>
    <row r="18" spans="1:9" ht="30" x14ac:dyDescent="0.25">
      <c r="A18" s="6" t="s">
        <v>362</v>
      </c>
      <c r="B18" s="652" t="s">
        <v>363</v>
      </c>
      <c r="C18" s="163" t="s">
        <v>364</v>
      </c>
      <c r="D18" s="207" t="s">
        <v>365</v>
      </c>
      <c r="E18" s="207" t="s">
        <v>366</v>
      </c>
      <c r="F18" s="161">
        <v>38481</v>
      </c>
      <c r="G18" s="10">
        <v>34290314</v>
      </c>
      <c r="H18" s="298">
        <v>1.9279999999999999</v>
      </c>
      <c r="I18" s="10">
        <f t="shared" ref="I18:I24" si="0">G18*H18</f>
        <v>66111725.391999997</v>
      </c>
    </row>
    <row r="19" spans="1:9" ht="15" customHeight="1" x14ac:dyDescent="0.25">
      <c r="A19" s="6" t="s">
        <v>362</v>
      </c>
      <c r="B19" s="986" t="s">
        <v>367</v>
      </c>
      <c r="C19" s="989" t="s">
        <v>364</v>
      </c>
      <c r="D19" s="207" t="s">
        <v>368</v>
      </c>
      <c r="E19" s="207" t="s">
        <v>369</v>
      </c>
      <c r="F19" s="161">
        <v>38481</v>
      </c>
      <c r="G19" s="10">
        <v>18297602</v>
      </c>
      <c r="H19" s="298">
        <v>1.9279999999999999</v>
      </c>
      <c r="I19" s="10">
        <f t="shared" si="0"/>
        <v>35277776.655999996</v>
      </c>
    </row>
    <row r="20" spans="1:9" x14ac:dyDescent="0.25">
      <c r="A20" s="6" t="s">
        <v>362</v>
      </c>
      <c r="B20" s="987"/>
      <c r="C20" s="990"/>
      <c r="D20" s="207" t="s">
        <v>370</v>
      </c>
      <c r="E20" s="207" t="s">
        <v>366</v>
      </c>
      <c r="F20" s="161">
        <v>38481</v>
      </c>
      <c r="G20" s="10">
        <v>45188398</v>
      </c>
      <c r="H20" s="298">
        <v>1.9279999999999999</v>
      </c>
      <c r="I20" s="10">
        <f t="shared" si="0"/>
        <v>87123231.343999997</v>
      </c>
    </row>
    <row r="21" spans="1:9" x14ac:dyDescent="0.25">
      <c r="A21" s="6" t="s">
        <v>362</v>
      </c>
      <c r="B21" s="652" t="s">
        <v>371</v>
      </c>
      <c r="C21" s="163" t="s">
        <v>372</v>
      </c>
      <c r="D21" s="207" t="s">
        <v>373</v>
      </c>
      <c r="E21" s="207" t="s">
        <v>369</v>
      </c>
      <c r="F21" s="161">
        <v>38492</v>
      </c>
      <c r="G21" s="10">
        <v>47482000</v>
      </c>
      <c r="H21" s="298">
        <v>1.9279999999999999</v>
      </c>
      <c r="I21" s="10">
        <f t="shared" si="0"/>
        <v>91545296</v>
      </c>
    </row>
    <row r="22" spans="1:9" x14ac:dyDescent="0.25">
      <c r="A22" s="6" t="s">
        <v>362</v>
      </c>
      <c r="B22" s="652" t="s">
        <v>374</v>
      </c>
      <c r="C22" s="163" t="s">
        <v>375</v>
      </c>
      <c r="D22" s="207" t="s">
        <v>376</v>
      </c>
      <c r="E22" s="207" t="s">
        <v>369</v>
      </c>
      <c r="F22" s="161">
        <v>40848</v>
      </c>
      <c r="G22" s="10">
        <v>11141775.189999999</v>
      </c>
      <c r="H22" s="298">
        <v>1.3859999999999999</v>
      </c>
      <c r="I22" s="10">
        <f t="shared" si="0"/>
        <v>15442500.413339999</v>
      </c>
    </row>
    <row r="23" spans="1:9" x14ac:dyDescent="0.25">
      <c r="A23" s="6" t="s">
        <v>362</v>
      </c>
      <c r="B23" s="652" t="s">
        <v>377</v>
      </c>
      <c r="C23" s="163" t="s">
        <v>378</v>
      </c>
      <c r="D23" s="207" t="s">
        <v>379</v>
      </c>
      <c r="E23" s="207"/>
      <c r="F23" s="161">
        <v>41091</v>
      </c>
      <c r="G23" s="10">
        <v>36268445.31000001</v>
      </c>
      <c r="H23" s="298">
        <v>1.3380000000000001</v>
      </c>
      <c r="I23" s="10">
        <f t="shared" si="0"/>
        <v>48527179.824780017</v>
      </c>
    </row>
    <row r="24" spans="1:9" x14ac:dyDescent="0.25">
      <c r="A24" s="6" t="s">
        <v>380</v>
      </c>
      <c r="B24" s="652" t="s">
        <v>381</v>
      </c>
      <c r="C24" s="163" t="s">
        <v>382</v>
      </c>
      <c r="D24" s="207" t="s">
        <v>383</v>
      </c>
      <c r="E24" s="207" t="s">
        <v>369</v>
      </c>
      <c r="F24" s="161">
        <v>40848</v>
      </c>
      <c r="G24" s="10">
        <v>7914311.0599999996</v>
      </c>
      <c r="H24" s="298">
        <v>1.3859999999999999</v>
      </c>
      <c r="I24" s="10">
        <f t="shared" si="0"/>
        <v>10969235.129159998</v>
      </c>
    </row>
    <row r="25" spans="1:9" s="206" customFormat="1" x14ac:dyDescent="0.25">
      <c r="A25" s="239"/>
      <c r="B25" s="985" t="s">
        <v>384</v>
      </c>
      <c r="C25" s="985"/>
      <c r="D25" s="985"/>
      <c r="E25" s="649"/>
      <c r="F25" s="650"/>
      <c r="G25" s="651">
        <f>SUM(G26:G36)</f>
        <v>243424941.77871838</v>
      </c>
      <c r="H25" s="650"/>
      <c r="I25" s="651">
        <f>SUM(I26:I36)</f>
        <v>371158664.50029087</v>
      </c>
    </row>
    <row r="26" spans="1:9" ht="30" x14ac:dyDescent="0.25">
      <c r="A26" s="6" t="s">
        <v>385</v>
      </c>
      <c r="B26" s="652" t="s">
        <v>386</v>
      </c>
      <c r="C26" s="208" t="s">
        <v>387</v>
      </c>
      <c r="D26" s="207" t="s">
        <v>388</v>
      </c>
      <c r="E26" s="162" t="s">
        <v>366</v>
      </c>
      <c r="F26" s="161">
        <v>39892</v>
      </c>
      <c r="G26" s="10">
        <v>41371400.27871836</v>
      </c>
      <c r="H26" s="298">
        <v>1.591</v>
      </c>
      <c r="I26" s="10">
        <f t="shared" ref="I26:I36" si="1">G26*H26</f>
        <v>65821897.843440913</v>
      </c>
    </row>
    <row r="27" spans="1:9" ht="30" x14ac:dyDescent="0.25">
      <c r="A27" s="6" t="s">
        <v>389</v>
      </c>
      <c r="B27" s="652" t="s">
        <v>390</v>
      </c>
      <c r="C27" s="208" t="s">
        <v>387</v>
      </c>
      <c r="D27" s="207" t="s">
        <v>391</v>
      </c>
      <c r="E27" s="162" t="s">
        <v>369</v>
      </c>
      <c r="F27" s="161"/>
      <c r="G27" s="10">
        <v>57656162.530000001</v>
      </c>
      <c r="H27" s="298">
        <v>1.591</v>
      </c>
      <c r="I27" s="10">
        <f t="shared" si="1"/>
        <v>91730954.585229993</v>
      </c>
    </row>
    <row r="28" spans="1:9" x14ac:dyDescent="0.25">
      <c r="A28" s="6" t="s">
        <v>380</v>
      </c>
      <c r="B28" s="844" t="s">
        <v>392</v>
      </c>
      <c r="C28" s="653" t="s">
        <v>393</v>
      </c>
      <c r="D28" s="207" t="s">
        <v>394</v>
      </c>
      <c r="E28" s="207" t="s">
        <v>369</v>
      </c>
      <c r="F28" s="161">
        <v>39892</v>
      </c>
      <c r="G28" s="10">
        <v>0</v>
      </c>
      <c r="H28" s="298"/>
      <c r="I28" s="10">
        <f t="shared" si="1"/>
        <v>0</v>
      </c>
    </row>
    <row r="29" spans="1:9" x14ac:dyDescent="0.25">
      <c r="A29" s="6" t="s">
        <v>395</v>
      </c>
      <c r="B29" s="652" t="s">
        <v>396</v>
      </c>
      <c r="C29" s="208" t="s">
        <v>397</v>
      </c>
      <c r="D29" s="209" t="s">
        <v>398</v>
      </c>
      <c r="E29" s="162" t="s">
        <v>369</v>
      </c>
      <c r="F29" s="161"/>
      <c r="G29" s="10">
        <v>14619857</v>
      </c>
      <c r="H29" s="298">
        <v>1.591</v>
      </c>
      <c r="I29" s="10">
        <f t="shared" si="1"/>
        <v>23260192.487</v>
      </c>
    </row>
    <row r="30" spans="1:9" x14ac:dyDescent="0.25">
      <c r="A30" s="6" t="s">
        <v>385</v>
      </c>
      <c r="B30" s="652" t="s">
        <v>399</v>
      </c>
      <c r="C30" s="208" t="s">
        <v>400</v>
      </c>
      <c r="D30" s="207" t="s">
        <v>401</v>
      </c>
      <c r="E30" s="162" t="s">
        <v>366</v>
      </c>
      <c r="F30" s="161">
        <v>41671</v>
      </c>
      <c r="G30" s="10">
        <v>38690655.719999999</v>
      </c>
      <c r="H30" s="298">
        <v>1.208</v>
      </c>
      <c r="I30" s="10">
        <f t="shared" si="1"/>
        <v>46738312.109759994</v>
      </c>
    </row>
    <row r="31" spans="1:9" x14ac:dyDescent="0.25">
      <c r="A31" s="6" t="s">
        <v>402</v>
      </c>
      <c r="B31" s="652" t="s">
        <v>403</v>
      </c>
      <c r="C31" s="208" t="s">
        <v>404</v>
      </c>
      <c r="D31" s="209" t="s">
        <v>405</v>
      </c>
      <c r="E31" s="162" t="s">
        <v>366</v>
      </c>
      <c r="F31" s="161">
        <v>41671</v>
      </c>
      <c r="G31" s="10">
        <v>2279364.9000000004</v>
      </c>
      <c r="H31" s="298">
        <v>1.208</v>
      </c>
      <c r="I31" s="10">
        <f t="shared" si="1"/>
        <v>2753472.7992000002</v>
      </c>
    </row>
    <row r="32" spans="1:9" x14ac:dyDescent="0.25">
      <c r="A32" s="6" t="s">
        <v>395</v>
      </c>
      <c r="B32" s="652" t="s">
        <v>406</v>
      </c>
      <c r="C32" s="208" t="s">
        <v>404</v>
      </c>
      <c r="D32" s="654" t="s">
        <v>407</v>
      </c>
      <c r="E32" s="162" t="s">
        <v>408</v>
      </c>
      <c r="F32" s="161">
        <v>41671</v>
      </c>
      <c r="G32" s="10">
        <v>1145952.93</v>
      </c>
      <c r="H32" s="298">
        <v>1.208</v>
      </c>
      <c r="I32" s="10">
        <f t="shared" si="1"/>
        <v>1384311.1394399998</v>
      </c>
    </row>
    <row r="33" spans="1:9" x14ac:dyDescent="0.25">
      <c r="A33" s="6" t="s">
        <v>395</v>
      </c>
      <c r="B33" s="652" t="s">
        <v>409</v>
      </c>
      <c r="C33" s="208" t="s">
        <v>410</v>
      </c>
      <c r="D33" s="207" t="s">
        <v>411</v>
      </c>
      <c r="E33" s="162" t="s">
        <v>366</v>
      </c>
      <c r="F33" s="161">
        <v>39892</v>
      </c>
      <c r="G33" s="10">
        <v>10521695.710000001</v>
      </c>
      <c r="H33" s="298">
        <v>1.591</v>
      </c>
      <c r="I33" s="10">
        <f t="shared" si="1"/>
        <v>16740017.874610001</v>
      </c>
    </row>
    <row r="34" spans="1:9" x14ac:dyDescent="0.25">
      <c r="A34" s="6" t="s">
        <v>402</v>
      </c>
      <c r="B34" s="652" t="s">
        <v>412</v>
      </c>
      <c r="C34" s="208" t="s">
        <v>413</v>
      </c>
      <c r="D34" s="209" t="s">
        <v>414</v>
      </c>
      <c r="E34" s="162" t="s">
        <v>366</v>
      </c>
      <c r="F34" s="161">
        <v>39892</v>
      </c>
      <c r="G34" s="10">
        <v>23471086.82</v>
      </c>
      <c r="H34" s="298">
        <v>1.591</v>
      </c>
      <c r="I34" s="10">
        <f t="shared" si="1"/>
        <v>37342499.130620003</v>
      </c>
    </row>
    <row r="35" spans="1:9" x14ac:dyDescent="0.25">
      <c r="A35" s="6" t="s">
        <v>402</v>
      </c>
      <c r="B35" s="652" t="s">
        <v>415</v>
      </c>
      <c r="C35" s="208" t="s">
        <v>413</v>
      </c>
      <c r="D35" s="209" t="s">
        <v>416</v>
      </c>
      <c r="E35" s="162" t="s">
        <v>369</v>
      </c>
      <c r="F35" s="161">
        <v>39892</v>
      </c>
      <c r="G35" s="10">
        <v>28494245.920000002</v>
      </c>
      <c r="H35" s="298">
        <v>1.591</v>
      </c>
      <c r="I35" s="10">
        <f t="shared" si="1"/>
        <v>45334345.258720003</v>
      </c>
    </row>
    <row r="36" spans="1:9" x14ac:dyDescent="0.25">
      <c r="A36" s="6" t="s">
        <v>380</v>
      </c>
      <c r="B36" s="652" t="s">
        <v>417</v>
      </c>
      <c r="C36" s="208" t="s">
        <v>413</v>
      </c>
      <c r="D36" s="207" t="s">
        <v>418</v>
      </c>
      <c r="E36" s="162" t="s">
        <v>366</v>
      </c>
      <c r="F36" s="161">
        <v>39892</v>
      </c>
      <c r="G36" s="10">
        <v>25174519.969999999</v>
      </c>
      <c r="H36" s="298">
        <v>1.591</v>
      </c>
      <c r="I36" s="10">
        <f t="shared" si="1"/>
        <v>40052661.272269994</v>
      </c>
    </row>
    <row r="37" spans="1:9" s="206" customFormat="1" x14ac:dyDescent="0.25">
      <c r="A37" s="239"/>
      <c r="B37" s="985" t="s">
        <v>419</v>
      </c>
      <c r="C37" s="985"/>
      <c r="D37" s="985"/>
      <c r="E37" s="649"/>
      <c r="F37" s="650"/>
      <c r="G37" s="651">
        <f>SUM(G38:G57)</f>
        <v>342034795.67164117</v>
      </c>
      <c r="H37" s="650"/>
      <c r="I37" s="651">
        <f>SUM(I38:I57)</f>
        <v>481921973.3003906</v>
      </c>
    </row>
    <row r="38" spans="1:9" x14ac:dyDescent="0.25">
      <c r="A38" s="6" t="s">
        <v>420</v>
      </c>
      <c r="B38" s="655" t="s">
        <v>421</v>
      </c>
      <c r="C38" s="163" t="s">
        <v>422</v>
      </c>
      <c r="D38" s="162" t="s">
        <v>423</v>
      </c>
      <c r="E38" s="162" t="s">
        <v>366</v>
      </c>
      <c r="F38" s="161">
        <v>41573</v>
      </c>
      <c r="G38" s="10">
        <v>13977401.869999999</v>
      </c>
      <c r="H38" s="298">
        <v>1.2350000000000001</v>
      </c>
      <c r="I38" s="10">
        <f t="shared" ref="I38:I57" si="2">G38*H38</f>
        <v>17262091.309450001</v>
      </c>
    </row>
    <row r="39" spans="1:9" x14ac:dyDescent="0.25">
      <c r="A39" s="6" t="s">
        <v>420</v>
      </c>
      <c r="B39" s="655" t="s">
        <v>424</v>
      </c>
      <c r="C39" s="163" t="s">
        <v>422</v>
      </c>
      <c r="D39" s="162" t="s">
        <v>425</v>
      </c>
      <c r="E39" s="162" t="s">
        <v>366</v>
      </c>
      <c r="F39" s="161">
        <v>41573</v>
      </c>
      <c r="G39" s="10">
        <v>16480155.34</v>
      </c>
      <c r="H39" s="298">
        <v>1.2350000000000001</v>
      </c>
      <c r="I39" s="10">
        <f t="shared" si="2"/>
        <v>20352991.844900001</v>
      </c>
    </row>
    <row r="40" spans="1:9" x14ac:dyDescent="0.25">
      <c r="A40" s="6" t="s">
        <v>426</v>
      </c>
      <c r="B40" s="652" t="s">
        <v>427</v>
      </c>
      <c r="C40" s="163" t="s">
        <v>428</v>
      </c>
      <c r="D40" s="162" t="s">
        <v>429</v>
      </c>
      <c r="E40" s="162" t="s">
        <v>369</v>
      </c>
      <c r="F40" s="161">
        <v>40017</v>
      </c>
      <c r="G40" s="10">
        <v>35309770.784000002</v>
      </c>
      <c r="H40" s="298">
        <v>1.6080000000000001</v>
      </c>
      <c r="I40" s="10">
        <f t="shared" si="2"/>
        <v>56778111.420672007</v>
      </c>
    </row>
    <row r="41" spans="1:9" x14ac:dyDescent="0.25">
      <c r="A41" s="6" t="s">
        <v>426</v>
      </c>
      <c r="B41" s="652" t="s">
        <v>430</v>
      </c>
      <c r="C41" s="163" t="s">
        <v>428</v>
      </c>
      <c r="D41" s="162" t="s">
        <v>431</v>
      </c>
      <c r="E41" s="162" t="s">
        <v>366</v>
      </c>
      <c r="F41" s="161">
        <v>40017</v>
      </c>
      <c r="G41" s="10">
        <v>40251043.048999995</v>
      </c>
      <c r="H41" s="298">
        <v>1.6080000000000001</v>
      </c>
      <c r="I41" s="10">
        <f t="shared" si="2"/>
        <v>64723677.222791992</v>
      </c>
    </row>
    <row r="42" spans="1:9" ht="30" x14ac:dyDescent="0.25">
      <c r="A42" s="6" t="s">
        <v>426</v>
      </c>
      <c r="B42" s="652" t="s">
        <v>432</v>
      </c>
      <c r="C42" s="163" t="s">
        <v>433</v>
      </c>
      <c r="D42" s="656" t="s">
        <v>434</v>
      </c>
      <c r="E42" s="162" t="s">
        <v>369</v>
      </c>
      <c r="F42" s="161">
        <v>41500</v>
      </c>
      <c r="G42" s="10">
        <v>20161090.785599999</v>
      </c>
      <c r="H42" s="298">
        <v>1.2549999999999999</v>
      </c>
      <c r="I42" s="10">
        <f t="shared" si="2"/>
        <v>25302168.935927998</v>
      </c>
    </row>
    <row r="43" spans="1:9" ht="30" x14ac:dyDescent="0.25">
      <c r="A43" s="6" t="s">
        <v>435</v>
      </c>
      <c r="B43" s="652" t="s">
        <v>436</v>
      </c>
      <c r="C43" s="163" t="s">
        <v>437</v>
      </c>
      <c r="D43" s="656" t="s">
        <v>438</v>
      </c>
      <c r="E43" s="162" t="s">
        <v>366</v>
      </c>
      <c r="F43" s="161">
        <v>40017</v>
      </c>
      <c r="G43" s="10">
        <v>30616347.631999988</v>
      </c>
      <c r="H43" s="298">
        <v>1.6080000000000001</v>
      </c>
      <c r="I43" s="10">
        <f t="shared" si="2"/>
        <v>49231086.992255986</v>
      </c>
    </row>
    <row r="44" spans="1:9" ht="30" x14ac:dyDescent="0.25">
      <c r="A44" s="6" t="s">
        <v>435</v>
      </c>
      <c r="B44" s="652" t="s">
        <v>439</v>
      </c>
      <c r="C44" s="163" t="s">
        <v>440</v>
      </c>
      <c r="D44" s="656" t="s">
        <v>441</v>
      </c>
      <c r="E44" s="162" t="s">
        <v>369</v>
      </c>
      <c r="F44" s="161">
        <v>41410</v>
      </c>
      <c r="G44" s="10">
        <v>21119291.794</v>
      </c>
      <c r="H44" s="308">
        <v>1.268</v>
      </c>
      <c r="I44" s="10">
        <f t="shared" si="2"/>
        <v>26779261.994791999</v>
      </c>
    </row>
    <row r="45" spans="1:9" ht="30" x14ac:dyDescent="0.25">
      <c r="A45" s="6" t="s">
        <v>435</v>
      </c>
      <c r="B45" s="652" t="s">
        <v>439</v>
      </c>
      <c r="C45" s="163" t="s">
        <v>442</v>
      </c>
      <c r="D45" s="656" t="s">
        <v>443</v>
      </c>
      <c r="E45" s="162" t="s">
        <v>369</v>
      </c>
      <c r="F45" s="161">
        <v>41410</v>
      </c>
      <c r="G45" s="10">
        <v>33980015.173999995</v>
      </c>
      <c r="H45" s="308">
        <v>1.268</v>
      </c>
      <c r="I45" s="10">
        <f t="shared" si="2"/>
        <v>43086659.240631998</v>
      </c>
    </row>
    <row r="46" spans="1:9" ht="30" x14ac:dyDescent="0.25">
      <c r="A46" s="6" t="s">
        <v>444</v>
      </c>
      <c r="B46" s="652" t="s">
        <v>445</v>
      </c>
      <c r="C46" s="163" t="s">
        <v>446</v>
      </c>
      <c r="D46" s="656" t="s">
        <v>447</v>
      </c>
      <c r="E46" s="162" t="s">
        <v>369</v>
      </c>
      <c r="F46" s="161">
        <v>40359</v>
      </c>
      <c r="G46" s="10">
        <v>6871270.2400000002</v>
      </c>
      <c r="H46" s="298">
        <v>1.5409999999999999</v>
      </c>
      <c r="I46" s="10">
        <f t="shared" si="2"/>
        <v>10588627.43984</v>
      </c>
    </row>
    <row r="47" spans="1:9" ht="30" x14ac:dyDescent="0.25">
      <c r="A47" s="6" t="s">
        <v>444</v>
      </c>
      <c r="B47" s="652" t="s">
        <v>448</v>
      </c>
      <c r="C47" s="163" t="s">
        <v>449</v>
      </c>
      <c r="D47" s="656" t="s">
        <v>450</v>
      </c>
      <c r="E47" s="162" t="s">
        <v>369</v>
      </c>
      <c r="F47" s="161">
        <v>41499</v>
      </c>
      <c r="G47" s="10">
        <v>996000</v>
      </c>
      <c r="H47" s="298">
        <v>1.2549999999999999</v>
      </c>
      <c r="I47" s="10">
        <f t="shared" si="2"/>
        <v>1249980</v>
      </c>
    </row>
    <row r="48" spans="1:9" ht="30" x14ac:dyDescent="0.25">
      <c r="A48" s="6" t="s">
        <v>444</v>
      </c>
      <c r="B48" s="652" t="s">
        <v>451</v>
      </c>
      <c r="C48" s="163" t="s">
        <v>452</v>
      </c>
      <c r="D48" s="656" t="s">
        <v>453</v>
      </c>
      <c r="E48" s="162" t="s">
        <v>366</v>
      </c>
      <c r="F48" s="161">
        <v>41370</v>
      </c>
      <c r="G48" s="10">
        <v>1960640</v>
      </c>
      <c r="H48" s="298">
        <v>1.27</v>
      </c>
      <c r="I48" s="10">
        <f t="shared" si="2"/>
        <v>2490012.7999999998</v>
      </c>
    </row>
    <row r="49" spans="1:9" ht="30" x14ac:dyDescent="0.25">
      <c r="A49" s="6" t="s">
        <v>444</v>
      </c>
      <c r="B49" s="240" t="s">
        <v>454</v>
      </c>
      <c r="C49" s="210" t="s">
        <v>452</v>
      </c>
      <c r="D49" s="211" t="s">
        <v>455</v>
      </c>
      <c r="E49" s="162" t="s">
        <v>369</v>
      </c>
      <c r="F49" s="161">
        <v>41370</v>
      </c>
      <c r="G49" s="10">
        <v>3000860</v>
      </c>
      <c r="H49" s="298">
        <v>1.27</v>
      </c>
      <c r="I49" s="10">
        <f t="shared" si="2"/>
        <v>3811092.2</v>
      </c>
    </row>
    <row r="50" spans="1:9" ht="30" x14ac:dyDescent="0.25">
      <c r="A50" s="6" t="s">
        <v>456</v>
      </c>
      <c r="B50" s="652" t="s">
        <v>457</v>
      </c>
      <c r="C50" s="163" t="s">
        <v>458</v>
      </c>
      <c r="D50" s="656" t="s">
        <v>459</v>
      </c>
      <c r="E50" s="162" t="s">
        <v>366</v>
      </c>
      <c r="F50" s="161">
        <v>40242</v>
      </c>
      <c r="G50" s="10">
        <v>23403194.578400001</v>
      </c>
      <c r="H50" s="298">
        <v>1.587</v>
      </c>
      <c r="I50" s="10">
        <f t="shared" si="2"/>
        <v>37140869.795920804</v>
      </c>
    </row>
    <row r="51" spans="1:9" ht="30" x14ac:dyDescent="0.25">
      <c r="A51" s="6" t="s">
        <v>456</v>
      </c>
      <c r="B51" s="652" t="s">
        <v>460</v>
      </c>
      <c r="C51" s="163" t="s">
        <v>458</v>
      </c>
      <c r="D51" s="656" t="s">
        <v>461</v>
      </c>
      <c r="E51" s="162" t="s">
        <v>369</v>
      </c>
      <c r="F51" s="161">
        <v>40160</v>
      </c>
      <c r="G51" s="10">
        <v>33274844.963600002</v>
      </c>
      <c r="H51" s="298">
        <v>1.611</v>
      </c>
      <c r="I51" s="10">
        <f t="shared" si="2"/>
        <v>53605775.236359604</v>
      </c>
    </row>
    <row r="52" spans="1:9" x14ac:dyDescent="0.25">
      <c r="A52" s="6" t="s">
        <v>395</v>
      </c>
      <c r="B52" s="652" t="s">
        <v>462</v>
      </c>
      <c r="C52" s="208" t="s">
        <v>404</v>
      </c>
      <c r="D52" s="654" t="s">
        <v>463</v>
      </c>
      <c r="E52" s="162" t="s">
        <v>369</v>
      </c>
      <c r="F52" s="212">
        <v>41738</v>
      </c>
      <c r="G52" s="10">
        <v>157288.69</v>
      </c>
      <c r="H52" s="298">
        <v>1.1830000000000001</v>
      </c>
      <c r="I52" s="10">
        <f t="shared" si="2"/>
        <v>186072.52027000001</v>
      </c>
    </row>
    <row r="53" spans="1:9" x14ac:dyDescent="0.25">
      <c r="A53" s="6" t="s">
        <v>395</v>
      </c>
      <c r="B53" s="652" t="s">
        <v>462</v>
      </c>
      <c r="C53" s="208" t="s">
        <v>404</v>
      </c>
      <c r="D53" s="654" t="s">
        <v>464</v>
      </c>
      <c r="E53" s="162" t="s">
        <v>369</v>
      </c>
      <c r="F53" s="212">
        <v>41738</v>
      </c>
      <c r="G53" s="10">
        <v>906531.93</v>
      </c>
      <c r="H53" s="298">
        <v>1.1830000000000001</v>
      </c>
      <c r="I53" s="10">
        <f t="shared" si="2"/>
        <v>1072427.2731900001</v>
      </c>
    </row>
    <row r="54" spans="1:9" ht="30" x14ac:dyDescent="0.25">
      <c r="A54" s="6" t="s">
        <v>444</v>
      </c>
      <c r="B54" s="652" t="s">
        <v>465</v>
      </c>
      <c r="C54" s="208" t="s">
        <v>466</v>
      </c>
      <c r="D54" s="654" t="s">
        <v>467</v>
      </c>
      <c r="E54" s="207" t="s">
        <v>369</v>
      </c>
      <c r="F54" s="161">
        <v>41791</v>
      </c>
      <c r="G54" s="10">
        <v>2389042.1021412001</v>
      </c>
      <c r="H54" s="298">
        <v>1.1759999999999999</v>
      </c>
      <c r="I54" s="10">
        <f t="shared" si="2"/>
        <v>2809513.5121180513</v>
      </c>
    </row>
    <row r="55" spans="1:9" ht="30" x14ac:dyDescent="0.25">
      <c r="A55" s="6" t="s">
        <v>426</v>
      </c>
      <c r="B55" s="652" t="s">
        <v>468</v>
      </c>
      <c r="C55" s="208" t="s">
        <v>433</v>
      </c>
      <c r="D55" s="654" t="s">
        <v>469</v>
      </c>
      <c r="E55" s="162" t="s">
        <v>366</v>
      </c>
      <c r="F55" s="161">
        <v>41879</v>
      </c>
      <c r="G55" s="10">
        <v>10507343.437200001</v>
      </c>
      <c r="H55" s="298">
        <v>1.1919999999999999</v>
      </c>
      <c r="I55" s="10">
        <f t="shared" si="2"/>
        <v>12524753.3771424</v>
      </c>
    </row>
    <row r="56" spans="1:9" x14ac:dyDescent="0.25">
      <c r="A56" s="6" t="s">
        <v>435</v>
      </c>
      <c r="B56" s="652" t="s">
        <v>470</v>
      </c>
      <c r="C56" s="208" t="s">
        <v>471</v>
      </c>
      <c r="D56" s="654" t="s">
        <v>472</v>
      </c>
      <c r="E56" s="162" t="s">
        <v>369</v>
      </c>
      <c r="F56" s="161">
        <v>42148</v>
      </c>
      <c r="G56" s="10">
        <v>39703524.853199996</v>
      </c>
      <c r="H56" s="308">
        <v>1.1339999999999999</v>
      </c>
      <c r="I56" s="10">
        <f t="shared" si="2"/>
        <v>45023797.183528788</v>
      </c>
    </row>
    <row r="57" spans="1:9" x14ac:dyDescent="0.25">
      <c r="A57" s="6" t="s">
        <v>435</v>
      </c>
      <c r="B57" s="657" t="s">
        <v>473</v>
      </c>
      <c r="C57" s="208" t="s">
        <v>471</v>
      </c>
      <c r="D57" s="654" t="s">
        <v>474</v>
      </c>
      <c r="E57" s="162" t="s">
        <v>369</v>
      </c>
      <c r="F57" s="161">
        <v>42148</v>
      </c>
      <c r="G57" s="10">
        <v>6969138.4484999999</v>
      </c>
      <c r="H57" s="308">
        <v>1.1339999999999999</v>
      </c>
      <c r="I57" s="10">
        <f t="shared" si="2"/>
        <v>7903003.0005989997</v>
      </c>
    </row>
    <row r="58" spans="1:9" s="206" customFormat="1" x14ac:dyDescent="0.25">
      <c r="A58" s="239"/>
      <c r="B58" s="985" t="s">
        <v>192</v>
      </c>
      <c r="C58" s="985"/>
      <c r="D58" s="985"/>
      <c r="E58" s="649"/>
      <c r="F58" s="650"/>
      <c r="G58" s="651">
        <f>G17+G25+G37</f>
        <v>786042583.01035953</v>
      </c>
      <c r="H58" s="650"/>
      <c r="I58" s="651">
        <f>I17+I25+I37</f>
        <v>1208077582.5599613</v>
      </c>
    </row>
    <row r="59" spans="1:9" x14ac:dyDescent="0.25">
      <c r="B59" s="203" t="s">
        <v>475</v>
      </c>
      <c r="C59" s="213"/>
    </row>
    <row r="63" spans="1:9" x14ac:dyDescent="0.25">
      <c r="A63" s="196" t="s">
        <v>3</v>
      </c>
      <c r="B63" s="196" t="s">
        <v>476</v>
      </c>
      <c r="C63" s="196" t="s">
        <v>477</v>
      </c>
      <c r="D63" s="196" t="s">
        <v>478</v>
      </c>
      <c r="E63" s="984" t="s">
        <v>479</v>
      </c>
      <c r="F63" s="984"/>
      <c r="G63" s="984"/>
    </row>
    <row r="64" spans="1:9" x14ac:dyDescent="0.25">
      <c r="A64" s="6" t="s">
        <v>362</v>
      </c>
      <c r="B64" s="197">
        <f>SUMIF('Anexo 4_CF_FRA'!$A$18:$A$57,'Anexo 4_CF_FRA'!A64,'Anexo 4_CF_FRA'!$I$18:$I$57)</f>
        <v>344027709.63011992</v>
      </c>
      <c r="C64" s="198">
        <f t="shared" ref="C64:C74" si="3">B64/$B$75</f>
        <v>0.28371603976367255</v>
      </c>
      <c r="D64" s="13">
        <v>30</v>
      </c>
      <c r="E64" s="982" t="s">
        <v>480</v>
      </c>
      <c r="F64" s="982"/>
      <c r="G64" s="982"/>
    </row>
    <row r="65" spans="1:7" x14ac:dyDescent="0.25">
      <c r="A65" s="6" t="s">
        <v>389</v>
      </c>
      <c r="B65" s="197">
        <f>SUMIF('Anexo 4_CF_FRA'!$A$18:$A$57,'Anexo 4_CF_FRA'!A65,'Anexo 4_CF_FRA'!$I$18:$I$57)</f>
        <v>204291164.5384309</v>
      </c>
      <c r="C65" s="198">
        <f t="shared" si="3"/>
        <v>0.16847677829169236</v>
      </c>
      <c r="D65" s="13">
        <v>30</v>
      </c>
      <c r="E65" s="982" t="s">
        <v>481</v>
      </c>
      <c r="F65" s="982"/>
      <c r="G65" s="982"/>
    </row>
    <row r="66" spans="1:7" x14ac:dyDescent="0.25">
      <c r="A66" s="6" t="s">
        <v>435</v>
      </c>
      <c r="B66" s="197">
        <f>SUMIF('Anexo 4_CF_FRA'!$A$18:$A$57,'Anexo 4_CF_FRA'!A66,'Anexo 4_CF_FRA'!$I$18:$I$57)</f>
        <v>172023808.41180778</v>
      </c>
      <c r="C66" s="198">
        <f t="shared" si="3"/>
        <v>0.14186622850855921</v>
      </c>
      <c r="D66" s="13">
        <v>28</v>
      </c>
      <c r="E66" s="982" t="s">
        <v>482</v>
      </c>
      <c r="F66" s="982"/>
      <c r="G66" s="982"/>
    </row>
    <row r="67" spans="1:7" x14ac:dyDescent="0.25">
      <c r="A67" s="6" t="s">
        <v>426</v>
      </c>
      <c r="B67" s="197">
        <f>SUMIF('Anexo 4_CF_FRA'!$A$18:$A$57,'Anexo 4_CF_FRA'!A67,'Anexo 4_CF_FRA'!$I$18:$I$57)</f>
        <v>159328710.95653439</v>
      </c>
      <c r="C67" s="198">
        <f t="shared" si="3"/>
        <v>0.13139671493857233</v>
      </c>
      <c r="D67" s="13">
        <v>40</v>
      </c>
      <c r="E67" s="982" t="s">
        <v>483</v>
      </c>
      <c r="F67" s="982"/>
      <c r="G67" s="982"/>
    </row>
    <row r="68" spans="1:7" x14ac:dyDescent="0.25">
      <c r="A68" s="6" t="s">
        <v>456</v>
      </c>
      <c r="B68" s="197">
        <f>SUMIF('Anexo 4_CF_FRA'!$A$18:$A$57,'Anexo 4_CF_FRA'!A68,'Anexo 4_CF_FRA'!$I$18:$I$57)</f>
        <v>90746645.032280415</v>
      </c>
      <c r="C68" s="198">
        <f t="shared" si="3"/>
        <v>7.4837805297949284E-2</v>
      </c>
      <c r="D68" s="13">
        <v>25</v>
      </c>
      <c r="E68" s="982" t="s">
        <v>480</v>
      </c>
      <c r="F68" s="982"/>
      <c r="G68" s="982"/>
    </row>
    <row r="69" spans="1:7" x14ac:dyDescent="0.25">
      <c r="A69" s="6" t="s">
        <v>402</v>
      </c>
      <c r="B69" s="197">
        <f>SUMIF('Anexo 4_CF_FRA'!$A$18:$A$57,'Anexo 4_CF_FRA'!A69,'Anexo 4_CF_FRA'!$I$18:$I$57)</f>
        <v>85430317.188540012</v>
      </c>
      <c r="C69" s="198">
        <f t="shared" si="3"/>
        <v>7.0453485547854036E-2</v>
      </c>
      <c r="D69" s="13">
        <v>20</v>
      </c>
      <c r="E69" s="982" t="s">
        <v>480</v>
      </c>
      <c r="F69" s="982"/>
      <c r="G69" s="982"/>
    </row>
    <row r="70" spans="1:7" x14ac:dyDescent="0.25">
      <c r="A70" s="6" t="s">
        <v>380</v>
      </c>
      <c r="B70" s="197">
        <f>SUMIF('Anexo 4_CF_FRA'!$A$18:$A$57,'Anexo 4_CF_FRA'!A70,'Anexo 4_CF_FRA'!$I$18:$I$57)</f>
        <v>51021896.401429996</v>
      </c>
      <c r="C70" s="198">
        <f t="shared" si="3"/>
        <v>4.2077222220877557E-2</v>
      </c>
      <c r="D70" s="13">
        <v>30</v>
      </c>
      <c r="E70" s="982" t="s">
        <v>484</v>
      </c>
      <c r="F70" s="982"/>
      <c r="G70" s="982"/>
    </row>
    <row r="71" spans="1:7" x14ac:dyDescent="0.25">
      <c r="A71" s="6" t="s">
        <v>395</v>
      </c>
      <c r="B71" s="197">
        <f>SUMIF('Anexo 4_CF_FRA'!$A$18:$A$57,'Anexo 4_CF_FRA'!A71,'Anexo 4_CF_FRA'!$I$18:$I$57)</f>
        <v>42643021.294509999</v>
      </c>
      <c r="C71" s="198">
        <f t="shared" si="3"/>
        <v>3.5167251900272804E-2</v>
      </c>
      <c r="D71" s="13">
        <v>30</v>
      </c>
      <c r="E71" s="982" t="s">
        <v>485</v>
      </c>
      <c r="F71" s="982"/>
      <c r="G71" s="982"/>
    </row>
    <row r="72" spans="1:7" x14ac:dyDescent="0.25">
      <c r="A72" s="6" t="s">
        <v>420</v>
      </c>
      <c r="B72" s="197">
        <f>SUMIF('Anexo 4_CF_FRA'!$A$18:$A$57,'Anexo 4_CF_FRA'!A72,'Anexo 4_CF_FRA'!$I$18:$I$57)</f>
        <v>37615083.154349998</v>
      </c>
      <c r="C72" s="198">
        <f t="shared" si="3"/>
        <v>3.1020764110563582E-2</v>
      </c>
      <c r="D72" s="13">
        <v>22.5</v>
      </c>
      <c r="E72" s="982" t="s">
        <v>486</v>
      </c>
      <c r="F72" s="982"/>
      <c r="G72" s="982"/>
    </row>
    <row r="73" spans="1:7" x14ac:dyDescent="0.25">
      <c r="A73" s="6" t="s">
        <v>444</v>
      </c>
      <c r="B73" s="197">
        <f>SUMIF('Anexo 4_CF_FRA'!$A$18:$A$57,'Anexo 4_CF_FRA'!A73,'Anexo 4_CF_FRA'!$I$18:$I$57)</f>
        <v>20949225.951958053</v>
      </c>
      <c r="C73" s="198">
        <f t="shared" si="3"/>
        <v>1.7276606670997997E-2</v>
      </c>
      <c r="D73" s="13">
        <v>30</v>
      </c>
      <c r="E73" s="982" t="s">
        <v>487</v>
      </c>
      <c r="F73" s="982"/>
      <c r="G73" s="982"/>
    </row>
    <row r="74" spans="1:7" x14ac:dyDescent="0.25">
      <c r="A74" s="6" t="s">
        <v>488</v>
      </c>
      <c r="B74" s="197">
        <v>4500000</v>
      </c>
      <c r="C74" s="198">
        <f t="shared" si="3"/>
        <v>3.7111027489884155E-3</v>
      </c>
      <c r="D74" s="13">
        <v>20</v>
      </c>
      <c r="E74" s="13" t="s">
        <v>489</v>
      </c>
      <c r="F74" s="13"/>
      <c r="G74" s="13"/>
    </row>
    <row r="75" spans="1:7" x14ac:dyDescent="0.25">
      <c r="A75" s="199" t="s">
        <v>96</v>
      </c>
      <c r="B75" s="200">
        <f>SUM(B64:B74)</f>
        <v>1212577582.5599613</v>
      </c>
      <c r="C75" s="201">
        <f>SUM(C64:C74)</f>
        <v>1</v>
      </c>
      <c r="D75" s="202">
        <f>SUMPRODUCT(B64:B74,D64:D74)/B75</f>
        <v>29.681744052081211</v>
      </c>
      <c r="E75" s="983"/>
      <c r="F75" s="983"/>
      <c r="G75" s="983"/>
    </row>
    <row r="76" spans="1:7" x14ac:dyDescent="0.25">
      <c r="A76" s="199"/>
      <c r="B76" s="199"/>
      <c r="C76" s="199" t="s">
        <v>490</v>
      </c>
      <c r="D76" s="199">
        <v>30</v>
      </c>
      <c r="E76" s="983" t="s">
        <v>491</v>
      </c>
      <c r="F76" s="983"/>
      <c r="G76" s="983"/>
    </row>
    <row r="84" spans="4:4" x14ac:dyDescent="0.25">
      <c r="D84" s="14"/>
    </row>
  </sheetData>
  <sheetProtection algorithmName="SHA-512" hashValue="RNXB3FtUo9m8zjuSz+XRgfmVFFXjjDTD/jvs/h6qRRU2+BhrGsZHTOip4uDVGnhp6JN4iB+sKp3Z6Ua3t2KKQA==" saltValue="4NZYzhtg3zuXOwfSP1t/iQ==" spinCount="100000" sheet="1" objects="1" scenarios="1"/>
  <mergeCells count="20">
    <mergeCell ref="B37:D37"/>
    <mergeCell ref="B19:B20"/>
    <mergeCell ref="B15:G15"/>
    <mergeCell ref="B17:D17"/>
    <mergeCell ref="C19:C20"/>
    <mergeCell ref="B25:D25"/>
    <mergeCell ref="E63:G63"/>
    <mergeCell ref="E64:G64"/>
    <mergeCell ref="E65:G65"/>
    <mergeCell ref="E66:G66"/>
    <mergeCell ref="B58:D58"/>
    <mergeCell ref="E72:G72"/>
    <mergeCell ref="E73:G73"/>
    <mergeCell ref="E75:G75"/>
    <mergeCell ref="E76:G76"/>
    <mergeCell ref="E67:G67"/>
    <mergeCell ref="E68:G68"/>
    <mergeCell ref="E69:G69"/>
    <mergeCell ref="E70:G70"/>
    <mergeCell ref="E71:G71"/>
  </mergeCells>
  <pageMargins left="0.511811024" right="0.511811024" top="0.78740157499999996" bottom="0.78740157499999996" header="0.31496062000000002" footer="0.31496062000000002"/>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2"/>
  <sheetViews>
    <sheetView showGridLines="0" zoomScale="120" zoomScaleNormal="120" workbookViewId="0">
      <selection activeCell="I27" sqref="I27"/>
    </sheetView>
  </sheetViews>
  <sheetFormatPr defaultColWidth="8.85546875" defaultRowHeight="15" x14ac:dyDescent="0.25"/>
  <cols>
    <col min="1" max="1" width="71" customWidth="1"/>
    <col min="2" max="2" width="15.7109375" customWidth="1"/>
    <col min="3" max="3" width="13.85546875" bestFit="1" customWidth="1"/>
    <col min="4" max="7" width="13.85546875" customWidth="1"/>
    <col min="8" max="8" width="17.85546875" bestFit="1" customWidth="1"/>
    <col min="10" max="10" width="33.28515625" bestFit="1" customWidth="1"/>
    <col min="11" max="11" width="15.140625" bestFit="1" customWidth="1"/>
    <col min="12" max="12" width="12.7109375" bestFit="1" customWidth="1"/>
    <col min="14" max="14" width="33.28515625" bestFit="1" customWidth="1"/>
    <col min="15" max="15" width="14.28515625" bestFit="1" customWidth="1"/>
  </cols>
  <sheetData>
    <row r="1" spans="1:12" x14ac:dyDescent="0.25">
      <c r="A1" s="2" t="s">
        <v>492</v>
      </c>
      <c r="B1" s="2"/>
      <c r="C1" s="2"/>
      <c r="D1" s="2"/>
      <c r="E1" s="2"/>
      <c r="F1" s="2"/>
      <c r="G1" s="2"/>
    </row>
    <row r="2" spans="1:12" x14ac:dyDescent="0.25">
      <c r="A2" s="991" t="s">
        <v>493</v>
      </c>
      <c r="B2" s="993" t="s">
        <v>494</v>
      </c>
      <c r="C2" s="994"/>
      <c r="D2" s="994"/>
      <c r="E2" s="994"/>
      <c r="F2" s="994"/>
      <c r="G2" s="994"/>
      <c r="H2" s="995"/>
    </row>
    <row r="3" spans="1:12" x14ac:dyDescent="0.25">
      <c r="A3" s="992"/>
      <c r="B3" s="735" t="s">
        <v>495</v>
      </c>
      <c r="C3" s="736" t="s">
        <v>496</v>
      </c>
      <c r="D3" s="736" t="s">
        <v>497</v>
      </c>
      <c r="E3" s="736" t="s">
        <v>498</v>
      </c>
      <c r="F3" s="736" t="s">
        <v>499</v>
      </c>
      <c r="G3" s="736" t="s">
        <v>500</v>
      </c>
      <c r="H3" s="737" t="s">
        <v>501</v>
      </c>
    </row>
    <row r="4" spans="1:12" x14ac:dyDescent="0.25">
      <c r="A4" s="532" t="s">
        <v>502</v>
      </c>
      <c r="B4" s="527"/>
      <c r="C4" s="527"/>
      <c r="D4" s="527"/>
      <c r="E4" s="527"/>
      <c r="F4" s="527"/>
      <c r="G4" s="527"/>
      <c r="H4" s="531"/>
      <c r="J4" s="521" t="s">
        <v>503</v>
      </c>
      <c r="K4" s="524">
        <f>SUM(K5:K8)</f>
        <v>22271499.509361591</v>
      </c>
    </row>
    <row r="5" spans="1:12" ht="18.75" customHeight="1" x14ac:dyDescent="0.25">
      <c r="A5" s="533" t="s">
        <v>504</v>
      </c>
      <c r="B5" s="738">
        <f>'SALÁRIOS E ENCARGOS AJUSTADOS'!I84</f>
        <v>16216746.775459634</v>
      </c>
      <c r="C5" s="528">
        <v>15616178.934845341</v>
      </c>
      <c r="D5" s="528">
        <v>14603886</v>
      </c>
      <c r="E5" s="528">
        <v>14603886</v>
      </c>
      <c r="F5" s="528">
        <v>14181785</v>
      </c>
      <c r="G5" s="528">
        <v>13017687</v>
      </c>
      <c r="H5" s="528">
        <v>12353939</v>
      </c>
      <c r="J5" s="522" t="s">
        <v>505</v>
      </c>
      <c r="K5" s="525">
        <f>'Anexo 5_Desp Adm'!C5</f>
        <v>15616178.934845341</v>
      </c>
    </row>
    <row r="6" spans="1:12" x14ac:dyDescent="0.25">
      <c r="A6" s="533" t="s">
        <v>506</v>
      </c>
      <c r="B6" s="745">
        <f>Benefícios!H15</f>
        <v>4738428.326719177</v>
      </c>
      <c r="C6" s="528">
        <v>3933727.3761220542</v>
      </c>
      <c r="D6" s="528">
        <v>2179192</v>
      </c>
      <c r="E6" s="528">
        <v>2150918</v>
      </c>
      <c r="F6" s="528">
        <v>2457523</v>
      </c>
      <c r="G6" s="528">
        <v>2421417</v>
      </c>
      <c r="H6" s="528">
        <v>1540382</v>
      </c>
      <c r="J6" s="522" t="s">
        <v>506</v>
      </c>
      <c r="K6" s="525">
        <f>'Anexo 5_Desp Adm'!C6</f>
        <v>3933727.3761220542</v>
      </c>
      <c r="L6" s="236"/>
    </row>
    <row r="7" spans="1:12" x14ac:dyDescent="0.25">
      <c r="A7" s="533" t="s">
        <v>507</v>
      </c>
      <c r="B7" s="746">
        <f>'Custos Administrativos - Materi'!F14</f>
        <v>2862495.2103459742</v>
      </c>
      <c r="C7" s="528">
        <v>2721593.1983941947</v>
      </c>
      <c r="D7" s="528">
        <v>982835</v>
      </c>
      <c r="E7" s="528">
        <v>1122391</v>
      </c>
      <c r="F7" s="528">
        <v>1237509</v>
      </c>
      <c r="G7" s="528">
        <v>1397429</v>
      </c>
      <c r="H7" s="528">
        <v>2230807</v>
      </c>
      <c r="J7" s="522" t="s">
        <v>508</v>
      </c>
      <c r="K7" s="525">
        <f>'Anexo 5_Desp Adm'!C7</f>
        <v>2721593.1983941947</v>
      </c>
    </row>
    <row r="8" spans="1:12" x14ac:dyDescent="0.25">
      <c r="A8" s="534" t="s">
        <v>509</v>
      </c>
      <c r="B8" s="747">
        <f>'Custos Administrativos - Materi'!F8</f>
        <v>24354.235922413798</v>
      </c>
      <c r="C8" s="529">
        <v>30301.973537500002</v>
      </c>
      <c r="D8" s="529">
        <v>5628</v>
      </c>
      <c r="E8" s="529">
        <v>6420</v>
      </c>
      <c r="F8" s="529">
        <v>7583</v>
      </c>
      <c r="G8" s="529">
        <v>24418</v>
      </c>
      <c r="H8" s="529">
        <v>166768</v>
      </c>
      <c r="J8" s="523" t="s">
        <v>510</v>
      </c>
      <c r="K8" s="526">
        <f>'Anexo 5_Desp Adm'!C18</f>
        <v>0</v>
      </c>
      <c r="L8" s="4"/>
    </row>
    <row r="9" spans="1:12" x14ac:dyDescent="0.25">
      <c r="A9" s="534" t="s">
        <v>511</v>
      </c>
      <c r="B9" s="747">
        <f>'Custos Administrativos - Materi'!F9</f>
        <v>226602.37452241377</v>
      </c>
      <c r="C9" s="529">
        <v>185042.78138060347</v>
      </c>
      <c r="D9" s="529">
        <v>54297</v>
      </c>
      <c r="E9" s="529">
        <v>58091</v>
      </c>
      <c r="F9" s="529">
        <v>53377</v>
      </c>
      <c r="G9" s="529">
        <v>175930</v>
      </c>
      <c r="H9" s="529">
        <v>127473.98</v>
      </c>
    </row>
    <row r="10" spans="1:12" x14ac:dyDescent="0.25">
      <c r="A10" s="534" t="s">
        <v>512</v>
      </c>
      <c r="B10" s="747">
        <f>'Custos Administrativos - Materi'!F5</f>
        <v>405418.66938649089</v>
      </c>
      <c r="C10" s="529">
        <v>390404.47337113356</v>
      </c>
      <c r="D10" s="529">
        <v>365097</v>
      </c>
      <c r="E10" s="529">
        <v>365097</v>
      </c>
      <c r="F10" s="529">
        <v>354545</v>
      </c>
      <c r="G10" s="529">
        <v>325442</v>
      </c>
      <c r="H10" s="529">
        <v>308848</v>
      </c>
    </row>
    <row r="11" spans="1:12" x14ac:dyDescent="0.25">
      <c r="A11" s="534" t="s">
        <v>513</v>
      </c>
      <c r="B11" s="747">
        <f>'Custos Administrativos - Materi'!F6</f>
        <v>25864.73</v>
      </c>
      <c r="C11" s="529">
        <v>25864.73</v>
      </c>
      <c r="D11" s="529">
        <v>28739</v>
      </c>
      <c r="E11" s="529">
        <v>31932</v>
      </c>
      <c r="F11" s="529">
        <v>35480</v>
      </c>
      <c r="G11" s="529">
        <v>39422</v>
      </c>
      <c r="H11" s="529">
        <v>43802</v>
      </c>
    </row>
    <row r="12" spans="1:12" x14ac:dyDescent="0.25">
      <c r="A12" s="534" t="s">
        <v>514</v>
      </c>
      <c r="B12" s="747">
        <f>'Custos Administrativos - Materi'!F10</f>
        <v>7022.941716163793</v>
      </c>
      <c r="C12" s="529">
        <v>8652.8335687500003</v>
      </c>
      <c r="D12" s="529">
        <v>2158</v>
      </c>
      <c r="E12" s="529">
        <v>16086</v>
      </c>
      <c r="F12" s="529">
        <v>9193</v>
      </c>
      <c r="G12" s="529">
        <v>13859</v>
      </c>
      <c r="H12" s="529">
        <v>12479</v>
      </c>
    </row>
    <row r="13" spans="1:12" x14ac:dyDescent="0.25">
      <c r="A13" s="534" t="s">
        <v>515</v>
      </c>
      <c r="B13" s="747">
        <f>'Custos Administrativos - Materi'!F4</f>
        <v>684622.08859849139</v>
      </c>
      <c r="C13" s="529">
        <v>580261.03563836205</v>
      </c>
      <c r="D13" s="529">
        <v>180138</v>
      </c>
      <c r="E13" s="529">
        <v>245865</v>
      </c>
      <c r="F13" s="529">
        <v>335205</v>
      </c>
      <c r="G13" s="529">
        <v>367082</v>
      </c>
      <c r="H13" s="529">
        <v>667176</v>
      </c>
    </row>
    <row r="14" spans="1:12" x14ac:dyDescent="0.25">
      <c r="A14" s="534" t="s">
        <v>516</v>
      </c>
      <c r="B14" s="747">
        <f>'Custos Administrativos - Materi'!F7</f>
        <v>3335.28</v>
      </c>
      <c r="C14" s="529">
        <v>3335.28</v>
      </c>
      <c r="D14" s="529">
        <v>1801</v>
      </c>
      <c r="E14" s="529">
        <v>2459</v>
      </c>
      <c r="F14" s="529">
        <v>3352</v>
      </c>
      <c r="G14" s="529">
        <v>3671</v>
      </c>
      <c r="H14" s="529">
        <v>9969</v>
      </c>
      <c r="K14" s="19"/>
    </row>
    <row r="15" spans="1:12" x14ac:dyDescent="0.25">
      <c r="A15" s="534" t="s">
        <v>517</v>
      </c>
      <c r="B15" s="747">
        <f>'Custos Administrativos - Materi'!F11</f>
        <v>1093874.7462000002</v>
      </c>
      <c r="C15" s="529">
        <v>1191061.5068978451</v>
      </c>
      <c r="D15" s="529">
        <v>303655</v>
      </c>
      <c r="E15" s="529">
        <v>287906</v>
      </c>
      <c r="F15" s="529">
        <v>409765</v>
      </c>
      <c r="G15" s="529">
        <v>412674</v>
      </c>
      <c r="H15" s="529">
        <v>322703</v>
      </c>
    </row>
    <row r="16" spans="1:12" x14ac:dyDescent="0.25">
      <c r="A16" s="534" t="s">
        <v>518</v>
      </c>
      <c r="B16" s="747">
        <f>'Custos Administrativos - Materi'!F12</f>
        <v>9154.6540000000005</v>
      </c>
      <c r="C16" s="529">
        <v>9154.6540000000005</v>
      </c>
      <c r="D16" s="529">
        <v>9420</v>
      </c>
      <c r="E16" s="529">
        <v>82678</v>
      </c>
      <c r="F16" s="529">
        <v>5361</v>
      </c>
      <c r="G16" s="529">
        <v>5361</v>
      </c>
      <c r="H16" s="529">
        <v>8005</v>
      </c>
    </row>
    <row r="17" spans="1:10" x14ac:dyDescent="0.25">
      <c r="A17" s="534" t="s">
        <v>519</v>
      </c>
      <c r="B17" s="747">
        <f>'Custos Administrativos - Materi'!F13</f>
        <v>382245.49000000005</v>
      </c>
      <c r="C17" s="529">
        <v>297513.93000000005</v>
      </c>
      <c r="D17" s="529">
        <v>31902</v>
      </c>
      <c r="E17" s="529">
        <v>25857</v>
      </c>
      <c r="F17" s="529">
        <v>23648</v>
      </c>
      <c r="G17" s="529">
        <v>29571</v>
      </c>
      <c r="H17" s="529">
        <v>263669.41176470602</v>
      </c>
    </row>
    <row r="18" spans="1:10" x14ac:dyDescent="0.25">
      <c r="A18" s="533" t="s">
        <v>520</v>
      </c>
      <c r="B18" s="745">
        <f>'Auditoria Contabilidade.'!C7</f>
        <v>0</v>
      </c>
      <c r="C18" s="528">
        <v>0</v>
      </c>
      <c r="D18" s="528">
        <v>11634</v>
      </c>
      <c r="E18" s="528">
        <v>21146</v>
      </c>
      <c r="F18" s="528">
        <v>19941</v>
      </c>
      <c r="G18" s="528">
        <v>19801</v>
      </c>
      <c r="H18" s="528">
        <v>26090</v>
      </c>
    </row>
    <row r="19" spans="1:10" x14ac:dyDescent="0.25">
      <c r="A19" s="533" t="s">
        <v>521</v>
      </c>
      <c r="B19" s="746">
        <f>B5+B6+B7+B18</f>
        <v>23817670.312524788</v>
      </c>
      <c r="C19" s="530">
        <v>22271499.509361591</v>
      </c>
      <c r="D19" s="530">
        <v>17777546.199999999</v>
      </c>
      <c r="E19" s="530">
        <v>17948410.780000001</v>
      </c>
      <c r="F19" s="530">
        <v>17896757.960000001</v>
      </c>
      <c r="G19" s="530">
        <v>16856334.07</v>
      </c>
      <c r="H19" s="530">
        <v>16151218.369999999</v>
      </c>
      <c r="I19" s="19"/>
      <c r="J19" s="4"/>
    </row>
    <row r="20" spans="1:10" x14ac:dyDescent="0.25">
      <c r="A20" s="658"/>
      <c r="B20" s="739"/>
      <c r="C20" s="659"/>
      <c r="D20" s="659"/>
      <c r="E20" s="659"/>
      <c r="F20" s="659"/>
      <c r="G20" s="659"/>
      <c r="H20" s="660"/>
    </row>
    <row r="21" spans="1:10" x14ac:dyDescent="0.25">
      <c r="A21" s="535" t="s">
        <v>112</v>
      </c>
      <c r="B21" s="748">
        <f>B20+B19</f>
        <v>23817670.312524788</v>
      </c>
      <c r="C21" s="482">
        <f>C20+C19</f>
        <v>22271499.509361591</v>
      </c>
      <c r="D21" s="482">
        <v>17777546.199999999</v>
      </c>
      <c r="E21" s="482">
        <v>17948410.780000001</v>
      </c>
      <c r="F21" s="482">
        <v>17896757.960000001</v>
      </c>
      <c r="G21" s="482">
        <v>16856334.07</v>
      </c>
      <c r="H21" s="482">
        <v>16151218.369999999</v>
      </c>
    </row>
    <row r="22" spans="1:10" x14ac:dyDescent="0.25">
      <c r="B22" s="3"/>
    </row>
  </sheetData>
  <sheetProtection algorithmName="SHA-512" hashValue="3sf5SIRbhEBSkHLWmDjbMCcH56ocY4WYdNKUHuGmnsPycQKeXBnBLeNR6ovf0aefUvO63ybBSlH0XLgGAEhgeA==" saltValue="E1VbcROhUt1TQReNeN41Fg==" spinCount="100000" sheet="1" objects="1" scenarios="1"/>
  <mergeCells count="2">
    <mergeCell ref="A2:A3"/>
    <mergeCell ref="B2:H2"/>
  </mergeCells>
  <pageMargins left="0.511811024" right="0.511811024" top="0.78740157499999996" bottom="0.78740157499999996" header="0.31496062000000002" footer="0.31496062000000002"/>
  <pageSetup paperSize="9" orientation="portrait" horizontalDpi="1200" verticalDpi="12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12"/>
  <sheetViews>
    <sheetView showGridLines="0" zoomScale="110" zoomScaleNormal="110" workbookViewId="0">
      <selection activeCell="D8" sqref="D8"/>
    </sheetView>
  </sheetViews>
  <sheetFormatPr defaultColWidth="8.85546875" defaultRowHeight="15" x14ac:dyDescent="0.25"/>
  <cols>
    <col min="2" max="2" width="37.42578125" customWidth="1"/>
    <col min="3" max="3" width="16.140625" bestFit="1" customWidth="1"/>
    <col min="4" max="4" width="10.42578125" customWidth="1"/>
    <col min="5" max="5" width="20.42578125" customWidth="1"/>
    <col min="6" max="6" width="32.140625" customWidth="1"/>
    <col min="7" max="7" width="24.42578125" customWidth="1"/>
    <col min="8" max="8" width="15.7109375" customWidth="1"/>
    <col min="9" max="9" width="16.140625" bestFit="1" customWidth="1"/>
  </cols>
  <sheetData>
    <row r="2" spans="2:9" x14ac:dyDescent="0.25">
      <c r="B2" s="13" t="s">
        <v>3</v>
      </c>
      <c r="C2" s="13" t="s">
        <v>113</v>
      </c>
    </row>
    <row r="3" spans="2:9" ht="33" customHeight="1" x14ac:dyDescent="0.25">
      <c r="B3" s="6" t="s">
        <v>522</v>
      </c>
      <c r="C3" s="9">
        <f>C4+C8</f>
        <v>3733240.7176719964</v>
      </c>
      <c r="E3" s="274" t="s">
        <v>155</v>
      </c>
      <c r="F3" s="274" t="s">
        <v>157</v>
      </c>
      <c r="G3" s="274" t="s">
        <v>158</v>
      </c>
      <c r="H3" s="274" t="s">
        <v>523</v>
      </c>
      <c r="I3" s="274" t="s">
        <v>524</v>
      </c>
    </row>
    <row r="4" spans="2:9" x14ac:dyDescent="0.25">
      <c r="B4" s="6" t="s">
        <v>525</v>
      </c>
      <c r="C4" s="288">
        <f>C5*C6*C7</f>
        <v>3733240.7176719964</v>
      </c>
      <c r="E4" s="275">
        <f>'Anexo1B-CV Energia Elétrica'!C7</f>
        <v>480612.61824144347</v>
      </c>
      <c r="F4" s="238">
        <f>'Anexo1B-CV Energia Elétrica'!E7</f>
        <v>92.817633020000017</v>
      </c>
      <c r="G4" s="275">
        <f>E4*F4</f>
        <v>44609325.624715663</v>
      </c>
      <c r="H4" s="275"/>
      <c r="I4" s="10">
        <f>G4+H4</f>
        <v>44609325.624715663</v>
      </c>
    </row>
    <row r="5" spans="2:9" x14ac:dyDescent="0.25">
      <c r="B5" s="6" t="s">
        <v>526</v>
      </c>
      <c r="C5" s="10">
        <f>Tarifa!H3+Tarifa!H4+Tarifa!H6+Tarifa!H8</f>
        <v>186662035.88359982</v>
      </c>
      <c r="E5" s="275">
        <f>E4</f>
        <v>480612.61824144347</v>
      </c>
      <c r="F5" s="238">
        <f>F4</f>
        <v>92.817633020000017</v>
      </c>
      <c r="G5" s="275">
        <f>E5*F5</f>
        <v>44609325.624715663</v>
      </c>
      <c r="H5" s="275"/>
      <c r="I5" s="10">
        <f>G5+H5</f>
        <v>44609325.624715663</v>
      </c>
    </row>
    <row r="6" spans="2:9" x14ac:dyDescent="0.25">
      <c r="B6" s="6" t="s">
        <v>527</v>
      </c>
      <c r="C6" s="289">
        <v>0.02</v>
      </c>
    </row>
    <row r="7" spans="2:9" x14ac:dyDescent="0.25">
      <c r="B7" s="6" t="s">
        <v>528</v>
      </c>
      <c r="C7" s="6">
        <v>1</v>
      </c>
    </row>
    <row r="8" spans="2:9" x14ac:dyDescent="0.25">
      <c r="B8" s="6" t="s">
        <v>529</v>
      </c>
      <c r="C8" s="288">
        <f>IF(C9&lt;0,0,C9)</f>
        <v>0</v>
      </c>
    </row>
    <row r="9" spans="2:9" x14ac:dyDescent="0.25">
      <c r="B9" s="300" t="s">
        <v>530</v>
      </c>
      <c r="C9" s="288">
        <f>(C10-C11)*C12</f>
        <v>0</v>
      </c>
    </row>
    <row r="10" spans="2:9" x14ac:dyDescent="0.25">
      <c r="B10" s="6" t="s">
        <v>531</v>
      </c>
      <c r="C10" s="10">
        <f>I5</f>
        <v>44609325.624715663</v>
      </c>
    </row>
    <row r="11" spans="2:9" x14ac:dyDescent="0.25">
      <c r="B11" s="6" t="s">
        <v>524</v>
      </c>
      <c r="C11" s="10">
        <f>I4</f>
        <v>44609325.624715663</v>
      </c>
    </row>
    <row r="12" spans="2:9" x14ac:dyDescent="0.25">
      <c r="B12" s="6" t="s">
        <v>532</v>
      </c>
      <c r="C12" s="286">
        <v>0.02</v>
      </c>
    </row>
  </sheetData>
  <sheetProtection algorithmName="SHA-512" hashValue="kJGPqyqS0dfxw2Vx4GkU0G4Z6UpxtloYJCZ9BVt5e8G/me7ilWqKIP2fNCZU8WK4nf9/EqesLOtXZzLMgcZnjw==" saltValue="TlHcOEoxFx682JZC7yNXiA==" spinCount="100000" sheet="1" objects="1" scenarios="1"/>
  <pageMargins left="0.511811024" right="0.511811024" top="0.78740157499999996" bottom="0.78740157499999996" header="0.31496062000000002" footer="0.31496062000000002"/>
  <pageSetup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02ABE83E5EC314DA0DF071664A29E53" ma:contentTypeVersion="17" ma:contentTypeDescription="Crie um novo documento." ma:contentTypeScope="" ma:versionID="e5dd8122cf22a0e542263d144732697d">
  <xsd:schema xmlns:xsd="http://www.w3.org/2001/XMLSchema" xmlns:xs="http://www.w3.org/2001/XMLSchema" xmlns:p="http://schemas.microsoft.com/office/2006/metadata/properties" xmlns:ns2="6ab5b395-65da-4040-901c-eb2d44390159" xmlns:ns3="40f11cc6-a430-43e6-bbe5-94a129c442f3" targetNamespace="http://schemas.microsoft.com/office/2006/metadata/properties" ma:root="true" ma:fieldsID="a332254512e2090359afe03cf6fdfb04" ns2:_="" ns3:_="">
    <xsd:import namespace="6ab5b395-65da-4040-901c-eb2d44390159"/>
    <xsd:import namespace="40f11cc6-a430-43e6-bbe5-94a129c442f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Coment_x00e1_ri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5b395-65da-4040-901c-eb2d443901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65263e2f-43e8-4f5e-8efa-28dfb1393c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Coment_x00e1_rio" ma:index="23" nillable="true" ma:displayName="Comentário" ma:format="Dropdown" ma:internalName="Coment_x00e1_rio">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f11cc6-a430-43e6-bbe5-94a129c442f3"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e83d7546-62e8-4717-bbfe-ece330875caf}" ma:internalName="TaxCatchAll" ma:showField="CatchAllData" ma:web="40f11cc6-a430-43e6-bbe5-94a129c442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ab5b395-65da-4040-901c-eb2d44390159">
      <Terms xmlns="http://schemas.microsoft.com/office/infopath/2007/PartnerControls"/>
    </lcf76f155ced4ddcb4097134ff3c332f>
    <TaxCatchAll xmlns="40f11cc6-a430-43e6-bbe5-94a129c442f3" xsi:nil="true"/>
    <Coment_x00e1_rio xmlns="6ab5b395-65da-4040-901c-eb2d44390159" xsi:nil="true"/>
  </documentManagement>
</p:properties>
</file>

<file path=customXml/itemProps1.xml><?xml version="1.0" encoding="utf-8"?>
<ds:datastoreItem xmlns:ds="http://schemas.openxmlformats.org/officeDocument/2006/customXml" ds:itemID="{B665ECF6-5675-4713-A2BF-09A5227342DE}">
  <ds:schemaRefs>
    <ds:schemaRef ds:uri="http://schemas.microsoft.com/sharepoint/v3/contenttype/forms"/>
  </ds:schemaRefs>
</ds:datastoreItem>
</file>

<file path=customXml/itemProps2.xml><?xml version="1.0" encoding="utf-8"?>
<ds:datastoreItem xmlns:ds="http://schemas.openxmlformats.org/officeDocument/2006/customXml" ds:itemID="{ADC786FB-3741-4DE2-A58B-68DE428DBC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5b395-65da-4040-901c-eb2d44390159"/>
    <ds:schemaRef ds:uri="40f11cc6-a430-43e6-bbe5-94a129c442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26D53E-2551-4716-82B7-38F25F54B6AA}">
  <ds:schemaRefs>
    <ds:schemaRef ds:uri="6ab5b395-65da-4040-901c-eb2d44390159"/>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terms/"/>
    <ds:schemaRef ds:uri="http://www.w3.org/XML/1998/namespace"/>
    <ds:schemaRef ds:uri="40f11cc6-a430-43e6-bbe5-94a129c442f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35</vt:i4>
      </vt:variant>
    </vt:vector>
  </HeadingPairs>
  <TitlesOfParts>
    <vt:vector size="35" baseType="lpstr">
      <vt:lpstr>custos unitários para atualizar</vt:lpstr>
      <vt:lpstr>Tarifa</vt:lpstr>
      <vt:lpstr>Anexo 1A_CF_ Energia Elétrica</vt:lpstr>
      <vt:lpstr>Anexo1B-CV Energia Elétrica</vt:lpstr>
      <vt:lpstr>Anexo 2_CF_O&amp;M</vt:lpstr>
      <vt:lpstr>Anexo 3_Custos Ambientais</vt:lpstr>
      <vt:lpstr>Anexo 4_CF_FRA</vt:lpstr>
      <vt:lpstr>Anexo 5_Desp Adm</vt:lpstr>
      <vt:lpstr>Anexo 6_Tx Adm</vt:lpstr>
      <vt:lpstr>mão de obra</vt:lpstr>
      <vt:lpstr>Veículos</vt:lpstr>
      <vt:lpstr>Equipamentos</vt:lpstr>
      <vt:lpstr>amoxarifado</vt:lpstr>
      <vt:lpstr>Ferramentas</vt:lpstr>
      <vt:lpstr>Materiais de consumo</vt:lpstr>
      <vt:lpstr>incendio</vt:lpstr>
      <vt:lpstr>automação</vt:lpstr>
      <vt:lpstr>helicoptero</vt:lpstr>
      <vt:lpstr>drone</vt:lpstr>
      <vt:lpstr>geomembranas</vt:lpstr>
      <vt:lpstr>linhas transmissão</vt:lpstr>
      <vt:lpstr>subestações</vt:lpstr>
      <vt:lpstr>baixa tensão</vt:lpstr>
      <vt:lpstr>materiais sobressalentes</vt:lpstr>
      <vt:lpstr>aferição medidores de vazão</vt:lpstr>
      <vt:lpstr>apoio rio Piranhas</vt:lpstr>
      <vt:lpstr>Depreciação</vt:lpstr>
      <vt:lpstr>Detalhe Custos Ambientais</vt:lpstr>
      <vt:lpstr>Custos Administrativos - Materi</vt:lpstr>
      <vt:lpstr>Impostos</vt:lpstr>
      <vt:lpstr>Benefícios</vt:lpstr>
      <vt:lpstr>Execução  Orçamentário </vt:lpstr>
      <vt:lpstr>Auditoria Contabilidade.</vt:lpstr>
      <vt:lpstr>TABELA SALARIAL CODEVASF</vt:lpstr>
      <vt:lpstr>SALÁRIOS E ENCARGOS AJUSTADOS</vt:lpstr>
    </vt:vector>
  </TitlesOfParts>
  <Manager/>
  <Company>Agência Nacional de Águas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Usuário do Windows</dc:creator>
  <cp:keywords/>
  <dc:description/>
  <cp:lastModifiedBy>Rodrigo Cesar de Moraes Fonseca</cp:lastModifiedBy>
  <cp:revision/>
  <dcterms:created xsi:type="dcterms:W3CDTF">2016-04-20T20:02:25Z</dcterms:created>
  <dcterms:modified xsi:type="dcterms:W3CDTF">2025-04-07T14:20:47Z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0x010100402ABE83E5EC314DA0DF071664A29E53</vt:lpwstr>
  </property>
  <property fmtid="{D5CDD505-2E9C-101B-9397-08002B2CF9AE}" pid="3" name="MediaServiceImageTags">
    <vt:lpwstr/>
  </property>
  <property fmtid="{D5CDD505-2E9C-101B-9397-08002B2CF9AE}" pid="4" name="xd_ProgID">
    <vt:lpwstr/>
  </property>
  <property fmtid="{D5CDD505-2E9C-101B-9397-08002B2CF9AE}" pid="5" name="_ColorHex">
    <vt:lpwstr/>
  </property>
  <property fmtid="{D5CDD505-2E9C-101B-9397-08002B2CF9AE}" pid="6" name="_Emoji">
    <vt:lpwstr/>
  </property>
  <property fmtid="{D5CDD505-2E9C-101B-9397-08002B2CF9AE}" pid="7" name="TemplateUrl">
    <vt:lpwstr/>
  </property>
  <property fmtid="{D5CDD505-2E9C-101B-9397-08002B2CF9AE}" pid="8" name="ComplianceAssetId">
    <vt:lpwstr/>
  </property>
  <property fmtid="{D5CDD505-2E9C-101B-9397-08002B2CF9AE}" pid="9" name="_ExtendedDescription">
    <vt:lpwstr/>
  </property>
  <property fmtid="{D5CDD505-2E9C-101B-9397-08002B2CF9AE}" pid="10" name="_ColorTag">
    <vt:lpwstr/>
  </property>
  <property fmtid="{D5CDD505-2E9C-101B-9397-08002B2CF9AE}" pid="11" name="TriggerFlowInfo">
    <vt:lpwstr/>
  </property>
  <property fmtid="{D5CDD505-2E9C-101B-9397-08002B2CF9AE}" pid="12" name="xd_Signature">
    <vt:bool>false</vt:bool>
  </property>
</Properties>
</file>